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90505-Galo\0-Datos\020-Elab formales\20190514-VacMenB\01-Epid\"/>
    </mc:Choice>
  </mc:AlternateContent>
  <bookViews>
    <workbookView xWindow="0" yWindow="0" windowWidth="20490" windowHeight="7650" tabRatio="834"/>
  </bookViews>
  <sheets>
    <sheet name="Tend Hosp+Def MenB" sheetId="2" r:id="rId1"/>
    <sheet name="IncAcu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5" i="5" l="1"/>
  <c r="T87" i="5"/>
  <c r="T86" i="5"/>
  <c r="R87" i="5" l="1"/>
  <c r="R86" i="5" l="1"/>
  <c r="C65" i="5" l="1"/>
  <c r="E8" i="5" s="1"/>
  <c r="C64" i="5"/>
  <c r="B65" i="5"/>
  <c r="C8" i="5" s="1"/>
  <c r="B64" i="5"/>
  <c r="C7" i="5" s="1"/>
  <c r="E7" i="5"/>
  <c r="G65" i="5"/>
  <c r="G64" i="5"/>
  <c r="F65" i="5"/>
  <c r="F64" i="5"/>
  <c r="V119" i="2"/>
  <c r="W119" i="2" s="1"/>
  <c r="V98" i="2"/>
  <c r="W98" i="2" s="1"/>
  <c r="V77" i="2"/>
  <c r="W77" i="2" s="1"/>
  <c r="V52" i="2"/>
  <c r="W52" i="2" s="1"/>
  <c r="V32" i="2"/>
  <c r="W32" i="2" s="1"/>
  <c r="V11" i="2"/>
  <c r="W11" i="2" s="1"/>
  <c r="H22" i="5" l="1"/>
  <c r="H21" i="5"/>
  <c r="C14" i="5"/>
  <c r="B55" i="5" l="1"/>
  <c r="B22" i="5"/>
  <c r="F22" i="5" s="1"/>
  <c r="C54" i="5"/>
  <c r="B54" i="5"/>
  <c r="E9" i="5"/>
  <c r="M21" i="5" s="1"/>
  <c r="B21" i="5"/>
  <c r="F21" i="5" s="1"/>
  <c r="D40" i="5"/>
  <c r="D7" i="5"/>
  <c r="A21" i="5"/>
  <c r="D21" i="5" s="1"/>
  <c r="F14" i="5"/>
  <c r="D54" i="5" s="1"/>
  <c r="D41" i="5"/>
  <c r="A22" i="5"/>
  <c r="C55" i="5"/>
  <c r="D8" i="5"/>
  <c r="A14" i="5"/>
  <c r="C9" i="5"/>
  <c r="D42" i="5" l="1"/>
  <c r="A23" i="5"/>
  <c r="D9" i="5"/>
  <c r="C40" i="5" s="1"/>
  <c r="J14" i="5"/>
  <c r="C21" i="5"/>
  <c r="B56" i="5" s="1"/>
  <c r="B23" i="5"/>
  <c r="B14" i="5"/>
  <c r="D14" i="5" s="1"/>
  <c r="G14" i="5" s="1"/>
  <c r="D55" i="5" s="1"/>
  <c r="B41" i="5"/>
  <c r="B46" i="5" s="1"/>
  <c r="B40" i="5"/>
  <c r="C22" i="5"/>
  <c r="C56" i="5" s="1"/>
  <c r="M23" i="5"/>
  <c r="D22" i="5"/>
  <c r="C23" i="5" l="1"/>
  <c r="V22" i="5" s="1"/>
  <c r="C41" i="5"/>
  <c r="C46" i="5" s="1"/>
  <c r="E14" i="5"/>
  <c r="H14" i="5" s="1"/>
  <c r="L14" i="5" s="1"/>
  <c r="B58" i="5"/>
  <c r="B62" i="5" s="1"/>
  <c r="I21" i="5"/>
  <c r="E21" i="5"/>
  <c r="K14" i="5"/>
  <c r="B42" i="5"/>
  <c r="B45" i="5"/>
  <c r="J41" i="5"/>
  <c r="H40" i="5" s="1"/>
  <c r="C45" i="5"/>
  <c r="I22" i="5"/>
  <c r="C58" i="5"/>
  <c r="C62" i="5" s="1"/>
  <c r="I26" i="5"/>
  <c r="E54" i="5" s="1"/>
  <c r="V21" i="5"/>
  <c r="E22" i="5"/>
  <c r="K22" i="5" s="1"/>
  <c r="V23" i="5" l="1"/>
  <c r="V24" i="5" s="1"/>
  <c r="V25" i="5" s="1"/>
  <c r="P28" i="5"/>
  <c r="M31" i="5" s="1"/>
  <c r="M32" i="5" s="1"/>
  <c r="D56" i="5"/>
  <c r="D58" i="5" s="1"/>
  <c r="D62" i="5" s="1"/>
  <c r="C42" i="5"/>
  <c r="K21" i="5"/>
  <c r="J21" i="5"/>
  <c r="K26" i="5" s="1"/>
  <c r="J22" i="5"/>
  <c r="B48" i="5"/>
  <c r="F46" i="5" s="1"/>
  <c r="M22" i="5"/>
  <c r="M24" i="5" s="1"/>
  <c r="M25" i="5" s="1"/>
  <c r="M26" i="5" s="1"/>
  <c r="I27" i="5"/>
  <c r="J26" i="5" l="1"/>
  <c r="E56" i="5" s="1"/>
  <c r="B49" i="5"/>
  <c r="I62" i="5" s="1"/>
  <c r="E55" i="5"/>
  <c r="K27" i="5"/>
  <c r="K32" i="5" s="1"/>
  <c r="F54" i="5"/>
  <c r="I36" i="5"/>
  <c r="I29" i="5"/>
  <c r="I34" i="5"/>
  <c r="I31" i="5"/>
  <c r="I30" i="5"/>
  <c r="I35" i="5"/>
  <c r="I37" i="5"/>
  <c r="I32" i="5"/>
  <c r="G56" i="5"/>
  <c r="G58" i="5" s="1"/>
  <c r="G62" i="5" s="1"/>
  <c r="M33" i="5"/>
  <c r="J27" i="5" l="1"/>
  <c r="K35" i="5" s="1"/>
  <c r="J35" i="5"/>
  <c r="J32" i="5"/>
  <c r="E58" i="5"/>
  <c r="E62" i="5" s="1"/>
  <c r="J34" i="5"/>
  <c r="K31" i="5"/>
  <c r="F56" i="5"/>
  <c r="J36" i="5"/>
  <c r="K29" i="5"/>
  <c r="K30" i="5"/>
  <c r="J37" i="5"/>
  <c r="K36" i="5"/>
  <c r="J31" i="5"/>
  <c r="J30" i="5"/>
  <c r="K37" i="5" l="1"/>
  <c r="J29" i="5"/>
  <c r="F55" i="5"/>
  <c r="F58" i="5" s="1"/>
  <c r="F62" i="5" s="1"/>
  <c r="K34" i="5"/>
</calcChain>
</file>

<file path=xl/sharedStrings.xml><?xml version="1.0" encoding="utf-8"?>
<sst xmlns="http://schemas.openxmlformats.org/spreadsheetml/2006/main" count="342" uniqueCount="216">
  <si>
    <t>10-14 años</t>
  </si>
  <si>
    <t>Todas las edades</t>
  </si>
  <si>
    <t>00-01 año</t>
  </si>
  <si>
    <t>01-04 años</t>
  </si>
  <si>
    <t>05-09 años</t>
  </si>
  <si>
    <t>Total</t>
  </si>
  <si>
    <t>Tasas MenB (RENAVE)</t>
  </si>
  <si>
    <t>Habitantes</t>
  </si>
  <si>
    <t>15 y más años</t>
  </si>
  <si>
    <t>Nº Casos MenB</t>
  </si>
  <si>
    <t>Tasas de Defunc MenB</t>
  </si>
  <si>
    <t>Cálculo por incidencias acumuladas de RR, RAR, NNT con sus IC 95%, potencia estadística y valor de p</t>
  </si>
  <si>
    <t xml:space="preserve"> </t>
  </si>
  <si>
    <t>Enferman</t>
  </si>
  <si>
    <t>No enferman</t>
  </si>
  <si>
    <t>Con eventos</t>
  </si>
  <si>
    <t>Sin eventos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</si>
  <si>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</si>
  <si>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</si>
  <si>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</si>
  <si>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</si>
  <si>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</si>
  <si>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</si>
  <si>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</si>
  <si>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</si>
  <si>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</si>
  <si>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</si>
  <si>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</si>
  <si>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</si>
  <si>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</si>
  <si>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</si>
  <si>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</si>
  <si>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t>Cálculo del intervalo de confianza (IC) cada una de las dos proporciones (Riesgo absoluto de la intervención y Riesgo absoluto del control)</t>
  </si>
  <si>
    <t xml:space="preserve">Mét. Newcombe, 1988 </t>
  </si>
  <si>
    <t>Primero se procede haciendo los IC de ambas proporciones por el método de Wilson, y después se aplica: IC = RAR - Raíz [(p1-Ls1)^2 + (Li2-p2)^2]  hasta RAR + Raíz [(p2-Ls2)^2 + (Li1-p1)^2]</t>
  </si>
  <si>
    <t>Aunque es mejor calcularlo por ji^2 de Pearson, puede utilizarse una aproximación al cálculo de la "p de la diferencia"</t>
  </si>
  <si>
    <r>
      <t>p</t>
    </r>
    <r>
      <rPr>
        <sz val="10"/>
        <color indexed="12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</si>
  <si>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</si>
  <si>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</si>
  <si>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</si>
  <si>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</si>
  <si>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</si>
  <si>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Nº con evento</t>
  </si>
  <si>
    <t>n (de muestra)</t>
  </si>
  <si>
    <t>p (proporción) = eventos / n</t>
  </si>
  <si>
    <t>Z α/2</t>
  </si>
  <si>
    <t>Estimación puntual de la proporción</t>
  </si>
  <si>
    <t>LI IC</t>
  </si>
  <si>
    <t>LS IC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</si>
  <si>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</si>
  <si>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</si>
  <si>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</si>
  <si>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</si>
  <si>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</si>
  <si>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</si>
  <si>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</si>
  <si>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</si>
  <si>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</si>
  <si>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</si>
  <si>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</si>
  <si>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</si>
  <si>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</si>
  <si>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t>α = probab de que la diferencia detectada entre ambos sea debida al azar, en caso de que no exista</t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</si>
  <si>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</si>
  <si>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</si>
  <si>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</si>
  <si>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Cálculo del IC del RAR y del NNT</t>
  </si>
  <si>
    <t>---------------------------------------------&gt;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</si>
  <si>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</si>
  <si>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</si>
  <si>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</si>
  <si>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</si>
  <si>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====&gt;  NNT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</si>
  <si>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</si>
  <si>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</si>
  <si>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</si>
  <si>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</si>
  <si>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t>=&gt;</t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</si>
  <si>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</si>
  <si>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</si>
  <si>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</si>
  <si>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</si>
  <si>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</si>
  <si>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</si>
  <si>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====&gt;  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</si>
  <si>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</si>
  <si>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</si>
  <si>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</si>
  <si>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</si>
  <si>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</si>
  <si>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</si>
  <si>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</si>
  <si>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</si>
  <si>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</si>
  <si>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</si>
  <si>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</si>
  <si>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</si>
  <si>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</si>
  <si>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b/>
        <vertAlign val="subscript"/>
        <sz val="10"/>
        <rFont val="Calibri"/>
        <family val="2"/>
      </rPr>
      <t xml:space="preserve"> i </t>
    </r>
    <r>
      <rPr>
        <b/>
        <sz val="10"/>
        <rFont val="Calibri"/>
        <family val="2"/>
      </rPr>
      <t xml:space="preserve">- esperado 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)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/ esperado 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</si>
  <si>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</si>
  <si>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</si>
  <si>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</si>
  <si>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</si>
  <si>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</si>
  <si>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</si>
  <si>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CÁLCULOS EN incidencias acumuladas</t>
  </si>
  <si>
    <t xml:space="preserve">en </t>
  </si>
  <si>
    <t>…….</t>
  </si>
  <si>
    <t>años</t>
  </si>
  <si>
    <t>(</t>
  </si>
  <si>
    <t>-</t>
  </si>
  <si>
    <t>)</t>
  </si>
  <si>
    <t>%</t>
  </si>
  <si>
    <t>Nº event Interv (%)</t>
  </si>
  <si>
    <t>Nº event Control (%)</t>
  </si>
  <si>
    <t>RAR</t>
  </si>
  <si>
    <t>NNT</t>
  </si>
  <si>
    <t>potencia</t>
  </si>
  <si>
    <t>a</t>
  </si>
  <si>
    <t>/</t>
  </si>
  <si>
    <t>RR (IC 95%)</t>
  </si>
  <si>
    <t>RAR (IC 95%)</t>
  </si>
  <si>
    <t>NNT (IC 95%)</t>
  </si>
  <si>
    <t>Potencia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</si>
  <si>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</si>
  <si>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Casos 2015-17</t>
  </si>
  <si>
    <t>0% (0% a 0%)</t>
  </si>
  <si>
    <t>0,001% (0% a 0%)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</si>
  <si>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</si>
  <si>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r>
      <t xml:space="preserve">CÁLCULO DE LA </t>
    </r>
    <r>
      <rPr>
        <b/>
        <i/>
        <sz val="10"/>
        <rFont val="Calibri"/>
        <family val="2"/>
      </rPr>
      <t>p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</si>
  <si>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/2PM*(1-PM)] - Z α/2</t>
    </r>
  </si>
  <si>
    <r>
      <t>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</si>
  <si>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r>
      <t>EEDM (Z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>) = DM</t>
    </r>
  </si>
  <si>
    <t xml:space="preserve">Valor de p </t>
  </si>
  <si>
    <t>Casos MenB</t>
  </si>
  <si>
    <t>Nº Defunciones MenB</t>
  </si>
  <si>
    <t>Defunciones MenB</t>
  </si>
  <si>
    <t>Defunc 2015-17</t>
  </si>
  <si>
    <t>10/5291579 (0,00019%)</t>
  </si>
  <si>
    <t>1/7383886 (0,00001%)</t>
  </si>
  <si>
    <t>0/7113722 (0%)</t>
  </si>
  <si>
    <t>Casos 2015</t>
  </si>
  <si>
    <t>91/1224062 (0,00743%)</t>
  </si>
  <si>
    <t>118/5291579 (0,00223%)</t>
  </si>
  <si>
    <t>30/7383886 (0,00041%)</t>
  </si>
  <si>
    <t>25/7113722 (0,00035%)</t>
  </si>
  <si>
    <t>204/118380843 (0,00017%)</t>
  </si>
  <si>
    <t>468/139394092 (0,00034%)</t>
  </si>
  <si>
    <t>37/418022 (0,00885%)</t>
  </si>
  <si>
    <t>0,003% (0,01% a 0%)</t>
  </si>
  <si>
    <t>43/1805601 (0,00238%)</t>
  </si>
  <si>
    <t>Defunc 2015</t>
  </si>
  <si>
    <t>3/418022 (0,00072%)</t>
  </si>
  <si>
    <t>4/1805601 (0,00022%)</t>
  </si>
  <si>
    <t>6/1224062 (0,00049%)</t>
  </si>
  <si>
    <t>34/118380843 (0,00003%)</t>
  </si>
  <si>
    <t>51/139394092 (0,00004%)</t>
  </si>
  <si>
    <t>EMA</t>
  </si>
  <si>
    <t>Venta offarm</t>
  </si>
  <si>
    <t>Casos 2010-14</t>
  </si>
  <si>
    <t>Defunc 2010-14</t>
  </si>
  <si>
    <t>274/2270359 (0,0121%)</t>
  </si>
  <si>
    <t>0,62 (0,49-0,78)</t>
  </si>
  <si>
    <t>0,005% (0,01% a 0%)</t>
  </si>
  <si>
    <t>21578 (40462 a 14963)</t>
  </si>
  <si>
    <t>318/9796673 (0,0032%)</t>
  </si>
  <si>
    <t>0,69 (0,56-0,85)</t>
  </si>
  <si>
    <t>98421 (216838 a 64826)</t>
  </si>
  <si>
    <t>111/12058556 (0,0009%)</t>
  </si>
  <si>
    <t>0,44 (0,29-0,66)</t>
  </si>
  <si>
    <t>194470 (356242 a 135486)</t>
  </si>
  <si>
    <t>45/11081038 (0,0004%)</t>
  </si>
  <si>
    <t>0,87 (0,53-1,41)</t>
  </si>
  <si>
    <t>1829302 (-705985 a 429765)</t>
  </si>
  <si>
    <t>419/197906874 (0,0002%)</t>
  </si>
  <si>
    <t>0,81 (0,69-0,96)</t>
  </si>
  <si>
    <t>2538679 (13272428 a 1427629)</t>
  </si>
  <si>
    <t>1167/233113500 (0,0005%)</t>
  </si>
  <si>
    <t>0,67 (0,6-0,75)</t>
  </si>
  <si>
    <t>606517 (816028 a 484651)</t>
  </si>
  <si>
    <t>0,73 (0,52-1,03)</t>
  </si>
  <si>
    <t>31081 (-255495 a 16445)</t>
  </si>
  <si>
    <t>42,76%</t>
  </si>
  <si>
    <t>0,73 (0,53-1,01)</t>
  </si>
  <si>
    <t>115671 (-3583332 a 63115)</t>
  </si>
  <si>
    <t>48,16%</t>
  </si>
  <si>
    <t>24/2270359 (0,0011%)</t>
  </si>
  <si>
    <t>0,68 (0,2-2,25)</t>
  </si>
  <si>
    <t>294606 (-91274 a 96177)</t>
  </si>
  <si>
    <t>26/9796673 (0,0003%)</t>
  </si>
  <si>
    <t>0,83 (0,29-2,39)</t>
  </si>
  <si>
    <t>2279808 (-318141 a 440326)</t>
  </si>
  <si>
    <t>0,46 (0,19-1,13)</t>
  </si>
  <si>
    <t>176389 (-923958 a 87173)</t>
  </si>
  <si>
    <t>0,71 (0,34-1,48)</t>
  </si>
  <si>
    <t>1308614 (-966492 a 440364)</t>
  </si>
  <si>
    <t>5/12058556 (0%)</t>
  </si>
  <si>
    <t>0,33 (0,04-2,8)</t>
  </si>
  <si>
    <t>3581491 (-2526933 a 1181495)</t>
  </si>
  <si>
    <t>1/11081038 (0%)</t>
  </si>
  <si>
    <t>11081038 (-2198518 a 1956076)</t>
  </si>
  <si>
    <t>------</t>
  </si>
  <si>
    <t>66/197906874 (0%)</t>
  </si>
  <si>
    <t>0,86 (0,57-1,3)</t>
  </si>
  <si>
    <t>21606881 (-11325298 a 5939479)</t>
  </si>
  <si>
    <t>122/233113500 (0,0001%)</t>
  </si>
  <si>
    <t>0,7 (0,5-0,97)</t>
  </si>
  <si>
    <t>6349970 (69563462 a 3430330)</t>
  </si>
  <si>
    <t>Esperanza matemática</t>
  </si>
  <si>
    <t>Diferencia</t>
  </si>
  <si>
    <t>% de casos teóricos esperables en 2015 si hubiera habido vacunación nacional similar a UK, aplicando RR 0,58 de Parikh</t>
  </si>
  <si>
    <t>% de casos reales en 2015, con una cobertura aproximada del 12,8%</t>
  </si>
  <si>
    <t>Enf MenB, tramo 0-1 año</t>
  </si>
  <si>
    <t>Franja 00-01 año</t>
  </si>
  <si>
    <t>Franja 01-04 años</t>
  </si>
  <si>
    <t>Fanja 01-04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</si>
</sst>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€_-;\-* #,##0.00\ _€_-;_-* &quot;-&quot;??\ _€_-;_-@_-"/>
    <numFmt numFmtId="164" formatCode="0.0000%"/>
    <numFmt numFmtId="165" formatCode="0.0%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.0000\ _€_-;\-* #,##0.0000\ _€_-;_-* &quot;-&quot;??\ _€_-;_-@_-"/>
    <numFmt numFmtId="170" formatCode="_-* #,##0.00000\ _€_-;\-* #,##0.00000\ _€_-;_-* &quot;-&quot;??\ _€_-;_-@_-"/>
    <numFmt numFmtId="171" formatCode="_-* #,##0.0\ _€_-;\-* #,##0.0\ _€_-;_-* &quot;-&quot;?\ _€_-;_-@_-"/>
    <numFmt numFmtId="172" formatCode="_-* #,##0.000000\ _€_-;\-* #,##0.000000\ _€_-;_-* &quot;-&quot;??\ _€_-;_-@_-"/>
    <numFmt numFmtId="173" formatCode="_-* #,##0.0000\ _€_-;\-* #,##0.0000\ _€_-;_-* &quot;-&quot;?\ _€_-;_-@_-"/>
    <numFmt numFmtId="174" formatCode="0.000"/>
    <numFmt numFmtId="175" formatCode="_-* #,##0.000\ _€_-;\-* #,##0.000\ _€_-;_-* &quot;-&quot;???\ _€_-;_-@_-"/>
    <numFmt numFmtId="176" formatCode="0.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57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name val="Calibri"/>
      <family val="2"/>
    </font>
    <font>
      <i/>
      <sz val="10"/>
      <color indexed="12"/>
      <name val="Calibri"/>
      <family val="2"/>
      <scheme val="minor"/>
    </font>
    <font>
      <sz val="10"/>
      <color indexed="12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vertAlign val="subscript"/>
      <sz val="10"/>
      <name val="Calibri"/>
      <family val="2"/>
    </font>
    <font>
      <i/>
      <sz val="10"/>
      <color indexed="20"/>
      <name val="Calibri"/>
      <family val="2"/>
      <scheme val="minor"/>
    </font>
    <font>
      <vertAlign val="superscript"/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1"/>
      <name val="Calibri"/>
      <family val="2"/>
      <scheme val="minor"/>
    </font>
    <font>
      <b/>
      <vertAlign val="superscript"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FFCC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6600"/>
      <name val="Calibri"/>
      <family val="2"/>
      <scheme val="minor"/>
    </font>
    <font>
      <i/>
      <sz val="10"/>
      <color rgb="FFFF6600"/>
      <name val="Calibri"/>
      <family val="2"/>
      <scheme val="minor"/>
    </font>
    <font>
      <b/>
      <sz val="10"/>
      <color rgb="FFFF6600"/>
      <name val="Calibri"/>
      <family val="2"/>
      <scheme val="minor"/>
    </font>
    <font>
      <sz val="10"/>
      <color rgb="FFFF6600"/>
      <name val="Calibri"/>
      <family val="2"/>
      <scheme val="minor"/>
    </font>
    <font>
      <sz val="10"/>
      <color rgb="FF008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4" fillId="0" borderId="0" xfId="2" applyNumberFormat="1" applyFont="1" applyFill="1" applyBorder="1" applyAlignment="1"/>
    <xf numFmtId="166" fontId="5" fillId="0" borderId="0" xfId="2" applyNumberFormat="1" applyFont="1" applyFill="1" applyBorder="1" applyAlignment="1"/>
    <xf numFmtId="166" fontId="6" fillId="0" borderId="0" xfId="0" applyNumberFormat="1" applyFont="1" applyFill="1" applyBorder="1" applyAlignment="1">
      <alignment horizontal="left"/>
    </xf>
    <xf numFmtId="0" fontId="7" fillId="0" borderId="0" xfId="0" applyFont="1"/>
    <xf numFmtId="2" fontId="7" fillId="0" borderId="0" xfId="0" applyNumberFormat="1" applyFont="1" applyBorder="1"/>
    <xf numFmtId="10" fontId="8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/>
    <xf numFmtId="10" fontId="7" fillId="0" borderId="0" xfId="1" applyNumberFormat="1" applyFont="1" applyBorder="1" applyAlignment="1">
      <alignment horizontal="center"/>
    </xf>
    <xf numFmtId="0" fontId="10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7" fillId="0" borderId="0" xfId="0" applyFont="1" applyFill="1"/>
    <xf numFmtId="18" fontId="7" fillId="0" borderId="0" xfId="2" applyNumberFormat="1" applyFont="1" applyBorder="1" applyAlignment="1">
      <alignment horizontal="center"/>
    </xf>
    <xf numFmtId="2" fontId="7" fillId="0" borderId="0" xfId="0" applyNumberFormat="1" applyFont="1"/>
    <xf numFmtId="43" fontId="7" fillId="0" borderId="0" xfId="2" applyFont="1" applyFill="1" applyAlignment="1">
      <alignment horizontal="center"/>
    </xf>
    <xf numFmtId="10" fontId="8" fillId="0" borderId="0" xfId="1" applyNumberFormat="1" applyFont="1" applyFill="1" applyBorder="1" applyAlignment="1">
      <alignment horizontal="center"/>
    </xf>
    <xf numFmtId="166" fontId="7" fillId="0" borderId="0" xfId="0" applyNumberFormat="1" applyFont="1" applyBorder="1"/>
    <xf numFmtId="9" fontId="7" fillId="0" borderId="0" xfId="0" applyNumberFormat="1" applyFont="1" applyBorder="1"/>
    <xf numFmtId="43" fontId="7" fillId="0" borderId="0" xfId="0" applyNumberFormat="1" applyFont="1"/>
    <xf numFmtId="43" fontId="7" fillId="0" borderId="0" xfId="2" applyFont="1" applyFill="1"/>
    <xf numFmtId="0" fontId="11" fillId="0" borderId="0" xfId="0" applyFont="1" applyFill="1"/>
    <xf numFmtId="167" fontId="7" fillId="0" borderId="0" xfId="0" applyNumberFormat="1" applyFont="1" applyBorder="1" applyAlignment="1">
      <alignment horizontal="center"/>
    </xf>
    <xf numFmtId="168" fontId="4" fillId="0" borderId="9" xfId="2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7" fillId="0" borderId="0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66" fontId="7" fillId="0" borderId="1" xfId="0" applyNumberFormat="1" applyFont="1" applyBorder="1" applyAlignment="1">
      <alignment vertical="center"/>
    </xf>
    <xf numFmtId="166" fontId="7" fillId="4" borderId="1" xfId="2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43" fontId="7" fillId="0" borderId="0" xfId="2" applyFont="1" applyFill="1" applyBorder="1"/>
    <xf numFmtId="0" fontId="13" fillId="0" borderId="1" xfId="0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0" fontId="7" fillId="0" borderId="0" xfId="1" applyNumberFormat="1" applyFont="1" applyFill="1"/>
    <xf numFmtId="10" fontId="7" fillId="0" borderId="0" xfId="0" applyNumberFormat="1" applyFont="1" applyFill="1"/>
    <xf numFmtId="0" fontId="14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3" fontId="7" fillId="0" borderId="0" xfId="0" applyNumberFormat="1" applyFont="1" applyFill="1" applyBorder="1"/>
    <xf numFmtId="43" fontId="7" fillId="0" borderId="0" xfId="0" applyNumberFormat="1" applyFont="1" applyFill="1" applyBorder="1" applyAlignment="1">
      <alignment horizontal="center"/>
    </xf>
    <xf numFmtId="10" fontId="7" fillId="0" borderId="0" xfId="1" applyNumberFormat="1" applyFont="1" applyFill="1" applyBorder="1" applyAlignment="1">
      <alignment horizontal="center"/>
    </xf>
    <xf numFmtId="10" fontId="7" fillId="0" borderId="0" xfId="1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43" fontId="4" fillId="0" borderId="10" xfId="2" applyFont="1" applyFill="1" applyBorder="1" applyAlignment="1">
      <alignment horizontal="center" vertical="distributed"/>
    </xf>
    <xf numFmtId="43" fontId="4" fillId="0" borderId="10" xfId="2" applyFont="1" applyBorder="1" applyAlignment="1">
      <alignment horizontal="center" vertical="distributed"/>
    </xf>
    <xf numFmtId="2" fontId="7" fillId="0" borderId="1" xfId="2" applyNumberFormat="1" applyFont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2" fontId="7" fillId="0" borderId="2" xfId="2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3" fontId="4" fillId="0" borderId="0" xfId="0" applyNumberFormat="1" applyFont="1" applyFill="1" applyBorder="1"/>
    <xf numFmtId="43" fontId="12" fillId="0" borderId="0" xfId="2" applyFont="1" applyFill="1" applyBorder="1"/>
    <xf numFmtId="167" fontId="12" fillId="0" borderId="0" xfId="0" applyNumberFormat="1" applyFont="1" applyFill="1" applyBorder="1" applyAlignment="1">
      <alignment horizontal="right"/>
    </xf>
    <xf numFmtId="43" fontId="12" fillId="0" borderId="0" xfId="2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12" fillId="0" borderId="0" xfId="2" applyFont="1" applyFill="1" applyAlignment="1">
      <alignment horizontal="right"/>
    </xf>
    <xf numFmtId="0" fontId="12" fillId="0" borderId="0" xfId="0" applyFont="1" applyFill="1" applyBorder="1"/>
    <xf numFmtId="43" fontId="7" fillId="0" borderId="0" xfId="0" applyNumberFormat="1" applyFont="1" applyFill="1"/>
    <xf numFmtId="169" fontId="12" fillId="0" borderId="0" xfId="0" applyNumberFormat="1" applyFont="1" applyFill="1" applyBorder="1"/>
    <xf numFmtId="170" fontId="12" fillId="0" borderId="0" xfId="2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/>
    <xf numFmtId="171" fontId="7" fillId="0" borderId="0" xfId="0" applyNumberFormat="1" applyFont="1" applyFill="1"/>
    <xf numFmtId="0" fontId="4" fillId="0" borderId="0" xfId="0" applyFont="1" applyAlignment="1">
      <alignment horizontal="center"/>
    </xf>
    <xf numFmtId="166" fontId="7" fillId="0" borderId="0" xfId="0" applyNumberFormat="1" applyFont="1" applyFill="1" applyAlignment="1">
      <alignment horizontal="right"/>
    </xf>
    <xf numFmtId="0" fontId="4" fillId="0" borderId="0" xfId="0" applyFont="1" applyBorder="1"/>
    <xf numFmtId="168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3" fontId="7" fillId="0" borderId="0" xfId="2" applyFont="1" applyFill="1" applyBorder="1" applyAlignment="1">
      <alignment horizontal="center"/>
    </xf>
    <xf numFmtId="172" fontId="7" fillId="0" borderId="0" xfId="2" applyNumberFormat="1" applyFont="1" applyFill="1" applyBorder="1" applyAlignment="1">
      <alignment horizontal="center"/>
    </xf>
    <xf numFmtId="43" fontId="4" fillId="0" borderId="0" xfId="2" applyFont="1" applyFill="1" applyBorder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Border="1"/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7" fillId="0" borderId="0" xfId="0" applyFont="1"/>
    <xf numFmtId="0" fontId="8" fillId="0" borderId="0" xfId="0" applyFont="1"/>
    <xf numFmtId="0" fontId="8" fillId="0" borderId="0" xfId="0" applyFont="1" applyFill="1" applyBorder="1"/>
    <xf numFmtId="43" fontId="10" fillId="0" borderId="0" xfId="2" applyFont="1" applyFill="1" applyBorder="1" applyAlignment="1"/>
    <xf numFmtId="0" fontId="9" fillId="0" borderId="0" xfId="0" applyFont="1" applyFill="1"/>
    <xf numFmtId="0" fontId="10" fillId="0" borderId="1" xfId="0" applyFont="1" applyFill="1" applyBorder="1" applyAlignment="1">
      <alignment horizontal="center" vertical="distributed"/>
    </xf>
    <xf numFmtId="0" fontId="10" fillId="0" borderId="1" xfId="0" applyFont="1" applyBorder="1" applyAlignment="1">
      <alignment horizontal="center" vertical="distributed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distributed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distributed"/>
    </xf>
    <xf numFmtId="0" fontId="8" fillId="0" borderId="0" xfId="0" applyFont="1" applyFill="1" applyBorder="1" applyAlignment="1">
      <alignment vertical="center" textRotation="90"/>
    </xf>
    <xf numFmtId="0" fontId="7" fillId="0" borderId="9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172" fontId="7" fillId="0" borderId="16" xfId="2" applyNumberFormat="1" applyFont="1" applyFill="1" applyBorder="1" applyAlignment="1">
      <alignment horizontal="center"/>
    </xf>
    <xf numFmtId="43" fontId="7" fillId="0" borderId="16" xfId="2" applyFont="1" applyFill="1" applyBorder="1" applyAlignment="1">
      <alignment horizontal="center"/>
    </xf>
    <xf numFmtId="43" fontId="4" fillId="0" borderId="16" xfId="2" applyFont="1" applyFill="1" applyBorder="1" applyAlignment="1"/>
    <xf numFmtId="43" fontId="4" fillId="0" borderId="11" xfId="2" applyFont="1" applyFill="1" applyBorder="1" applyAlignment="1"/>
    <xf numFmtId="0" fontId="7" fillId="0" borderId="9" xfId="0" applyFont="1" applyFill="1" applyBorder="1"/>
    <xf numFmtId="0" fontId="7" fillId="0" borderId="16" xfId="0" applyFont="1" applyBorder="1"/>
    <xf numFmtId="0" fontId="7" fillId="0" borderId="11" xfId="0" applyFont="1" applyBorder="1"/>
    <xf numFmtId="166" fontId="8" fillId="0" borderId="1" xfId="0" applyNumberFormat="1" applyFont="1" applyFill="1" applyBorder="1" applyAlignment="1">
      <alignment horizontal="center"/>
    </xf>
    <xf numFmtId="10" fontId="8" fillId="5" borderId="1" xfId="1" applyNumberFormat="1" applyFont="1" applyFill="1" applyBorder="1" applyAlignment="1">
      <alignment horizontal="center"/>
    </xf>
    <xf numFmtId="43" fontId="8" fillId="0" borderId="1" xfId="2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8" fillId="0" borderId="2" xfId="2" applyFont="1" applyFill="1" applyBorder="1" applyAlignment="1">
      <alignment horizontal="center"/>
    </xf>
    <xf numFmtId="10" fontId="10" fillId="5" borderId="1" xfId="1" applyNumberFormat="1" applyFont="1" applyFill="1" applyBorder="1" applyAlignment="1">
      <alignment horizontal="center"/>
    </xf>
    <xf numFmtId="10" fontId="10" fillId="6" borderId="1" xfId="1" applyNumberFormat="1" applyFont="1" applyFill="1" applyBorder="1" applyAlignment="1">
      <alignment horizontal="center"/>
    </xf>
    <xf numFmtId="10" fontId="10" fillId="7" borderId="1" xfId="1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43" fontId="4" fillId="0" borderId="14" xfId="2" applyFont="1" applyFill="1" applyBorder="1" applyAlignment="1"/>
    <xf numFmtId="10" fontId="7" fillId="0" borderId="17" xfId="1" applyNumberFormat="1" applyFont="1" applyFill="1" applyBorder="1"/>
    <xf numFmtId="0" fontId="7" fillId="0" borderId="14" xfId="0" applyFont="1" applyBorder="1"/>
    <xf numFmtId="2" fontId="7" fillId="0" borderId="17" xfId="2" applyNumberFormat="1" applyFont="1" applyFill="1" applyBorder="1" applyAlignment="1">
      <alignment horizontal="center"/>
    </xf>
    <xf numFmtId="0" fontId="7" fillId="0" borderId="14" xfId="0" applyFont="1" applyFill="1" applyBorder="1"/>
    <xf numFmtId="173" fontId="7" fillId="0" borderId="17" xfId="0" applyNumberFormat="1" applyFont="1" applyBorder="1"/>
    <xf numFmtId="0" fontId="7" fillId="0" borderId="0" xfId="0" applyFont="1" applyFill="1" applyBorder="1" applyAlignment="1">
      <alignment horizontal="left"/>
    </xf>
    <xf numFmtId="166" fontId="23" fillId="0" borderId="1" xfId="0" applyNumberFormat="1" applyFont="1" applyFill="1" applyBorder="1" applyAlignment="1">
      <alignment horizontal="center"/>
    </xf>
    <xf numFmtId="10" fontId="23" fillId="0" borderId="1" xfId="1" applyNumberFormat="1" applyFont="1" applyFill="1" applyBorder="1" applyAlignment="1">
      <alignment horizontal="center"/>
    </xf>
    <xf numFmtId="43" fontId="8" fillId="0" borderId="0" xfId="2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2" applyFont="1" applyFill="1" applyBorder="1" applyAlignment="1">
      <alignment horizontal="center"/>
    </xf>
    <xf numFmtId="10" fontId="10" fillId="0" borderId="0" xfId="1" applyNumberFormat="1" applyFont="1" applyFill="1" applyBorder="1" applyAlignment="1"/>
    <xf numFmtId="165" fontId="7" fillId="0" borderId="17" xfId="1" applyNumberFormat="1" applyFont="1" applyFill="1" applyBorder="1" applyAlignment="1">
      <alignment horizontal="center"/>
    </xf>
    <xf numFmtId="167" fontId="4" fillId="0" borderId="17" xfId="2" applyNumberFormat="1" applyFont="1" applyFill="1" applyBorder="1"/>
    <xf numFmtId="174" fontId="7" fillId="0" borderId="17" xfId="0" applyNumberFormat="1" applyFont="1" applyFill="1" applyBorder="1" applyAlignment="1">
      <alignment horizontal="center"/>
    </xf>
    <xf numFmtId="169" fontId="7" fillId="5" borderId="17" xfId="2" applyNumberFormat="1" applyFont="1" applyFill="1" applyBorder="1"/>
    <xf numFmtId="165" fontId="7" fillId="0" borderId="0" xfId="1" applyNumberFormat="1" applyFont="1"/>
    <xf numFmtId="10" fontId="7" fillId="8" borderId="17" xfId="1" applyNumberFormat="1" applyFont="1" applyFill="1" applyBorder="1" applyAlignment="1">
      <alignment horizontal="center"/>
    </xf>
    <xf numFmtId="172" fontId="7" fillId="0" borderId="0" xfId="0" applyNumberFormat="1" applyFont="1" applyBorder="1"/>
    <xf numFmtId="10" fontId="26" fillId="0" borderId="17" xfId="0" applyNumberFormat="1" applyFont="1" applyBorder="1"/>
    <xf numFmtId="0" fontId="27" fillId="0" borderId="0" xfId="0" applyFont="1" applyBorder="1"/>
    <xf numFmtId="0" fontId="10" fillId="0" borderId="0" xfId="0" applyFont="1" applyAlignment="1">
      <alignment horizontal="center"/>
    </xf>
    <xf numFmtId="0" fontId="4" fillId="0" borderId="18" xfId="0" applyFont="1" applyBorder="1"/>
    <xf numFmtId="10" fontId="4" fillId="5" borderId="18" xfId="1" applyNumberFormat="1" applyFont="1" applyFill="1" applyBorder="1" applyAlignment="1">
      <alignment horizontal="center"/>
    </xf>
    <xf numFmtId="10" fontId="4" fillId="7" borderId="18" xfId="1" applyNumberFormat="1" applyFont="1" applyFill="1" applyBorder="1" applyAlignment="1">
      <alignment horizontal="center"/>
    </xf>
    <xf numFmtId="10" fontId="4" fillId="6" borderId="19" xfId="1" applyNumberFormat="1" applyFont="1" applyFill="1" applyBorder="1" applyAlignment="1">
      <alignment horizontal="center"/>
    </xf>
    <xf numFmtId="10" fontId="7" fillId="0" borderId="12" xfId="1" applyNumberFormat="1" applyFont="1" applyBorder="1" applyAlignment="1">
      <alignment horizontal="center"/>
    </xf>
    <xf numFmtId="0" fontId="27" fillId="0" borderId="20" xfId="0" applyFont="1" applyBorder="1"/>
    <xf numFmtId="0" fontId="7" fillId="0" borderId="20" xfId="0" applyFont="1" applyBorder="1"/>
    <xf numFmtId="175" fontId="7" fillId="0" borderId="20" xfId="0" applyNumberFormat="1" applyFont="1" applyBorder="1"/>
    <xf numFmtId="0" fontId="7" fillId="0" borderId="15" xfId="0" applyFont="1" applyBorder="1"/>
    <xf numFmtId="0" fontId="7" fillId="0" borderId="12" xfId="0" applyFont="1" applyFill="1" applyBorder="1"/>
    <xf numFmtId="0" fontId="7" fillId="0" borderId="20" xfId="0" applyFont="1" applyFill="1" applyBorder="1"/>
    <xf numFmtId="0" fontId="7" fillId="0" borderId="15" xfId="0" applyFont="1" applyFill="1" applyBorder="1"/>
    <xf numFmtId="10" fontId="7" fillId="0" borderId="0" xfId="1" applyNumberFormat="1" applyFont="1"/>
    <xf numFmtId="10" fontId="7" fillId="0" borderId="0" xfId="0" applyNumberFormat="1" applyFont="1"/>
    <xf numFmtId="0" fontId="4" fillId="0" borderId="19" xfId="0" applyFont="1" applyBorder="1"/>
    <xf numFmtId="1" fontId="4" fillId="5" borderId="18" xfId="0" applyNumberFormat="1" applyFont="1" applyFill="1" applyBorder="1" applyAlignment="1">
      <alignment horizontal="center"/>
    </xf>
    <xf numFmtId="1" fontId="4" fillId="7" borderId="18" xfId="0" applyNumberFormat="1" applyFont="1" applyFill="1" applyBorder="1" applyAlignment="1">
      <alignment horizontal="center"/>
    </xf>
    <xf numFmtId="1" fontId="4" fillId="6" borderId="19" xfId="0" applyNumberFormat="1" applyFont="1" applyFill="1" applyBorder="1" applyAlignment="1">
      <alignment horizontal="center"/>
    </xf>
    <xf numFmtId="10" fontId="7" fillId="0" borderId="0" xfId="0" applyNumberFormat="1" applyFont="1" applyFill="1" applyBorder="1"/>
    <xf numFmtId="10" fontId="7" fillId="0" borderId="0" xfId="2" applyNumberFormat="1" applyFont="1" applyFill="1" applyBorder="1"/>
    <xf numFmtId="166" fontId="7" fillId="0" borderId="0" xfId="2" applyNumberFormat="1" applyFont="1"/>
    <xf numFmtId="1" fontId="7" fillId="0" borderId="0" xfId="0" applyNumberFormat="1" applyFont="1"/>
    <xf numFmtId="2" fontId="7" fillId="0" borderId="0" xfId="0" applyNumberFormat="1" applyFont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176" fontId="7" fillId="0" borderId="16" xfId="2" applyNumberFormat="1" applyFont="1" applyBorder="1" applyAlignment="1">
      <alignment horizontal="center" vertical="center"/>
    </xf>
    <xf numFmtId="2" fontId="7" fillId="0" borderId="16" xfId="0" applyNumberFormat="1" applyFont="1" applyBorder="1"/>
    <xf numFmtId="10" fontId="9" fillId="0" borderId="2" xfId="1" applyNumberFormat="1" applyFont="1" applyFill="1" applyBorder="1"/>
    <xf numFmtId="0" fontId="7" fillId="0" borderId="4" xfId="0" applyFont="1" applyBorder="1"/>
    <xf numFmtId="0" fontId="4" fillId="0" borderId="1" xfId="0" applyFont="1" applyBorder="1" applyAlignment="1">
      <alignment horizontal="right"/>
    </xf>
    <xf numFmtId="43" fontId="4" fillId="0" borderId="17" xfId="2" applyFont="1" applyFill="1" applyBorder="1" applyAlignment="1">
      <alignment horizontal="left"/>
    </xf>
    <xf numFmtId="43" fontId="7" fillId="0" borderId="0" xfId="2" applyFont="1" applyFill="1" applyBorder="1" applyAlignment="1"/>
    <xf numFmtId="167" fontId="7" fillId="0" borderId="0" xfId="2" applyNumberFormat="1" applyFont="1" applyFill="1" applyBorder="1"/>
    <xf numFmtId="10" fontId="9" fillId="0" borderId="0" xfId="1" applyNumberFormat="1" applyFont="1" applyFill="1" applyBorder="1" applyAlignment="1">
      <alignment horizontal="center"/>
    </xf>
    <xf numFmtId="0" fontId="9" fillId="9" borderId="12" xfId="0" applyFont="1" applyFill="1" applyBorder="1"/>
    <xf numFmtId="0" fontId="7" fillId="9" borderId="20" xfId="0" applyFont="1" applyFill="1" applyBorder="1"/>
    <xf numFmtId="0" fontId="4" fillId="9" borderId="4" xfId="0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center" vertical="distributed"/>
    </xf>
    <xf numFmtId="0" fontId="7" fillId="0" borderId="17" xfId="0" applyFont="1" applyBorder="1"/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166" fontId="9" fillId="0" borderId="0" xfId="2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7" fillId="10" borderId="1" xfId="0" applyFont="1" applyFill="1" applyBorder="1"/>
    <xf numFmtId="0" fontId="4" fillId="10" borderId="1" xfId="0" applyFont="1" applyFill="1" applyBorder="1" applyAlignment="1">
      <alignment horizontal="right"/>
    </xf>
    <xf numFmtId="1" fontId="4" fillId="10" borderId="1" xfId="0" applyNumberFormat="1" applyFont="1" applyFill="1" applyBorder="1" applyAlignment="1">
      <alignment horizontal="center" vertical="distributed"/>
    </xf>
    <xf numFmtId="167" fontId="7" fillId="0" borderId="0" xfId="0" applyNumberFormat="1" applyFont="1" applyFill="1" applyBorder="1"/>
    <xf numFmtId="166" fontId="9" fillId="11" borderId="2" xfId="0" applyNumberFormat="1" applyFont="1" applyFill="1" applyBorder="1" applyAlignment="1">
      <alignment horizontal="center"/>
    </xf>
    <xf numFmtId="43" fontId="4" fillId="11" borderId="4" xfId="2" applyFont="1" applyFill="1" applyBorder="1" applyAlignment="1">
      <alignment horizontal="right"/>
    </xf>
    <xf numFmtId="1" fontId="4" fillId="11" borderId="1" xfId="0" applyNumberFormat="1" applyFont="1" applyFill="1" applyBorder="1" applyAlignment="1">
      <alignment horizontal="center" vertical="distributed"/>
    </xf>
    <xf numFmtId="49" fontId="7" fillId="0" borderId="0" xfId="0" applyNumberFormat="1" applyFont="1" applyFill="1" applyBorder="1"/>
    <xf numFmtId="1" fontId="7" fillId="0" borderId="0" xfId="0" applyNumberFormat="1" applyFont="1" applyAlignment="1">
      <alignment horizontal="center"/>
    </xf>
    <xf numFmtId="43" fontId="7" fillId="0" borderId="20" xfId="2" applyFont="1" applyFill="1" applyBorder="1" applyAlignment="1">
      <alignment horizontal="center"/>
    </xf>
    <xf numFmtId="43" fontId="4" fillId="0" borderId="20" xfId="2" applyFont="1" applyFill="1" applyBorder="1" applyAlignment="1"/>
    <xf numFmtId="0" fontId="7" fillId="0" borderId="2" xfId="0" applyFont="1" applyFill="1" applyBorder="1"/>
    <xf numFmtId="0" fontId="7" fillId="0" borderId="4" xfId="0" applyFont="1" applyFill="1" applyBorder="1"/>
    <xf numFmtId="0" fontId="9" fillId="9" borderId="17" xfId="0" applyFont="1" applyFill="1" applyBorder="1"/>
    <xf numFmtId="0" fontId="7" fillId="9" borderId="0" xfId="0" applyFont="1" applyFill="1" applyBorder="1"/>
    <xf numFmtId="0" fontId="4" fillId="9" borderId="16" xfId="0" applyFont="1" applyFill="1" applyBorder="1" applyAlignment="1">
      <alignment horizontal="right"/>
    </xf>
    <xf numFmtId="49" fontId="8" fillId="0" borderId="0" xfId="0" applyNumberFormat="1" applyFont="1"/>
    <xf numFmtId="0" fontId="9" fillId="6" borderId="2" xfId="0" applyFont="1" applyFill="1" applyBorder="1" applyAlignment="1">
      <alignment horizontal="center"/>
    </xf>
    <xf numFmtId="0" fontId="7" fillId="6" borderId="4" xfId="0" applyFont="1" applyFill="1" applyBorder="1"/>
    <xf numFmtId="0" fontId="4" fillId="6" borderId="3" xfId="0" applyFont="1" applyFill="1" applyBorder="1" applyAlignment="1">
      <alignment horizontal="right"/>
    </xf>
    <xf numFmtId="1" fontId="4" fillId="6" borderId="3" xfId="0" applyNumberFormat="1" applyFont="1" applyFill="1" applyBorder="1" applyAlignment="1">
      <alignment horizontal="center" vertical="distributed"/>
    </xf>
    <xf numFmtId="1" fontId="4" fillId="6" borderId="1" xfId="0" applyNumberFormat="1" applyFont="1" applyFill="1" applyBorder="1" applyAlignment="1">
      <alignment horizontal="center" vertical="distributed"/>
    </xf>
    <xf numFmtId="166" fontId="9" fillId="11" borderId="12" xfId="0" applyNumberFormat="1" applyFont="1" applyFill="1" applyBorder="1" applyAlignment="1">
      <alignment horizontal="center"/>
    </xf>
    <xf numFmtId="43" fontId="4" fillId="11" borderId="0" xfId="2" applyFont="1" applyFill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4" fillId="0" borderId="0" xfId="2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166" fontId="8" fillId="0" borderId="1" xfId="2" applyNumberFormat="1" applyFont="1" applyFill="1" applyBorder="1"/>
    <xf numFmtId="0" fontId="8" fillId="0" borderId="1" xfId="0" applyFont="1" applyFill="1" applyBorder="1"/>
    <xf numFmtId="0" fontId="28" fillId="0" borderId="1" xfId="0" applyFont="1" applyFill="1" applyBorder="1" applyAlignment="1">
      <alignment horizontal="right"/>
    </xf>
    <xf numFmtId="43" fontId="7" fillId="0" borderId="1" xfId="2" applyFont="1" applyFill="1" applyBorder="1"/>
    <xf numFmtId="166" fontId="4" fillId="0" borderId="0" xfId="0" applyNumberFormat="1" applyFont="1" applyFill="1" applyBorder="1"/>
    <xf numFmtId="0" fontId="12" fillId="0" borderId="1" xfId="0" applyFont="1" applyBorder="1" applyAlignment="1">
      <alignment horizontal="right"/>
    </xf>
    <xf numFmtId="0" fontId="8" fillId="0" borderId="2" xfId="0" applyFont="1" applyBorder="1"/>
    <xf numFmtId="0" fontId="8" fillId="0" borderId="3" xfId="0" applyFont="1" applyBorder="1" applyAlignment="1">
      <alignment horizontal="right"/>
    </xf>
    <xf numFmtId="166" fontId="10" fillId="0" borderId="1" xfId="0" applyNumberFormat="1" applyFont="1" applyBorder="1" applyAlignment="1">
      <alignment horizontal="center"/>
    </xf>
    <xf numFmtId="166" fontId="10" fillId="0" borderId="1" xfId="2" applyNumberFormat="1" applyFont="1" applyFill="1" applyBorder="1"/>
    <xf numFmtId="0" fontId="4" fillId="0" borderId="0" xfId="0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center"/>
    </xf>
    <xf numFmtId="166" fontId="8" fillId="0" borderId="0" xfId="2" applyNumberFormat="1" applyFont="1" applyFill="1" applyBorder="1"/>
    <xf numFmtId="166" fontId="10" fillId="0" borderId="0" xfId="2" applyNumberFormat="1" applyFont="1" applyFill="1" applyBorder="1"/>
    <xf numFmtId="166" fontId="29" fillId="0" borderId="0" xfId="0" applyNumberFormat="1" applyFont="1" applyFill="1" applyBorder="1"/>
    <xf numFmtId="0" fontId="30" fillId="0" borderId="21" xfId="0" applyFont="1" applyBorder="1"/>
    <xf numFmtId="166" fontId="8" fillId="0" borderId="0" xfId="2" applyNumberFormat="1" applyFont="1"/>
    <xf numFmtId="43" fontId="30" fillId="0" borderId="1" xfId="2" applyFont="1" applyBorder="1"/>
    <xf numFmtId="43" fontId="10" fillId="0" borderId="0" xfId="2" applyFont="1"/>
    <xf numFmtId="166" fontId="7" fillId="0" borderId="0" xfId="0" applyNumberFormat="1" applyFont="1"/>
    <xf numFmtId="0" fontId="10" fillId="0" borderId="0" xfId="0" applyFont="1" applyBorder="1" applyAlignment="1">
      <alignment horizontal="right"/>
    </xf>
    <xf numFmtId="43" fontId="8" fillId="8" borderId="0" xfId="0" applyNumberFormat="1" applyFont="1" applyFill="1"/>
    <xf numFmtId="43" fontId="7" fillId="0" borderId="0" xfId="2" applyFont="1" applyBorder="1"/>
    <xf numFmtId="43" fontId="4" fillId="0" borderId="1" xfId="0" applyNumberFormat="1" applyFont="1" applyBorder="1"/>
    <xf numFmtId="43" fontId="8" fillId="0" borderId="0" xfId="0" applyNumberFormat="1" applyFont="1"/>
    <xf numFmtId="168" fontId="7" fillId="0" borderId="0" xfId="0" applyNumberFormat="1" applyFont="1"/>
    <xf numFmtId="0" fontId="7" fillId="0" borderId="1" xfId="0" applyFont="1" applyFill="1" applyBorder="1" applyAlignment="1">
      <alignment horizontal="right"/>
    </xf>
    <xf numFmtId="167" fontId="4" fillId="8" borderId="1" xfId="2" applyNumberFormat="1" applyFont="1" applyFill="1" applyBorder="1"/>
    <xf numFmtId="172" fontId="8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9" fontId="7" fillId="0" borderId="0" xfId="1" applyFont="1" applyFill="1" applyBorder="1"/>
    <xf numFmtId="49" fontId="7" fillId="12" borderId="18" xfId="0" applyNumberFormat="1" applyFont="1" applyFill="1" applyBorder="1"/>
    <xf numFmtId="49" fontId="7" fillId="12" borderId="22" xfId="0" applyNumberFormat="1" applyFont="1" applyFill="1" applyBorder="1"/>
    <xf numFmtId="49" fontId="7" fillId="12" borderId="23" xfId="0" applyNumberFormat="1" applyFont="1" applyFill="1" applyBorder="1" applyAlignment="1">
      <alignment horizontal="right"/>
    </xf>
    <xf numFmtId="0" fontId="7" fillId="0" borderId="24" xfId="0" applyFont="1" applyBorder="1"/>
    <xf numFmtId="49" fontId="7" fillId="12" borderId="25" xfId="0" applyNumberFormat="1" applyFont="1" applyFill="1" applyBorder="1"/>
    <xf numFmtId="166" fontId="7" fillId="12" borderId="0" xfId="0" applyNumberFormat="1" applyFont="1" applyFill="1" applyBorder="1"/>
    <xf numFmtId="2" fontId="7" fillId="12" borderId="0" xfId="0" applyNumberFormat="1" applyFont="1" applyFill="1" applyBorder="1"/>
    <xf numFmtId="10" fontId="7" fillId="12" borderId="0" xfId="0" applyNumberFormat="1" applyFont="1" applyFill="1" applyBorder="1"/>
    <xf numFmtId="1" fontId="7" fillId="12" borderId="0" xfId="0" applyNumberFormat="1" applyFont="1" applyFill="1" applyBorder="1" applyAlignment="1">
      <alignment horizontal="center"/>
    </xf>
    <xf numFmtId="0" fontId="7" fillId="0" borderId="26" xfId="0" applyFont="1" applyBorder="1"/>
    <xf numFmtId="49" fontId="7" fillId="12" borderId="21" xfId="0" applyNumberFormat="1" applyFont="1" applyFill="1" applyBorder="1"/>
    <xf numFmtId="10" fontId="7" fillId="12" borderId="26" xfId="0" applyNumberFormat="1" applyFont="1" applyFill="1" applyBorder="1" applyAlignment="1">
      <alignment horizontal="center"/>
    </xf>
    <xf numFmtId="0" fontId="33" fillId="0" borderId="0" xfId="0" applyFont="1" applyFill="1" applyBorder="1"/>
    <xf numFmtId="49" fontId="7" fillId="12" borderId="1" xfId="0" applyNumberFormat="1" applyFont="1" applyFill="1" applyBorder="1" applyAlignment="1">
      <alignment horizontal="center"/>
    </xf>
    <xf numFmtId="49" fontId="7" fillId="12" borderId="2" xfId="0" applyNumberFormat="1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7" fillId="12" borderId="21" xfId="0" applyFont="1" applyFill="1" applyBorder="1"/>
    <xf numFmtId="0" fontId="7" fillId="12" borderId="1" xfId="0" applyFont="1" applyFill="1" applyBorder="1" applyAlignment="1">
      <alignment horizontal="center"/>
    </xf>
    <xf numFmtId="49" fontId="7" fillId="12" borderId="28" xfId="0" applyNumberFormat="1" applyFont="1" applyFill="1" applyBorder="1"/>
    <xf numFmtId="0" fontId="7" fillId="12" borderId="29" xfId="0" applyFont="1" applyFill="1" applyBorder="1"/>
    <xf numFmtId="0" fontId="7" fillId="12" borderId="30" xfId="0" applyFont="1" applyFill="1" applyBorder="1"/>
    <xf numFmtId="49" fontId="4" fillId="12" borderId="1" xfId="0" applyNumberFormat="1" applyFont="1" applyFill="1" applyBorder="1" applyAlignment="1">
      <alignment horizontal="center" vertical="distributed"/>
    </xf>
    <xf numFmtId="0" fontId="4" fillId="12" borderId="1" xfId="0" applyFont="1" applyFill="1" applyBorder="1" applyAlignment="1">
      <alignment horizontal="center" vertical="distributed"/>
    </xf>
    <xf numFmtId="0" fontId="7" fillId="0" borderId="0" xfId="0" applyFont="1" applyAlignment="1">
      <alignment vertical="distributed"/>
    </xf>
    <xf numFmtId="0" fontId="7" fillId="0" borderId="0" xfId="0" applyFont="1" applyFill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/>
    </xf>
    <xf numFmtId="167" fontId="7" fillId="0" borderId="0" xfId="0" applyNumberFormat="1" applyFont="1"/>
    <xf numFmtId="174" fontId="7" fillId="0" borderId="1" xfId="0" applyNumberFormat="1" applyFont="1" applyBorder="1" applyAlignment="1">
      <alignment horizontal="center" vertical="distributed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9" xfId="0" applyFont="1" applyBorder="1"/>
    <xf numFmtId="0" fontId="7" fillId="0" borderId="12" xfId="0" applyFont="1" applyBorder="1"/>
    <xf numFmtId="3" fontId="7" fillId="0" borderId="11" xfId="0" applyNumberFormat="1" applyFont="1" applyBorder="1"/>
    <xf numFmtId="3" fontId="7" fillId="0" borderId="15" xfId="0" applyNumberFormat="1" applyFont="1" applyBorder="1"/>
    <xf numFmtId="0" fontId="3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/>
    <xf numFmtId="43" fontId="4" fillId="0" borderId="16" xfId="2" applyFont="1" applyFill="1" applyBorder="1" applyAlignment="1">
      <alignment horizontal="right"/>
    </xf>
    <xf numFmtId="49" fontId="4" fillId="0" borderId="0" xfId="0" applyNumberFormat="1" applyFont="1"/>
    <xf numFmtId="49" fontId="4" fillId="0" borderId="1" xfId="2" applyNumberFormat="1" applyFont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43" fontId="7" fillId="11" borderId="4" xfId="2" applyFont="1" applyFill="1" applyBorder="1"/>
    <xf numFmtId="0" fontId="35" fillId="0" borderId="0" xfId="0" applyFont="1" applyFill="1"/>
    <xf numFmtId="43" fontId="7" fillId="11" borderId="0" xfId="2" applyFont="1" applyFill="1" applyBorder="1"/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9" fontId="7" fillId="0" borderId="0" xfId="2" applyNumberFormat="1" applyFont="1"/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12" borderId="1" xfId="0" applyFont="1" applyFill="1" applyBorder="1" applyAlignment="1">
      <alignment horizontal="center" vertical="distributed"/>
    </xf>
    <xf numFmtId="174" fontId="7" fillId="0" borderId="0" xfId="0" applyNumberFormat="1" applyFont="1" applyBorder="1" applyAlignment="1">
      <alignment horizontal="center" vertical="distributed"/>
    </xf>
    <xf numFmtId="0" fontId="3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4" fontId="41" fillId="0" borderId="1" xfId="2" applyNumberFormat="1" applyFont="1" applyBorder="1" applyAlignment="1">
      <alignment horizontal="center" vertical="center"/>
    </xf>
    <xf numFmtId="4" fontId="41" fillId="0" borderId="1" xfId="2" applyNumberFormat="1" applyFont="1" applyFill="1" applyBorder="1" applyAlignment="1">
      <alignment horizontal="center" vertical="center"/>
    </xf>
    <xf numFmtId="4" fontId="40" fillId="0" borderId="0" xfId="2" applyNumberFormat="1" applyFont="1" applyBorder="1" applyAlignment="1">
      <alignment horizontal="center" vertical="center"/>
    </xf>
    <xf numFmtId="4" fontId="40" fillId="0" borderId="0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43" fillId="0" borderId="1" xfId="0" applyNumberFormat="1" applyFont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38" fillId="0" borderId="0" xfId="0" applyFont="1"/>
    <xf numFmtId="0" fontId="37" fillId="0" borderId="0" xfId="0" applyFont="1" applyAlignment="1">
      <alignment horizontal="center"/>
    </xf>
    <xf numFmtId="0" fontId="37" fillId="0" borderId="0" xfId="0" applyFont="1"/>
    <xf numFmtId="0" fontId="42" fillId="0" borderId="1" xfId="0" applyFont="1" applyBorder="1" applyAlignment="1">
      <alignment horizontal="left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44" fillId="12" borderId="1" xfId="0" applyFont="1" applyFill="1" applyBorder="1" applyAlignment="1">
      <alignment horizontal="center" vertical="distributed"/>
    </xf>
    <xf numFmtId="0" fontId="45" fillId="0" borderId="1" xfId="0" applyFont="1" applyBorder="1" applyAlignment="1">
      <alignment horizontal="center" vertical="center"/>
    </xf>
    <xf numFmtId="0" fontId="44" fillId="0" borderId="0" xfId="0" applyFont="1"/>
    <xf numFmtId="0" fontId="45" fillId="0" borderId="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/>
    <xf numFmtId="17" fontId="7" fillId="0" borderId="0" xfId="0" applyNumberFormat="1" applyFont="1" applyAlignment="1">
      <alignment horizontal="center"/>
    </xf>
    <xf numFmtId="0" fontId="4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0" fillId="0" borderId="1" xfId="0" applyFont="1" applyBorder="1" applyAlignment="1">
      <alignment horizontal="right" vertical="center"/>
    </xf>
    <xf numFmtId="43" fontId="7" fillId="4" borderId="1" xfId="0" applyNumberFormat="1" applyFont="1" applyFill="1" applyBorder="1" applyAlignment="1">
      <alignment vertical="center"/>
    </xf>
    <xf numFmtId="0" fontId="2" fillId="17" borderId="1" xfId="0" applyFont="1" applyFill="1" applyBorder="1" applyAlignment="1">
      <alignment horizontal="center" vertical="center" wrapText="1"/>
    </xf>
    <xf numFmtId="2" fontId="43" fillId="0" borderId="0" xfId="0" applyNumberFormat="1" applyFont="1" applyFill="1"/>
    <xf numFmtId="0" fontId="46" fillId="2" borderId="1" xfId="0" applyFont="1" applyFill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3" fontId="7" fillId="0" borderId="12" xfId="0" applyNumberFormat="1" applyFont="1" applyBorder="1"/>
    <xf numFmtId="0" fontId="46" fillId="2" borderId="0" xfId="0" applyFont="1" applyFill="1" applyAlignment="1">
      <alignment horizontal="center" vertical="center"/>
    </xf>
    <xf numFmtId="2" fontId="41" fillId="0" borderId="0" xfId="0" applyNumberFormat="1" applyFont="1" applyFill="1"/>
    <xf numFmtId="0" fontId="45" fillId="0" borderId="0" xfId="0" applyFont="1"/>
    <xf numFmtId="43" fontId="7" fillId="0" borderId="0" xfId="2" applyFont="1"/>
    <xf numFmtId="0" fontId="7" fillId="14" borderId="25" xfId="0" applyFont="1" applyFill="1" applyBorder="1"/>
    <xf numFmtId="0" fontId="7" fillId="14" borderId="33" xfId="0" applyFont="1" applyFill="1" applyBorder="1"/>
    <xf numFmtId="0" fontId="7" fillId="14" borderId="31" xfId="0" applyFont="1" applyFill="1" applyBorder="1" applyAlignment="1">
      <alignment horizontal="center" vertical="center" wrapText="1"/>
    </xf>
    <xf numFmtId="164" fontId="7" fillId="14" borderId="27" xfId="0" applyNumberFormat="1" applyFont="1" applyFill="1" applyBorder="1" applyAlignment="1">
      <alignment horizontal="center" vertical="center"/>
    </xf>
    <xf numFmtId="164" fontId="7" fillId="14" borderId="36" xfId="0" applyNumberFormat="1" applyFont="1" applyFill="1" applyBorder="1" applyAlignment="1">
      <alignment horizontal="center" vertical="center"/>
    </xf>
    <xf numFmtId="2" fontId="34" fillId="0" borderId="0" xfId="0" applyNumberFormat="1" applyFont="1"/>
    <xf numFmtId="0" fontId="7" fillId="14" borderId="32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left" vertical="center"/>
    </xf>
    <xf numFmtId="0" fontId="7" fillId="14" borderId="34" xfId="0" applyFont="1" applyFill="1" applyBorder="1" applyAlignment="1">
      <alignment horizontal="right" vertical="center"/>
    </xf>
    <xf numFmtId="0" fontId="7" fillId="14" borderId="35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4" fillId="0" borderId="7" xfId="0" applyFont="1" applyBorder="1" applyAlignment="1">
      <alignment horizontal="left" vertical="distributed"/>
    </xf>
    <xf numFmtId="0" fontId="8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7" fillId="14" borderId="32" xfId="0" applyFont="1" applyFill="1" applyBorder="1" applyAlignment="1">
      <alignment horizontal="left" vertical="center" wrapText="1"/>
    </xf>
    <xf numFmtId="0" fontId="7" fillId="14" borderId="1" xfId="0" applyFont="1" applyFill="1" applyBorder="1" applyAlignment="1">
      <alignment horizontal="left" vertical="center" wrapText="1"/>
    </xf>
  </cellXfs>
  <cellStyles count="4">
    <cellStyle name="Millares" xfId="2" builtinId="3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3300"/>
      <color rgb="FFFF6600"/>
      <color rgb="FF008000"/>
      <color rgb="FFFFFFCC"/>
      <color rgb="FFFFFF66"/>
      <color rgb="FFCCFF66"/>
      <color rgb="FFFFCCFF"/>
      <color rgb="FFFFCC00"/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1644975554912019E-2"/>
          <c:y val="9.3203825367530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351136228131442"/>
          <c:y val="0.22912557756798019"/>
          <c:w val="0.77611216632880775"/>
          <c:h val="0.66935194731869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MenB'!$B$4</c:f>
              <c:strCache>
                <c:ptCount val="1"/>
                <c:pt idx="0">
                  <c:v>Franja 00-01 año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noFill/>
              </a:ln>
              <a:effectLst/>
            </c:spPr>
          </c:marker>
          <c:trendline>
            <c:spPr>
              <a:ln w="22225" cap="rnd">
                <a:solidFill>
                  <a:srgbClr val="FF66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576840195560705"/>
                  <c:y val="-0.54478627635126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MenB'!$C$3:$U$3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xVal>
          <c:yVal>
            <c:numRef>
              <c:f>'Tend Hosp+Def MenB'!$C$4:$U$4</c:f>
              <c:numCache>
                <c:formatCode>0.00</c:formatCode>
                <c:ptCount val="19"/>
                <c:pt idx="0">
                  <c:v>25.250331240904451</c:v>
                </c:pt>
                <c:pt idx="1">
                  <c:v>22.091119370013256</c:v>
                </c:pt>
                <c:pt idx="2">
                  <c:v>18.796380067817338</c:v>
                </c:pt>
                <c:pt idx="3">
                  <c:v>23.441620597370633</c:v>
                </c:pt>
                <c:pt idx="4">
                  <c:v>23.0681045008435</c:v>
                </c:pt>
                <c:pt idx="5">
                  <c:v>26.424793231639285</c:v>
                </c:pt>
                <c:pt idx="6">
                  <c:v>23.445425841241601</c:v>
                </c:pt>
                <c:pt idx="7">
                  <c:v>22.457294065554112</c:v>
                </c:pt>
                <c:pt idx="8">
                  <c:v>22.383512470518014</c:v>
                </c:pt>
                <c:pt idx="9">
                  <c:v>22.856733991342267</c:v>
                </c:pt>
                <c:pt idx="10">
                  <c:v>19.067973352507241</c:v>
                </c:pt>
                <c:pt idx="11">
                  <c:v>13.129704810890569</c:v>
                </c:pt>
                <c:pt idx="12">
                  <c:v>14.324142710591229</c:v>
                </c:pt>
                <c:pt idx="13">
                  <c:v>11.256117808260692</c:v>
                </c:pt>
                <c:pt idx="14">
                  <c:v>10.844085128375509</c:v>
                </c:pt>
                <c:pt idx="15">
                  <c:v>10.465699857999482</c:v>
                </c:pt>
                <c:pt idx="16">
                  <c:v>8.8512087880542172</c:v>
                </c:pt>
                <c:pt idx="17">
                  <c:v>7.0720495531196272</c:v>
                </c:pt>
                <c:pt idx="18">
                  <c:v>6.3135298945640503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A-44CA-9E13-557EF5331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864671"/>
        <c:axId val="1567860095"/>
      </c:scatterChart>
      <c:valAx>
        <c:axId val="1567864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993300"/>
                    </a:solidFill>
                  </a:rPr>
                  <a:t>Gráfico</a:t>
                </a:r>
                <a:r>
                  <a:rPr lang="en-US" b="1" baseline="0">
                    <a:solidFill>
                      <a:srgbClr val="993300"/>
                    </a:solidFill>
                  </a:rPr>
                  <a:t> 1: 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Tasas de Enfermedad meningocócica B, España 1999-2017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3958187826857231E-2"/>
              <c:y val="2.41784634222539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7860095"/>
        <c:crosses val="autoZero"/>
        <c:crossBetween val="midCat"/>
      </c:valAx>
      <c:valAx>
        <c:axId val="156786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ysClr val="windowText" lastClr="000000"/>
                    </a:solidFill>
                  </a:rPr>
                  <a:t>Casos</a:t>
                </a:r>
                <a:r>
                  <a:rPr lang="es-ES" b="1" baseline="0">
                    <a:solidFill>
                      <a:sysClr val="windowText" lastClr="000000"/>
                    </a:solidFill>
                  </a:rPr>
                  <a:t> de Enf Men B / 100.000</a:t>
                </a:r>
                <a:endParaRPr lang="es-E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416035349223834E-2"/>
              <c:y val="0.20671690386026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78646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7542990029563609E-2"/>
          <c:y val="0.12205525268324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51217765549158"/>
          <c:y val="0.29916619168078412"/>
          <c:w val="0.74594258866826846"/>
          <c:h val="0.5830233043003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MenB'!$M$75</c:f>
              <c:strCache>
                <c:ptCount val="1"/>
                <c:pt idx="0">
                  <c:v>Franja 00-01 año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094517027519028E-3"/>
                  <c:y val="-4.6747966410876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29-4178-9275-B8DC7011ED6B}"/>
                </c:ext>
              </c:extLst>
            </c:dLbl>
            <c:dLbl>
              <c:idx val="4"/>
              <c:layout>
                <c:manualLayout>
                  <c:x val="-5.2606789467823482E-2"/>
                  <c:y val="-5.6714899864520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29-4178-9275-B8DC7011ED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518808206464227"/>
                  <c:y val="-0.198487681944696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MenB'!$N$74:$S$74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'Tend Hosp+Def MenB'!$N$75:$S$75</c:f>
              <c:numCache>
                <c:formatCode>#,##0.00</c:formatCode>
                <c:ptCount val="6"/>
                <c:pt idx="0">
                  <c:v>0.83363205148511554</c:v>
                </c:pt>
                <c:pt idx="1">
                  <c:v>1.0532457875434726</c:v>
                </c:pt>
                <c:pt idx="2">
                  <c:v>1.2987828240300798</c:v>
                </c:pt>
                <c:pt idx="3">
                  <c:v>0.92290086198940513</c:v>
                </c:pt>
                <c:pt idx="4">
                  <c:v>1.1892840747726683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5A-43FA-8F5E-4F8629FDB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70416"/>
        <c:axId val="598271664"/>
      </c:scatterChart>
      <c:valAx>
        <c:axId val="59827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rgbClr val="993300"/>
                    </a:solidFill>
                  </a:rPr>
                  <a:t>Gráfico</a:t>
                </a:r>
                <a:r>
                  <a:rPr lang="es-ES" sz="1050" b="1" baseline="0">
                    <a:solidFill>
                      <a:srgbClr val="993300"/>
                    </a:solidFill>
                  </a:rPr>
                  <a:t> ...: </a:t>
                </a:r>
                <a:r>
                  <a:rPr lang="es-ES" sz="1050" b="1" baseline="0">
                    <a:solidFill>
                      <a:sysClr val="windowText" lastClr="000000"/>
                    </a:solidFill>
                  </a:rPr>
                  <a:t>Tasa Defunc Enf Men B, España 2010-2014</a:t>
                </a:r>
                <a:endParaRPr lang="es-ES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375086652568342E-2"/>
              <c:y val="3.7488079109526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8271664"/>
        <c:crosses val="autoZero"/>
        <c:crossBetween val="midCat"/>
      </c:valAx>
      <c:valAx>
        <c:axId val="5982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ysClr val="windowText" lastClr="000000"/>
                    </a:solidFill>
                  </a:rPr>
                  <a:t>Defunciones Enf Men B / 100.000</a:t>
                </a:r>
              </a:p>
            </c:rich>
          </c:tx>
          <c:layout>
            <c:manualLayout>
              <c:xMode val="edge"/>
              <c:yMode val="edge"/>
              <c:x val="2.1661619192633198E-2"/>
              <c:y val="0.22407072546397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8270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2593859690325841E-2"/>
          <c:y val="9.001959875516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10634748572729"/>
          <c:y val="0.24720382035931446"/>
          <c:w val="0.75067276353154222"/>
          <c:h val="0.620750895765889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MenB'!$M$96</c:f>
              <c:strCache>
                <c:ptCount val="1"/>
                <c:pt idx="0">
                  <c:v>Franja 01-04 años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590993519306866"/>
                  <c:y val="-0.438851844515754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MenB'!$N$95:$S$95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'Tend Hosp+Def MenB'!$N$96:$S$96</c:f>
              <c:numCache>
                <c:formatCode>#,##0.00</c:formatCode>
                <c:ptCount val="6"/>
                <c:pt idx="0">
                  <c:v>0.34846796061117297</c:v>
                </c:pt>
                <c:pt idx="1">
                  <c:v>0.24898178897399087</c:v>
                </c:pt>
                <c:pt idx="2">
                  <c:v>0.30217992598606347</c:v>
                </c:pt>
                <c:pt idx="3">
                  <c:v>0.36228227482215825</c:v>
                </c:pt>
                <c:pt idx="4">
                  <c:v>5.3707596509865549E-2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48-4296-A67F-FDA5EFB4C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837568"/>
        <c:axId val="484838816"/>
      </c:scatterChart>
      <c:valAx>
        <c:axId val="48483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rgbClr val="993300"/>
                    </a:solidFill>
                  </a:rPr>
                  <a:t>Gráfico</a:t>
                </a:r>
                <a:r>
                  <a:rPr lang="es-ES" sz="1050" b="1" baseline="0">
                    <a:solidFill>
                      <a:srgbClr val="993300"/>
                    </a:solidFill>
                  </a:rPr>
                  <a:t> ...: </a:t>
                </a:r>
                <a:r>
                  <a:rPr lang="es-ES" sz="1050" b="1" baseline="0">
                    <a:solidFill>
                      <a:sysClr val="windowText" lastClr="000000"/>
                    </a:solidFill>
                  </a:rPr>
                  <a:t>Tasas Defunc Enf MenB, España 2010-2014</a:t>
                </a:r>
                <a:endParaRPr lang="es-ES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3818405606294359E-2"/>
              <c:y val="3.75790477218071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838816"/>
        <c:crosses val="autoZero"/>
        <c:crossBetween val="midCat"/>
      </c:valAx>
      <c:valAx>
        <c:axId val="48483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ysClr val="windowText" lastClr="000000"/>
                    </a:solidFill>
                  </a:rPr>
                  <a:t>Defunciones Enf Men B / 100.000</a:t>
                </a:r>
              </a:p>
            </c:rich>
          </c:tx>
          <c:layout>
            <c:manualLayout>
              <c:xMode val="edge"/>
              <c:yMode val="edge"/>
              <c:x val="3.4749758416213639E-2"/>
              <c:y val="0.196634614991884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83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2056044248685391E-2"/>
          <c:y val="9.1690957200896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677507248173884"/>
          <c:y val="0.23605002974339021"/>
          <c:w val="0.7524939553286103"/>
          <c:h val="0.665303594746908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MenB'!$M$117</c:f>
              <c:strCache>
                <c:ptCount val="1"/>
                <c:pt idx="0">
                  <c:v>Todas las edades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9645256885289319"/>
                  <c:y val="-0.377996856728130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MenB'!$N$116:$R$116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xVal>
          <c:yVal>
            <c:numRef>
              <c:f>'Tend Hosp+Def MenB'!$N$117:$R$117</c:f>
              <c:numCache>
                <c:formatCode>#,##0.00</c:formatCode>
                <c:ptCount val="5"/>
                <c:pt idx="0">
                  <c:v>5.154364740760474E-2</c:v>
                </c:pt>
                <c:pt idx="1">
                  <c:v>7.2748664725004811E-2</c:v>
                </c:pt>
                <c:pt idx="2">
                  <c:v>4.4904025023601878E-2</c:v>
                </c:pt>
                <c:pt idx="3">
                  <c:v>5.3655862586563269E-2</c:v>
                </c:pt>
                <c:pt idx="4">
                  <c:v>3.8747067923265655E-2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1D-45A3-BE92-2FE33B587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445247"/>
        <c:axId val="1139434847"/>
      </c:scatterChart>
      <c:valAx>
        <c:axId val="113944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rgbClr val="993300"/>
                    </a:solidFill>
                  </a:rPr>
                  <a:t>Gráfico ...: </a:t>
                </a:r>
                <a:r>
                  <a:rPr lang="es-ES" sz="1050" b="1">
                    <a:solidFill>
                      <a:sysClr val="windowText" lastClr="000000"/>
                    </a:solidFill>
                  </a:rPr>
                  <a:t>Tasas Defunc Enf Men B; España 2010-14</a:t>
                </a:r>
              </a:p>
            </c:rich>
          </c:tx>
          <c:layout>
            <c:manualLayout>
              <c:xMode val="edge"/>
              <c:yMode val="edge"/>
              <c:x val="2.1166917471213839E-2"/>
              <c:y val="1.77460263878820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9434847"/>
        <c:crosses val="autoZero"/>
        <c:crossBetween val="midCat"/>
      </c:valAx>
      <c:valAx>
        <c:axId val="113943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ysClr val="windowText" lastClr="000000"/>
                    </a:solidFill>
                  </a:rPr>
                  <a:t>Defunciones Enf Men B / 100.000</a:t>
                </a:r>
              </a:p>
            </c:rich>
          </c:tx>
          <c:layout>
            <c:manualLayout>
              <c:xMode val="edge"/>
              <c:yMode val="edge"/>
              <c:x val="2.0917257748169691E-2"/>
              <c:y val="0.1810850153892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9445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1: </a:t>
            </a:r>
            <a:r>
              <a:rPr lang="es-ES" sz="1200" b="1">
                <a:solidFill>
                  <a:sysClr val="windowText" lastClr="000000"/>
                </a:solidFill>
              </a:rPr>
              <a:t>Casos</a:t>
            </a:r>
            <a:r>
              <a:rPr lang="es-ES" sz="1200" b="1" baseline="0">
                <a:solidFill>
                  <a:sysClr val="windowText" lastClr="000000"/>
                </a:solidFill>
              </a:rPr>
              <a:t> Enf MenB/ 100.000, España 1999-2017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4.4416666666666653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'Tend Hosp+Def MenB'!$B$4</c:f>
              <c:strCache>
                <c:ptCount val="1"/>
                <c:pt idx="0">
                  <c:v>Franja 00-01 año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'Tend Hosp+Def MenB'!$C$4:$U$4</c:f>
              <c:numCache>
                <c:formatCode>0.00</c:formatCode>
                <c:ptCount val="19"/>
                <c:pt idx="0">
                  <c:v>25.250331240904451</c:v>
                </c:pt>
                <c:pt idx="1">
                  <c:v>22.091119370013256</c:v>
                </c:pt>
                <c:pt idx="2">
                  <c:v>18.796380067817338</c:v>
                </c:pt>
                <c:pt idx="3">
                  <c:v>23.441620597370633</c:v>
                </c:pt>
                <c:pt idx="4">
                  <c:v>23.0681045008435</c:v>
                </c:pt>
                <c:pt idx="5">
                  <c:v>26.424793231639285</c:v>
                </c:pt>
                <c:pt idx="6">
                  <c:v>23.445425841241601</c:v>
                </c:pt>
                <c:pt idx="7">
                  <c:v>22.457294065554112</c:v>
                </c:pt>
                <c:pt idx="8">
                  <c:v>22.383512470518014</c:v>
                </c:pt>
                <c:pt idx="9">
                  <c:v>22.856733991342267</c:v>
                </c:pt>
                <c:pt idx="10">
                  <c:v>19.067973352507241</c:v>
                </c:pt>
                <c:pt idx="11">
                  <c:v>13.129704810890569</c:v>
                </c:pt>
                <c:pt idx="12">
                  <c:v>14.324142710591229</c:v>
                </c:pt>
                <c:pt idx="13">
                  <c:v>11.256117808260692</c:v>
                </c:pt>
                <c:pt idx="14">
                  <c:v>10.844085128375509</c:v>
                </c:pt>
                <c:pt idx="15">
                  <c:v>10.465699857999482</c:v>
                </c:pt>
                <c:pt idx="16">
                  <c:v>8.8512087880542172</c:v>
                </c:pt>
                <c:pt idx="17">
                  <c:v>7.0720495531196272</c:v>
                </c:pt>
                <c:pt idx="18">
                  <c:v>6.3135298945640503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4D-45A4-BC52-9C81C531EABF}"/>
            </c:ext>
          </c:extLst>
        </c:ser>
        <c:ser>
          <c:idx val="1"/>
          <c:order val="1"/>
          <c:tx>
            <c:strRef>
              <c:f>'Tend Hosp+Def MenB'!$B$5</c:f>
              <c:strCache>
                <c:ptCount val="1"/>
                <c:pt idx="0">
                  <c:v>Franja 01-04 años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'Tend Hosp+Def MenB'!$C$5:$U$5</c:f>
              <c:numCache>
                <c:formatCode>0.00</c:formatCode>
                <c:ptCount val="19"/>
                <c:pt idx="0">
                  <c:v>11.193767528655021</c:v>
                </c:pt>
                <c:pt idx="1">
                  <c:v>10.520064477814541</c:v>
                </c:pt>
                <c:pt idx="2">
                  <c:v>8.5275459721335789</c:v>
                </c:pt>
                <c:pt idx="3">
                  <c:v>7.6056708904770609</c:v>
                </c:pt>
                <c:pt idx="4">
                  <c:v>7.5834438742591619</c:v>
                </c:pt>
                <c:pt idx="5">
                  <c:v>7.6617378117958941</c:v>
                </c:pt>
                <c:pt idx="6">
                  <c:v>8.6509966004998233</c:v>
                </c:pt>
                <c:pt idx="7">
                  <c:v>7.7124617957696042</c:v>
                </c:pt>
                <c:pt idx="8">
                  <c:v>7.9786088178520842</c:v>
                </c:pt>
                <c:pt idx="9">
                  <c:v>6.0958347884125414</c:v>
                </c:pt>
                <c:pt idx="10">
                  <c:v>6.2113526356587192</c:v>
                </c:pt>
                <c:pt idx="11">
                  <c:v>4.4305212134849139</c:v>
                </c:pt>
                <c:pt idx="12">
                  <c:v>4.3820794859422394</c:v>
                </c:pt>
                <c:pt idx="13">
                  <c:v>2.8203459758699259</c:v>
                </c:pt>
                <c:pt idx="14">
                  <c:v>2.7947489771995064</c:v>
                </c:pt>
                <c:pt idx="15">
                  <c:v>1.6649354918058319</c:v>
                </c:pt>
                <c:pt idx="16">
                  <c:v>2.3814785215559806</c:v>
                </c:pt>
                <c:pt idx="17">
                  <c:v>2.3288573830459183</c:v>
                </c:pt>
                <c:pt idx="18">
                  <c:v>1.9704913130310908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D-45A4-BC52-9C81C531EABF}"/>
            </c:ext>
          </c:extLst>
        </c:ser>
        <c:ser>
          <c:idx val="2"/>
          <c:order val="2"/>
          <c:tx>
            <c:strRef>
              <c:f>'Tend Hosp+Def MenB'!$B$6</c:f>
              <c:strCache>
                <c:ptCount val="1"/>
                <c:pt idx="0">
                  <c:v>Todas las edades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'Tend Hosp+Def MenB'!$C$6:$U$6</c:f>
              <c:numCache>
                <c:formatCode>0.00</c:formatCode>
                <c:ptCount val="19"/>
                <c:pt idx="0">
                  <c:v>1.3747938800022432</c:v>
                </c:pt>
                <c:pt idx="1">
                  <c:v>1.3562025578769306</c:v>
                </c:pt>
                <c:pt idx="2">
                  <c:v>1.1112187987607041</c:v>
                </c:pt>
                <c:pt idx="3">
                  <c:v>1.2577397769233141</c:v>
                </c:pt>
                <c:pt idx="4">
                  <c:v>1.2678859305542143</c:v>
                </c:pt>
                <c:pt idx="5">
                  <c:v>1.1409460598734427</c:v>
                </c:pt>
                <c:pt idx="6">
                  <c:v>1.1451440544269562</c:v>
                </c:pt>
                <c:pt idx="7">
                  <c:v>1.0978230439549186</c:v>
                </c:pt>
                <c:pt idx="8">
                  <c:v>1.1561585559822805</c:v>
                </c:pt>
                <c:pt idx="9">
                  <c:v>0.97644399539135829</c:v>
                </c:pt>
                <c:pt idx="10">
                  <c:v>0.91874601607141271</c:v>
                </c:pt>
                <c:pt idx="11">
                  <c:v>0.64000028864442549</c:v>
                </c:pt>
                <c:pt idx="12">
                  <c:v>0.67827431523019188</c:v>
                </c:pt>
                <c:pt idx="13">
                  <c:v>0.45759339785956199</c:v>
                </c:pt>
                <c:pt idx="14">
                  <c:v>0.4185157281751935</c:v>
                </c:pt>
                <c:pt idx="15">
                  <c:v>0.30782392850149937</c:v>
                </c:pt>
                <c:pt idx="16">
                  <c:v>0.39000075974733639</c:v>
                </c:pt>
                <c:pt idx="17">
                  <c:v>0.31001155180544915</c:v>
                </c:pt>
                <c:pt idx="18">
                  <c:v>0.3073018970799099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4D-45A4-BC52-9C81C531E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121920"/>
        <c:axId val="1181124832"/>
      </c:lineChart>
      <c:catAx>
        <c:axId val="118112192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Años desde 1999 hasta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200" b="1">
                    <a:solidFill>
                      <a:sysClr val="windowText" lastClr="000000"/>
                    </a:solidFill>
                  </a:rPr>
                  <a:t>2017 </a:t>
                </a:r>
              </a:p>
            </c:rich>
          </c:tx>
          <c:layout>
            <c:manualLayout>
              <c:xMode val="edge"/>
              <c:yMode val="edge"/>
              <c:x val="0.17664457567804023"/>
              <c:y val="0.71746531463923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majorTickMark val="none"/>
        <c:minorTickMark val="none"/>
        <c:tickLblPos val="nextTo"/>
        <c:crossAx val="1181124832"/>
        <c:crosses val="autoZero"/>
        <c:auto val="1"/>
        <c:lblAlgn val="ctr"/>
        <c:lblOffset val="100"/>
        <c:noMultiLvlLbl val="0"/>
      </c:catAx>
      <c:valAx>
        <c:axId val="118112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Casos</a:t>
                </a:r>
                <a:r>
                  <a:rPr lang="en-US" sz="1050" b="1" baseline="0">
                    <a:solidFill>
                      <a:sysClr val="windowText" lastClr="000000"/>
                    </a:solidFill>
                  </a:rPr>
                  <a:t> Enf Men B / 100.000</a:t>
                </a:r>
                <a:endParaRPr lang="en-US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0555555555555555E-2"/>
              <c:y val="0.174247229512977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112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2426220007746538E-2"/>
          <c:y val="0.118364391322970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928427382965214"/>
          <c:y val="0.27095153057192978"/>
          <c:w val="0.74148880019278551"/>
          <c:h val="0.6148100152240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MenB'!$B$26</c:f>
              <c:strCache>
                <c:ptCount val="1"/>
                <c:pt idx="0">
                  <c:v>Franja 01-04 años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FF66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122227609898017"/>
                  <c:y val="-0.613163206301313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MenB'!$C$25:$U$25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xVal>
          <c:yVal>
            <c:numRef>
              <c:f>'Tend Hosp+Def MenB'!$C$26:$U$26</c:f>
              <c:numCache>
                <c:formatCode>0.00</c:formatCode>
                <c:ptCount val="19"/>
                <c:pt idx="0">
                  <c:v>11.193767528655021</c:v>
                </c:pt>
                <c:pt idx="1">
                  <c:v>10.520064477814541</c:v>
                </c:pt>
                <c:pt idx="2">
                  <c:v>8.5275459721335789</c:v>
                </c:pt>
                <c:pt idx="3">
                  <c:v>7.6056708904770609</c:v>
                </c:pt>
                <c:pt idx="4">
                  <c:v>7.5834438742591619</c:v>
                </c:pt>
                <c:pt idx="5">
                  <c:v>7.6617378117958941</c:v>
                </c:pt>
                <c:pt idx="6">
                  <c:v>8.6509966004998233</c:v>
                </c:pt>
                <c:pt idx="7">
                  <c:v>7.7124617957696042</c:v>
                </c:pt>
                <c:pt idx="8">
                  <c:v>7.9786088178520842</c:v>
                </c:pt>
                <c:pt idx="9">
                  <c:v>6.0958347884125414</c:v>
                </c:pt>
                <c:pt idx="10">
                  <c:v>6.2113526356587192</c:v>
                </c:pt>
                <c:pt idx="11">
                  <c:v>4.4305212134849139</c:v>
                </c:pt>
                <c:pt idx="12">
                  <c:v>4.3820794859422394</c:v>
                </c:pt>
                <c:pt idx="13">
                  <c:v>2.8203459758699259</c:v>
                </c:pt>
                <c:pt idx="14">
                  <c:v>2.7947489771995064</c:v>
                </c:pt>
                <c:pt idx="15">
                  <c:v>1.6649354918058319</c:v>
                </c:pt>
                <c:pt idx="16">
                  <c:v>2.3814785215559806</c:v>
                </c:pt>
                <c:pt idx="17">
                  <c:v>2.3288573830459183</c:v>
                </c:pt>
                <c:pt idx="18">
                  <c:v>1.9704913130310908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8B-46B4-B157-8FFF8BC7E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794607"/>
        <c:axId val="1687796271"/>
      </c:scatterChart>
      <c:valAx>
        <c:axId val="1687794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rgbClr val="993300"/>
                    </a:solidFill>
                  </a:rPr>
                  <a:t>Gráfico ...: </a:t>
                </a:r>
                <a:r>
                  <a:rPr lang="es-ES" b="1">
                    <a:solidFill>
                      <a:sysClr val="windowText" lastClr="000000"/>
                    </a:solidFill>
                  </a:rPr>
                  <a:t>Tasas Enf Men B, España 1999-2017</a:t>
                </a:r>
              </a:p>
            </c:rich>
          </c:tx>
          <c:layout>
            <c:manualLayout>
              <c:xMode val="edge"/>
              <c:yMode val="edge"/>
              <c:x val="1.9058550810606714E-2"/>
              <c:y val="2.11520125390884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7796271"/>
        <c:crosses val="autoZero"/>
        <c:crossBetween val="midCat"/>
      </c:valAx>
      <c:valAx>
        <c:axId val="1687796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ysClr val="windowText" lastClr="000000"/>
                    </a:solidFill>
                  </a:rPr>
                  <a:t>Casos de Enf Men B / 100.000</a:t>
                </a:r>
              </a:p>
            </c:rich>
          </c:tx>
          <c:layout>
            <c:manualLayout>
              <c:xMode val="edge"/>
              <c:yMode val="edge"/>
              <c:x val="3.0341287038780529E-2"/>
              <c:y val="0.2690267415997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7794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359048827418331E-2"/>
          <c:y val="0.11106376408176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508426574551853"/>
          <c:y val="0.22455070672508018"/>
          <c:w val="0.75261632924934685"/>
          <c:h val="0.653129302970460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MenB'!$B$47</c:f>
              <c:strCache>
                <c:ptCount val="1"/>
                <c:pt idx="0">
                  <c:v>Todas las edades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FF66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915612349288609"/>
                  <c:y val="-0.525125195792333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MenB'!$C$46:$U$46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xVal>
          <c:yVal>
            <c:numRef>
              <c:f>'Tend Hosp+Def MenB'!$C$47:$U$47</c:f>
              <c:numCache>
                <c:formatCode>0.00</c:formatCode>
                <c:ptCount val="19"/>
                <c:pt idx="0">
                  <c:v>1.3747938800022432</c:v>
                </c:pt>
                <c:pt idx="1">
                  <c:v>1.3562025578769306</c:v>
                </c:pt>
                <c:pt idx="2">
                  <c:v>1.1112187987607041</c:v>
                </c:pt>
                <c:pt idx="3">
                  <c:v>1.2577397769233141</c:v>
                </c:pt>
                <c:pt idx="4">
                  <c:v>1.2678859305542143</c:v>
                </c:pt>
                <c:pt idx="5">
                  <c:v>1.1409460598734427</c:v>
                </c:pt>
                <c:pt idx="6">
                  <c:v>1.1451440544269562</c:v>
                </c:pt>
                <c:pt idx="7">
                  <c:v>1.0978230439549186</c:v>
                </c:pt>
                <c:pt idx="8">
                  <c:v>1.1561585559822805</c:v>
                </c:pt>
                <c:pt idx="9">
                  <c:v>0.97644399539135829</c:v>
                </c:pt>
                <c:pt idx="10">
                  <c:v>0.91874601607141271</c:v>
                </c:pt>
                <c:pt idx="11">
                  <c:v>0.64000028864442549</c:v>
                </c:pt>
                <c:pt idx="12">
                  <c:v>0.67827431523019188</c:v>
                </c:pt>
                <c:pt idx="13">
                  <c:v>0.45759339785956199</c:v>
                </c:pt>
                <c:pt idx="14">
                  <c:v>0.4185157281751935</c:v>
                </c:pt>
                <c:pt idx="15">
                  <c:v>0.30782392850149937</c:v>
                </c:pt>
                <c:pt idx="16">
                  <c:v>0.39000075974733639</c:v>
                </c:pt>
                <c:pt idx="17">
                  <c:v>0.31001155180544915</c:v>
                </c:pt>
                <c:pt idx="18">
                  <c:v>0.3073018970799099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36-4771-ABA6-B3B7981E0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2241855"/>
        <c:axId val="1682242271"/>
      </c:scatterChart>
      <c:valAx>
        <c:axId val="1682241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rgbClr val="993300"/>
                    </a:solidFill>
                  </a:rPr>
                  <a:t>Gráfico ...:</a:t>
                </a:r>
                <a:r>
                  <a:rPr lang="es-ES" b="1" baseline="0">
                    <a:solidFill>
                      <a:srgbClr val="993300"/>
                    </a:solidFill>
                  </a:rPr>
                  <a:t> </a:t>
                </a:r>
                <a:r>
                  <a:rPr lang="es-ES" b="1" baseline="0">
                    <a:solidFill>
                      <a:sysClr val="windowText" lastClr="000000"/>
                    </a:solidFill>
                  </a:rPr>
                  <a:t>Tasas de Enf Men B, España 1999-2017</a:t>
                </a:r>
                <a:endParaRPr lang="es-E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9934180948266364E-2"/>
              <c:y val="2.98084883330206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2242271"/>
        <c:crosses val="autoZero"/>
        <c:crossBetween val="midCat"/>
      </c:valAx>
      <c:valAx>
        <c:axId val="168224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ysClr val="windowText" lastClr="000000"/>
                    </a:solidFill>
                  </a:rPr>
                  <a:t>Casos</a:t>
                </a:r>
                <a:r>
                  <a:rPr lang="es-ES" b="1" baseline="0">
                    <a:solidFill>
                      <a:sysClr val="windowText" lastClr="000000"/>
                    </a:solidFill>
                  </a:rPr>
                  <a:t> de Enf Men B / 100.000</a:t>
                </a:r>
                <a:endParaRPr lang="es-E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9618212440766264E-2"/>
              <c:y val="0.2554249761893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22418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'Tend Hosp+Def MenB'!$B$70</c:f>
              <c:strCache>
                <c:ptCount val="1"/>
                <c:pt idx="0">
                  <c:v>Franja 00-01 año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22225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814632545931759"/>
                  <c:y val="-0.622136555847185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MenB'!$C$69:$U$69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xVal>
          <c:yVal>
            <c:numRef>
              <c:f>'Tend Hosp+Def MenB'!$C$70:$U$70</c:f>
              <c:numCache>
                <c:formatCode>#,##0.00</c:formatCode>
                <c:ptCount val="19"/>
                <c:pt idx="0">
                  <c:v>2.1720715045939314</c:v>
                </c:pt>
                <c:pt idx="1">
                  <c:v>2.0791641760012474</c:v>
                </c:pt>
                <c:pt idx="2">
                  <c:v>0.25061840090423121</c:v>
                </c:pt>
                <c:pt idx="3">
                  <c:v>1.9534683831142192</c:v>
                </c:pt>
                <c:pt idx="4">
                  <c:v>1.1650557828708838</c:v>
                </c:pt>
                <c:pt idx="5">
                  <c:v>3.6136469376600733</c:v>
                </c:pt>
                <c:pt idx="6">
                  <c:v>2.4102774229313795</c:v>
                </c:pt>
                <c:pt idx="7">
                  <c:v>3.1779189715406764</c:v>
                </c:pt>
                <c:pt idx="8">
                  <c:v>1.865292705876501</c:v>
                </c:pt>
                <c:pt idx="9">
                  <c:v>2.186296294824043</c:v>
                </c:pt>
                <c:pt idx="10">
                  <c:v>1.7876225017975538</c:v>
                </c:pt>
                <c:pt idx="11">
                  <c:v>0.83363205148511554</c:v>
                </c:pt>
                <c:pt idx="12">
                  <c:v>1.0532457875434726</c:v>
                </c:pt>
                <c:pt idx="13">
                  <c:v>1.2987828240300798</c:v>
                </c:pt>
                <c:pt idx="14">
                  <c:v>0.92290086198940513</c:v>
                </c:pt>
                <c:pt idx="15">
                  <c:v>1.1892840747726683</c:v>
                </c:pt>
                <c:pt idx="16">
                  <c:v>0.71766557740980141</c:v>
                </c:pt>
                <c:pt idx="17">
                  <c:v>0.73159133308134072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12-4DC1-A0E3-A93139496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658128"/>
        <c:axId val="1039653136"/>
      </c:scatterChart>
      <c:valAx>
        <c:axId val="103965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653136"/>
        <c:crosses val="autoZero"/>
        <c:crossBetween val="midCat"/>
      </c:valAx>
      <c:valAx>
        <c:axId val="103965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65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7416666666666668E-2"/>
          <c:y val="0.11493617171041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881714785651794"/>
          <c:y val="0.22223138404401696"/>
          <c:w val="0.78362729658792651"/>
          <c:h val="0.674759125090710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MenB'!$B$92</c:f>
              <c:strCache>
                <c:ptCount val="1"/>
                <c:pt idx="0">
                  <c:v>00-01 año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'Tend Hosp+Def MenB'!$C$91:$U$91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xVal>
          <c:yVal>
            <c:numRef>
              <c:f>'Tend Hosp+Def MenB'!$C$92:$U$92</c:f>
            </c:numRef>
          </c:yVal>
          <c:smooth val="0"/>
          <c:extLst>
            <c:ext xmlns:c16="http://schemas.microsoft.com/office/drawing/2014/chart" uri="{C3380CC4-5D6E-409C-BE32-E72D297353CC}">
              <c16:uniqueId val="{00000000-3878-4AAF-9BD4-986D397E6301}"/>
            </c:ext>
          </c:extLst>
        </c:ser>
        <c:ser>
          <c:idx val="1"/>
          <c:order val="1"/>
          <c:tx>
            <c:strRef>
              <c:f>'Tend Hosp+Def MenB'!$B$93</c:f>
              <c:strCache>
                <c:ptCount val="1"/>
                <c:pt idx="0">
                  <c:v>Franja 01-04 años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22225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436854768153981"/>
                  <c:y val="-0.537537268782712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MenB'!$C$91:$U$91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xVal>
          <c:yVal>
            <c:numRef>
              <c:f>'Tend Hosp+Def MenB'!$C$93:$U$93</c:f>
              <c:numCache>
                <c:formatCode>#,##0.00</c:formatCode>
                <c:ptCount val="19"/>
                <c:pt idx="0">
                  <c:v>0.68254680052774519</c:v>
                </c:pt>
                <c:pt idx="1">
                  <c:v>0.74658522100619329</c:v>
                </c:pt>
                <c:pt idx="2">
                  <c:v>0.86607888779481657</c:v>
                </c:pt>
                <c:pt idx="3">
                  <c:v>0.57521880684280291</c:v>
                </c:pt>
                <c:pt idx="4">
                  <c:v>0.79503847068846045</c:v>
                </c:pt>
                <c:pt idx="5">
                  <c:v>0.5893644470612226</c:v>
                </c:pt>
                <c:pt idx="6">
                  <c:v>0.85371676978616673</c:v>
                </c:pt>
                <c:pt idx="7">
                  <c:v>0.881424205230812</c:v>
                </c:pt>
                <c:pt idx="8">
                  <c:v>1.0638145090469446</c:v>
                </c:pt>
                <c:pt idx="9">
                  <c:v>0.72323463591335235</c:v>
                </c:pt>
                <c:pt idx="10">
                  <c:v>1.11097364215034</c:v>
                </c:pt>
                <c:pt idx="11">
                  <c:v>0.34846796061117297</c:v>
                </c:pt>
                <c:pt idx="12">
                  <c:v>0.24898178897399087</c:v>
                </c:pt>
                <c:pt idx="13">
                  <c:v>0.30217992598606347</c:v>
                </c:pt>
                <c:pt idx="14">
                  <c:v>0.36228227482215825</c:v>
                </c:pt>
                <c:pt idx="15">
                  <c:v>5.3707596509865549E-2</c:v>
                </c:pt>
                <c:pt idx="16">
                  <c:v>0.22153288572613772</c:v>
                </c:pt>
                <c:pt idx="17">
                  <c:v>0.17040419875945742</c:v>
                </c:pt>
                <c:pt idx="18">
                  <c:v>0.17386688056156685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78-4AAF-9BD4-986D397E6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063056"/>
        <c:axId val="1126057648"/>
      </c:scatterChart>
      <c:valAx>
        <c:axId val="1126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rgbClr val="993300"/>
                    </a:solidFill>
                  </a:rPr>
                  <a:t>Gráfico ...: </a:t>
                </a:r>
                <a:r>
                  <a:rPr lang="es-ES" b="1">
                    <a:solidFill>
                      <a:sysClr val="windowText" lastClr="000000"/>
                    </a:solidFill>
                  </a:rPr>
                  <a:t>Tasas Defunc Enf Men B,</a:t>
                </a:r>
                <a:r>
                  <a:rPr lang="es-ES" b="1" baseline="0">
                    <a:solidFill>
                      <a:sysClr val="windowText" lastClr="000000"/>
                    </a:solidFill>
                  </a:rPr>
                  <a:t> España 1999-2017</a:t>
                </a:r>
                <a:endParaRPr lang="es-E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7665354330708665E-2"/>
              <c:y val="3.28119474625384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6057648"/>
        <c:crosses val="autoZero"/>
        <c:crossBetween val="midCat"/>
      </c:valAx>
      <c:valAx>
        <c:axId val="112605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Defunciones Enf Men B / 100.000</a:t>
                </a:r>
              </a:p>
            </c:rich>
          </c:tx>
          <c:layout>
            <c:manualLayout>
              <c:xMode val="edge"/>
              <c:yMode val="edge"/>
              <c:x val="2.9986001749781277E-2"/>
              <c:y val="0.252092666240977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606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7444444444444447E-2"/>
          <c:y val="0.11916855899162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992825896762904"/>
          <c:y val="0.25123531173528613"/>
          <c:w val="0.77807174103237098"/>
          <c:h val="0.637675947823584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MenB'!$B$114</c:f>
              <c:strCache>
                <c:ptCount val="1"/>
                <c:pt idx="0">
                  <c:v>Todas las edades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22225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792410323709536"/>
                  <c:y val="-0.545336499951752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MenB'!$C$113:$U$113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xVal>
          <c:yVal>
            <c:numRef>
              <c:f>'Tend Hosp+Def MenB'!$C$114:$U$114</c:f>
              <c:numCache>
                <c:formatCode>#,##0.00</c:formatCode>
                <c:ptCount val="19"/>
                <c:pt idx="0">
                  <c:v>0.18826006284715402</c:v>
                </c:pt>
                <c:pt idx="1">
                  <c:v>0.15781266128022464</c:v>
                </c:pt>
                <c:pt idx="2">
                  <c:v>9.5667843601914923E-2</c:v>
                </c:pt>
                <c:pt idx="3">
                  <c:v>0.17140023831392573</c:v>
                </c:pt>
                <c:pt idx="4">
                  <c:v>0.12323377268938157</c:v>
                </c:pt>
                <c:pt idx="5">
                  <c:v>0.14465982763221563</c:v>
                </c:pt>
                <c:pt idx="6">
                  <c:v>0.16032016761977388</c:v>
                </c:pt>
                <c:pt idx="7">
                  <c:v>0.15554371669997819</c:v>
                </c:pt>
                <c:pt idx="8">
                  <c:v>0.14811209034572237</c:v>
                </c:pt>
                <c:pt idx="9">
                  <c:v>0.14570545142810915</c:v>
                </c:pt>
                <c:pt idx="10">
                  <c:v>0.12724416654510176</c:v>
                </c:pt>
                <c:pt idx="11">
                  <c:v>5.154364740760474E-2</c:v>
                </c:pt>
                <c:pt idx="12">
                  <c:v>7.2748664725004811E-2</c:v>
                </c:pt>
                <c:pt idx="13">
                  <c:v>4.4904025023601878E-2</c:v>
                </c:pt>
                <c:pt idx="14">
                  <c:v>5.3655862586563269E-2</c:v>
                </c:pt>
                <c:pt idx="15">
                  <c:v>3.8747067923265655E-2</c:v>
                </c:pt>
                <c:pt idx="16">
                  <c:v>5.1712807922298751E-2</c:v>
                </c:pt>
                <c:pt idx="17">
                  <c:v>4.0904301974330093E-2</c:v>
                </c:pt>
                <c:pt idx="18">
                  <c:v>1.7191714521953002E-2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68-4636-8252-A09DEE786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058480"/>
        <c:axId val="1126060144"/>
      </c:scatterChart>
      <c:valAx>
        <c:axId val="112605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rgbClr val="993300"/>
                    </a:solidFill>
                  </a:rPr>
                  <a:t>Gráfico ...:  </a:t>
                </a:r>
                <a:r>
                  <a:rPr lang="es-ES" b="1">
                    <a:solidFill>
                      <a:sysClr val="windowText" lastClr="000000"/>
                    </a:solidFill>
                  </a:rPr>
                  <a:t>Tasas Defunc En Men B,</a:t>
                </a:r>
                <a:r>
                  <a:rPr lang="es-ES" b="1" baseline="0">
                    <a:solidFill>
                      <a:sysClr val="windowText" lastClr="000000"/>
                    </a:solidFill>
                  </a:rPr>
                  <a:t> España 1999-2017</a:t>
                </a:r>
                <a:endParaRPr lang="es-E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5998687664041996E-2"/>
              <c:y val="4.07977581249772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6060144"/>
        <c:crosses val="autoZero"/>
        <c:crossBetween val="midCat"/>
      </c:valAx>
      <c:valAx>
        <c:axId val="11260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Defunciones Enf Men B / 100.000</a:t>
                </a:r>
              </a:p>
            </c:rich>
          </c:tx>
          <c:layout>
            <c:manualLayout>
              <c:xMode val="edge"/>
              <c:yMode val="edge"/>
              <c:x val="2.9986001749781277E-2"/>
              <c:y val="0.283513650172637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605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2516457661931177E-2"/>
          <c:y val="0.10765224761785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24133028178467"/>
          <c:y val="0.26032727410022533"/>
          <c:w val="0.78131124856521861"/>
          <c:h val="0.605905493271973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MenB'!$M$9</c:f>
              <c:strCache>
                <c:ptCount val="1"/>
                <c:pt idx="0">
                  <c:v>Franja 00-01 año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8968728695168967E-2"/>
                  <c:y val="6.26875878414867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28-4206-95A1-CC64C336D86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1B116AE-8BF1-497F-82BD-3469A196F4A0}" type="YVALUE">
                      <a:rPr lang="en-US">
                        <a:solidFill>
                          <a:srgbClr val="FF6600"/>
                        </a:solidFill>
                      </a:rPr>
                      <a:pPr/>
                      <a:t>[VALOR DE Y]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B28-4206-95A1-CC64C336D86D}"/>
                </c:ext>
              </c:extLst>
            </c:dLbl>
            <c:dLbl>
              <c:idx val="2"/>
              <c:layout>
                <c:manualLayout>
                  <c:x val="-6.1210910868960619E-3"/>
                  <c:y val="5.64186729518615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28-4206-95A1-CC64C336D86D}"/>
                </c:ext>
              </c:extLst>
            </c:dLbl>
            <c:dLbl>
              <c:idx val="3"/>
              <c:layout>
                <c:manualLayout>
                  <c:x val="-1.8363273260688467E-2"/>
                  <c:y val="5.64186729518614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28-4206-95A1-CC64C336D86D}"/>
                </c:ext>
              </c:extLst>
            </c:dLbl>
            <c:dLbl>
              <c:idx val="4"/>
              <c:layout>
                <c:manualLayout>
                  <c:x val="-3.060545543448171E-3"/>
                  <c:y val="-3.13437071954786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28-4206-95A1-CC64C336D86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B28-4206-95A1-CC64C336D8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FF6600">
                    <a:alpha val="99000"/>
                  </a:srgb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538437921653409"/>
                  <c:y val="-0.336701695083506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MenB'!$N$8:$S$8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'Tend Hosp+Def MenB'!$N$9:$S$9</c:f>
              <c:numCache>
                <c:formatCode>0.00</c:formatCode>
                <c:ptCount val="6"/>
                <c:pt idx="0">
                  <c:v>13.129704810890569</c:v>
                </c:pt>
                <c:pt idx="1">
                  <c:v>14.324142710591229</c:v>
                </c:pt>
                <c:pt idx="2">
                  <c:v>11.256117808260692</c:v>
                </c:pt>
                <c:pt idx="3">
                  <c:v>10.844085128375509</c:v>
                </c:pt>
                <c:pt idx="4">
                  <c:v>10.465699857999482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28-4206-95A1-CC64C336D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425200"/>
        <c:axId val="376657152"/>
      </c:scatterChart>
      <c:valAx>
        <c:axId val="41842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rgbClr val="993300"/>
                    </a:solidFill>
                  </a:rPr>
                  <a:t>Gráfico 2: </a:t>
                </a:r>
                <a:r>
                  <a:rPr lang="es-ES" sz="1050" b="1">
                    <a:solidFill>
                      <a:sysClr val="windowText" lastClr="000000"/>
                    </a:solidFill>
                  </a:rPr>
                  <a:t>Tasas Enf Men B, España 2010-2014</a:t>
                </a:r>
              </a:p>
            </c:rich>
          </c:tx>
          <c:layout>
            <c:manualLayout>
              <c:xMode val="edge"/>
              <c:yMode val="edge"/>
              <c:x val="1.7901540562952421E-2"/>
              <c:y val="2.37248905388487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6657152"/>
        <c:crosses val="autoZero"/>
        <c:crossBetween val="midCat"/>
      </c:valAx>
      <c:valAx>
        <c:axId val="37665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ysClr val="windowText" lastClr="000000"/>
                    </a:solidFill>
                  </a:rPr>
                  <a:t>Casos</a:t>
                </a:r>
                <a:r>
                  <a:rPr lang="es-ES" sz="1050" b="1" baseline="0">
                    <a:solidFill>
                      <a:sysClr val="windowText" lastClr="000000"/>
                    </a:solidFill>
                  </a:rPr>
                  <a:t> de Enf Men B / 100.000</a:t>
                </a:r>
                <a:endParaRPr lang="es-ES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161464984346635E-2"/>
              <c:y val="0.2353585502299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8425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ysClr val="windowText" lastClr="000000"/>
                </a:solidFill>
              </a:rPr>
              <a:t>Franja 01-04 años</a:t>
            </a:r>
          </a:p>
        </c:rich>
      </c:tx>
      <c:layout>
        <c:manualLayout>
          <c:xMode val="edge"/>
          <c:yMode val="edge"/>
          <c:x val="3.7807169939407248E-2"/>
          <c:y val="9.26414324023212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410708819232165"/>
          <c:y val="0.2480042129497971"/>
          <c:w val="0.76331549330129411"/>
          <c:h val="0.62005502037507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MenB'!$M$30</c:f>
              <c:strCache>
                <c:ptCount val="1"/>
                <c:pt idx="0">
                  <c:v>Franja 01-04 años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881677338522597E-2"/>
                  <c:y val="5.0355761472291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D7-4B3C-AD1A-F07C225AC379}"/>
                </c:ext>
              </c:extLst>
            </c:dLbl>
            <c:dLbl>
              <c:idx val="2"/>
              <c:layout>
                <c:manualLayout>
                  <c:x val="-6.2204193346306414E-3"/>
                  <c:y val="3.77668211042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D7-4B3C-AD1A-F07C225AC379}"/>
                </c:ext>
              </c:extLst>
            </c:dLbl>
            <c:dLbl>
              <c:idx val="4"/>
              <c:layout>
                <c:manualLayout>
                  <c:x val="-2.1771467671207245E-2"/>
                  <c:y val="5.6650231656327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D7-4B3C-AD1A-F07C225AC3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FF66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286129003660253"/>
                  <c:y val="-0.563529476374327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MenB'!$N$29:$S$29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'Tend Hosp+Def MenB'!$N$30:$S$30</c:f>
              <c:numCache>
                <c:formatCode>0.00</c:formatCode>
                <c:ptCount val="6"/>
                <c:pt idx="0">
                  <c:v>4.4305212134849139</c:v>
                </c:pt>
                <c:pt idx="1">
                  <c:v>4.3820794859422394</c:v>
                </c:pt>
                <c:pt idx="2">
                  <c:v>2.8203459758699259</c:v>
                </c:pt>
                <c:pt idx="3">
                  <c:v>2.7947489771995064</c:v>
                </c:pt>
                <c:pt idx="4">
                  <c:v>1.6649354918058319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3E-47BC-8EE9-AE5CBDC96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046656"/>
        <c:axId val="492033344"/>
      </c:scatterChart>
      <c:valAx>
        <c:axId val="49204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rgbClr val="993300"/>
                    </a:solidFill>
                  </a:rPr>
                  <a:t>Gráfico 3: </a:t>
                </a:r>
                <a:r>
                  <a:rPr lang="es-ES" sz="1050" b="1">
                    <a:solidFill>
                      <a:sysClr val="windowText" lastClr="000000"/>
                    </a:solidFill>
                  </a:rPr>
                  <a:t>Tasas Enf</a:t>
                </a:r>
                <a:r>
                  <a:rPr lang="es-ES" sz="1050" b="1" baseline="0">
                    <a:solidFill>
                      <a:sysClr val="windowText" lastClr="000000"/>
                    </a:solidFill>
                  </a:rPr>
                  <a:t> Men B, España 2010-2014</a:t>
                </a:r>
                <a:endParaRPr lang="es-ES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2371468748760202E-2"/>
              <c:y val="9.469767117123445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2033344"/>
        <c:crosses val="autoZero"/>
        <c:crossBetween val="midCat"/>
      </c:valAx>
      <c:valAx>
        <c:axId val="49203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ysClr val="windowText" lastClr="000000"/>
                    </a:solidFill>
                  </a:rPr>
                  <a:t>Casos de Enf Men B / 100.000</a:t>
                </a:r>
              </a:p>
            </c:rich>
          </c:tx>
          <c:layout>
            <c:manualLayout>
              <c:xMode val="edge"/>
              <c:yMode val="edge"/>
              <c:x val="1.8661258003891925E-2"/>
              <c:y val="0.208323683285197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204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6641840347871102E-2"/>
          <c:y val="0.103597974912319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780293356875032"/>
          <c:y val="0.23456232308728719"/>
          <c:w val="0.76049572791565168"/>
          <c:h val="0.631843417967498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'Tend Hosp+Def MenB'!$M$50</c:f>
              <c:strCache>
                <c:ptCount val="1"/>
                <c:pt idx="0">
                  <c:v>Todas las edades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266667696937969E-2"/>
                  <c:y val="4.6264348973701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E7-4A40-8DD2-F0FED9043FB7}"/>
                </c:ext>
              </c:extLst>
            </c:dLbl>
            <c:dLbl>
              <c:idx val="2"/>
              <c:layout>
                <c:manualLayout>
                  <c:x val="-3.0666669242346047E-3"/>
                  <c:y val="4.626434897370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E7-4A40-8DD2-F0FED9043F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FF66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rgbClr val="FF66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859350581362779"/>
                  <c:y val="-0.529994481747175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'Tend Hosp+Def MenB'!$N$49:$S$49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'Tend Hosp+Def MenB'!$N$50:$S$50</c:f>
              <c:numCache>
                <c:formatCode>0.00</c:formatCode>
                <c:ptCount val="6"/>
                <c:pt idx="0">
                  <c:v>0.64000028864442549</c:v>
                </c:pt>
                <c:pt idx="1">
                  <c:v>0.67827431523019188</c:v>
                </c:pt>
                <c:pt idx="2">
                  <c:v>0.45759339785956199</c:v>
                </c:pt>
                <c:pt idx="3">
                  <c:v>0.4185157281751935</c:v>
                </c:pt>
                <c:pt idx="4">
                  <c:v>0.30782392850149937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E7-4272-8167-954D60C8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425616"/>
        <c:axId val="418423536"/>
      </c:scatterChart>
      <c:valAx>
        <c:axId val="41842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rgbClr val="993300"/>
                    </a:solidFill>
                  </a:rPr>
                  <a:t>Gráfico ...: </a:t>
                </a:r>
                <a:r>
                  <a:rPr lang="es-ES" sz="1050" b="1">
                    <a:solidFill>
                      <a:sysClr val="windowText" lastClr="000000"/>
                    </a:solidFill>
                  </a:rPr>
                  <a:t>Tasas de Enf Men B, España 2010-2014</a:t>
                </a:r>
              </a:p>
            </c:rich>
          </c:tx>
          <c:layout>
            <c:manualLayout>
              <c:xMode val="edge"/>
              <c:yMode val="edge"/>
              <c:x val="1.6581250736483002E-2"/>
              <c:y val="2.36466392358886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8423536"/>
        <c:crosses val="autoZero"/>
        <c:crossBetween val="midCat"/>
      </c:valAx>
      <c:valAx>
        <c:axId val="41842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>
                    <a:solidFill>
                      <a:sysClr val="windowText" lastClr="000000"/>
                    </a:solidFill>
                  </a:rPr>
                  <a:t>Casos Enf Men B / 100.000</a:t>
                </a:r>
              </a:p>
            </c:rich>
          </c:tx>
          <c:layout>
            <c:manualLayout>
              <c:xMode val="edge"/>
              <c:yMode val="edge"/>
              <c:x val="2.1466668469641445E-2"/>
              <c:y val="0.2349963761017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8425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91109</xdr:colOff>
      <xdr:row>7</xdr:row>
      <xdr:rowOff>26090</xdr:rowOff>
    </xdr:from>
    <xdr:to>
      <xdr:col>8</xdr:col>
      <xdr:colOff>132523</xdr:colOff>
      <xdr:row>23</xdr:row>
      <xdr:rowOff>91108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43899</xdr:rowOff>
    </xdr:from>
    <xdr:to>
      <xdr:col>7</xdr:col>
      <xdr:colOff>0</xdr:colOff>
      <xdr:row>42</xdr:row>
      <xdr:rowOff>2072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33751</xdr:colOff>
      <xdr:row>48</xdr:row>
      <xdr:rowOff>19049</xdr:rowOff>
    </xdr:from>
    <xdr:to>
      <xdr:col>7</xdr:col>
      <xdr:colOff>35407</xdr:colOff>
      <xdr:row>64</xdr:row>
      <xdr:rowOff>57977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231913</xdr:colOff>
      <xdr:row>72</xdr:row>
      <xdr:rowOff>77857</xdr:rowOff>
    </xdr:from>
    <xdr:to>
      <xdr:col>7</xdr:col>
      <xdr:colOff>414130</xdr:colOff>
      <xdr:row>89</xdr:row>
      <xdr:rowOff>62948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62118</xdr:colOff>
      <xdr:row>94</xdr:row>
      <xdr:rowOff>19878</xdr:rowOff>
    </xdr:from>
    <xdr:to>
      <xdr:col>7</xdr:col>
      <xdr:colOff>534226</xdr:colOff>
      <xdr:row>110</xdr:row>
      <xdr:rowOff>228599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186356</xdr:colOff>
      <xdr:row>115</xdr:row>
      <xdr:rowOff>28159</xdr:rowOff>
    </xdr:from>
    <xdr:to>
      <xdr:col>8</xdr:col>
      <xdr:colOff>103530</xdr:colOff>
      <xdr:row>132</xdr:row>
      <xdr:rowOff>74544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405847</xdr:colOff>
      <xdr:row>9</xdr:row>
      <xdr:rowOff>53010</xdr:rowOff>
    </xdr:from>
    <xdr:to>
      <xdr:col>18</xdr:col>
      <xdr:colOff>115956</xdr:colOff>
      <xdr:row>22</xdr:row>
      <xdr:rowOff>99391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16566</xdr:colOff>
      <xdr:row>31</xdr:row>
      <xdr:rowOff>11594</xdr:rowOff>
    </xdr:from>
    <xdr:to>
      <xdr:col>19</xdr:col>
      <xdr:colOff>215349</xdr:colOff>
      <xdr:row>44</xdr:row>
      <xdr:rowOff>16564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430697</xdr:colOff>
      <xdr:row>50</xdr:row>
      <xdr:rowOff>124239</xdr:rowOff>
    </xdr:from>
    <xdr:to>
      <xdr:col>19</xdr:col>
      <xdr:colOff>132523</xdr:colOff>
      <xdr:row>66</xdr:row>
      <xdr:rowOff>82826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492815</xdr:colOff>
      <xdr:row>75</xdr:row>
      <xdr:rowOff>144118</xdr:rowOff>
    </xdr:from>
    <xdr:to>
      <xdr:col>19</xdr:col>
      <xdr:colOff>157370</xdr:colOff>
      <xdr:row>89</xdr:row>
      <xdr:rowOff>8283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517663</xdr:colOff>
      <xdr:row>97</xdr:row>
      <xdr:rowOff>3314</xdr:rowOff>
    </xdr:from>
    <xdr:to>
      <xdr:col>19</xdr:col>
      <xdr:colOff>463827</xdr:colOff>
      <xdr:row>111</xdr:row>
      <xdr:rowOff>24848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118</xdr:row>
      <xdr:rowOff>19878</xdr:rowOff>
    </xdr:from>
    <xdr:to>
      <xdr:col>18</xdr:col>
      <xdr:colOff>455544</xdr:colOff>
      <xdr:row>132</xdr:row>
      <xdr:rowOff>165652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8282</xdr:colOff>
      <xdr:row>0</xdr:row>
      <xdr:rowOff>110985</xdr:rowOff>
    </xdr:from>
    <xdr:to>
      <xdr:col>31</xdr:col>
      <xdr:colOff>8282</xdr:colOff>
      <xdr:row>16</xdr:row>
      <xdr:rowOff>198783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124239</xdr:colOff>
      <xdr:row>2</xdr:row>
      <xdr:rowOff>8282</xdr:rowOff>
    </xdr:from>
    <xdr:to>
      <xdr:col>30</xdr:col>
      <xdr:colOff>140804</xdr:colOff>
      <xdr:row>12</xdr:row>
      <xdr:rowOff>49694</xdr:rowOff>
    </xdr:to>
    <xdr:cxnSp macro="">
      <xdr:nvCxnSpPr>
        <xdr:cNvPr id="21" name="Conector recto 20"/>
        <xdr:cNvCxnSpPr/>
      </xdr:nvCxnSpPr>
      <xdr:spPr>
        <a:xfrm>
          <a:off x="19132826" y="339586"/>
          <a:ext cx="16565" cy="185530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646044</xdr:colOff>
      <xdr:row>12</xdr:row>
      <xdr:rowOff>16561</xdr:rowOff>
    </xdr:from>
    <xdr:to>
      <xdr:col>30</xdr:col>
      <xdr:colOff>389284</xdr:colOff>
      <xdr:row>13</xdr:row>
      <xdr:rowOff>99391</xdr:rowOff>
    </xdr:to>
    <xdr:sp macro="" textlink="">
      <xdr:nvSpPr>
        <xdr:cNvPr id="25" name="CuadroTexto 24"/>
        <xdr:cNvSpPr txBox="1"/>
      </xdr:nvSpPr>
      <xdr:spPr>
        <a:xfrm>
          <a:off x="18892631" y="2161757"/>
          <a:ext cx="505240" cy="2484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ysClr val="windowText" lastClr="000000"/>
              </a:solidFill>
            </a:rPr>
            <a:t>2015</a:t>
          </a:r>
        </a:p>
      </xdr:txBody>
    </xdr:sp>
    <xdr:clientData/>
  </xdr:twoCellAnchor>
  <xdr:twoCellAnchor>
    <xdr:from>
      <xdr:col>29</xdr:col>
      <xdr:colOff>372717</xdr:colOff>
      <xdr:row>2</xdr:row>
      <xdr:rowOff>223630</xdr:rowOff>
    </xdr:from>
    <xdr:to>
      <xdr:col>30</xdr:col>
      <xdr:colOff>670891</xdr:colOff>
      <xdr:row>6</xdr:row>
      <xdr:rowOff>132520</xdr:rowOff>
    </xdr:to>
    <xdr:sp macro="" textlink="">
      <xdr:nvSpPr>
        <xdr:cNvPr id="26" name="CuadroTexto 25"/>
        <xdr:cNvSpPr txBox="1"/>
      </xdr:nvSpPr>
      <xdr:spPr>
        <a:xfrm>
          <a:off x="18619304" y="554934"/>
          <a:ext cx="1060174" cy="6460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ysClr val="windowText" lastClr="000000"/>
              </a:solidFill>
            </a:rPr>
            <a:t>2015: Introducción</a:t>
          </a:r>
          <a:r>
            <a:rPr lang="es-ES" sz="1100" baseline="0">
              <a:solidFill>
                <a:sysClr val="windowText" lastClr="000000"/>
              </a:solidFill>
            </a:rPr>
            <a:t> Vac 4CMenB</a:t>
          </a:r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57978</xdr:colOff>
      <xdr:row>32</xdr:row>
      <xdr:rowOff>8283</xdr:rowOff>
    </xdr:from>
    <xdr:to>
      <xdr:col>22</xdr:col>
      <xdr:colOff>521805</xdr:colOff>
      <xdr:row>40</xdr:row>
      <xdr:rowOff>74543</xdr:rowOff>
    </xdr:to>
    <xdr:cxnSp macro="">
      <xdr:nvCxnSpPr>
        <xdr:cNvPr id="16" name="Conector recto de flecha 15"/>
        <xdr:cNvCxnSpPr/>
      </xdr:nvCxnSpPr>
      <xdr:spPr>
        <a:xfrm flipH="1">
          <a:off x="10552043" y="5607326"/>
          <a:ext cx="2898914" cy="14825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74544</xdr:colOff>
      <xdr:row>25</xdr:row>
      <xdr:rowOff>157370</xdr:rowOff>
    </xdr:from>
    <xdr:to>
      <xdr:col>18</xdr:col>
      <xdr:colOff>149088</xdr:colOff>
      <xdr:row>38</xdr:row>
      <xdr:rowOff>49696</xdr:rowOff>
    </xdr:to>
    <xdr:cxnSp macro="">
      <xdr:nvCxnSpPr>
        <xdr:cNvPr id="18" name="Conector recto de flecha 17"/>
        <xdr:cNvCxnSpPr/>
      </xdr:nvCxnSpPr>
      <xdr:spPr>
        <a:xfrm flipH="1">
          <a:off x="10568609" y="4530587"/>
          <a:ext cx="74544" cy="22031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49696</xdr:colOff>
      <xdr:row>11</xdr:row>
      <xdr:rowOff>8283</xdr:rowOff>
    </xdr:from>
    <xdr:to>
      <xdr:col>22</xdr:col>
      <xdr:colOff>422413</xdr:colOff>
      <xdr:row>16</xdr:row>
      <xdr:rowOff>24848</xdr:rowOff>
    </xdr:to>
    <xdr:cxnSp macro="">
      <xdr:nvCxnSpPr>
        <xdr:cNvPr id="20" name="Conector recto de flecha 19"/>
        <xdr:cNvCxnSpPr/>
      </xdr:nvCxnSpPr>
      <xdr:spPr>
        <a:xfrm flipH="1">
          <a:off x="9988826" y="1987826"/>
          <a:ext cx="3362739" cy="8448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8283</xdr:colOff>
      <xdr:row>3</xdr:row>
      <xdr:rowOff>132522</xdr:rowOff>
    </xdr:from>
    <xdr:to>
      <xdr:col>18</xdr:col>
      <xdr:colOff>124240</xdr:colOff>
      <xdr:row>16</xdr:row>
      <xdr:rowOff>99392</xdr:rowOff>
    </xdr:to>
    <xdr:cxnSp macro="">
      <xdr:nvCxnSpPr>
        <xdr:cNvPr id="23" name="Conector recto de flecha 22"/>
        <xdr:cNvCxnSpPr/>
      </xdr:nvCxnSpPr>
      <xdr:spPr>
        <a:xfrm flipH="1">
          <a:off x="9947413" y="704022"/>
          <a:ext cx="670892" cy="22031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16565</xdr:colOff>
      <xdr:row>51</xdr:row>
      <xdr:rowOff>132522</xdr:rowOff>
    </xdr:from>
    <xdr:to>
      <xdr:col>22</xdr:col>
      <xdr:colOff>546653</xdr:colOff>
      <xdr:row>61</xdr:row>
      <xdr:rowOff>57978</xdr:rowOff>
    </xdr:to>
    <xdr:cxnSp macro="">
      <xdr:nvCxnSpPr>
        <xdr:cNvPr id="27" name="Conector recto de flecha 26"/>
        <xdr:cNvCxnSpPr/>
      </xdr:nvCxnSpPr>
      <xdr:spPr>
        <a:xfrm flipH="1">
          <a:off x="10510630" y="9119152"/>
          <a:ext cx="2965175" cy="16730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46</xdr:row>
      <xdr:rowOff>182217</xdr:rowOff>
    </xdr:from>
    <xdr:to>
      <xdr:col>18</xdr:col>
      <xdr:colOff>124239</xdr:colOff>
      <xdr:row>60</xdr:row>
      <xdr:rowOff>8282</xdr:rowOff>
    </xdr:to>
    <xdr:cxnSp macro="">
      <xdr:nvCxnSpPr>
        <xdr:cNvPr id="29" name="Conector recto de flecha 28"/>
        <xdr:cNvCxnSpPr/>
      </xdr:nvCxnSpPr>
      <xdr:spPr>
        <a:xfrm flipH="1">
          <a:off x="10494065" y="8224630"/>
          <a:ext cx="124239" cy="235226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77</xdr:row>
      <xdr:rowOff>0</xdr:rowOff>
    </xdr:from>
    <xdr:to>
      <xdr:col>22</xdr:col>
      <xdr:colOff>488674</xdr:colOff>
      <xdr:row>80</xdr:row>
      <xdr:rowOff>107674</xdr:rowOff>
    </xdr:to>
    <xdr:cxnSp macro="">
      <xdr:nvCxnSpPr>
        <xdr:cNvPr id="31" name="Conector recto de flecha 30"/>
        <xdr:cNvCxnSpPr/>
      </xdr:nvCxnSpPr>
      <xdr:spPr>
        <a:xfrm flipH="1">
          <a:off x="10494065" y="13442674"/>
          <a:ext cx="2923761" cy="6957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530087</xdr:colOff>
      <xdr:row>69</xdr:row>
      <xdr:rowOff>132522</xdr:rowOff>
    </xdr:from>
    <xdr:to>
      <xdr:col>18</xdr:col>
      <xdr:colOff>115958</xdr:colOff>
      <xdr:row>82</xdr:row>
      <xdr:rowOff>115957</xdr:rowOff>
    </xdr:to>
    <xdr:cxnSp macro="">
      <xdr:nvCxnSpPr>
        <xdr:cNvPr id="33" name="Conector recto de flecha 32"/>
        <xdr:cNvCxnSpPr/>
      </xdr:nvCxnSpPr>
      <xdr:spPr>
        <a:xfrm flipH="1">
          <a:off x="10469217" y="12283109"/>
          <a:ext cx="140806" cy="21948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289892</xdr:colOff>
      <xdr:row>98</xdr:row>
      <xdr:rowOff>24848</xdr:rowOff>
    </xdr:from>
    <xdr:to>
      <xdr:col>22</xdr:col>
      <xdr:colOff>455544</xdr:colOff>
      <xdr:row>106</xdr:row>
      <xdr:rowOff>74544</xdr:rowOff>
    </xdr:to>
    <xdr:cxnSp macro="">
      <xdr:nvCxnSpPr>
        <xdr:cNvPr id="35" name="Conector recto de flecha 34"/>
        <xdr:cNvCxnSpPr/>
      </xdr:nvCxnSpPr>
      <xdr:spPr>
        <a:xfrm flipH="1">
          <a:off x="10783957" y="17169848"/>
          <a:ext cx="2600739" cy="14825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132522</xdr:colOff>
      <xdr:row>90</xdr:row>
      <xdr:rowOff>173935</xdr:rowOff>
    </xdr:from>
    <xdr:to>
      <xdr:col>18</xdr:col>
      <xdr:colOff>289892</xdr:colOff>
      <xdr:row>104</xdr:row>
      <xdr:rowOff>57978</xdr:rowOff>
    </xdr:to>
    <xdr:cxnSp macro="">
      <xdr:nvCxnSpPr>
        <xdr:cNvPr id="37" name="Conector recto de flecha 36"/>
        <xdr:cNvCxnSpPr/>
      </xdr:nvCxnSpPr>
      <xdr:spPr>
        <a:xfrm>
          <a:off x="10626587" y="16026848"/>
          <a:ext cx="157370" cy="227771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265044</xdr:colOff>
      <xdr:row>119</xdr:row>
      <xdr:rowOff>24848</xdr:rowOff>
    </xdr:from>
    <xdr:to>
      <xdr:col>22</xdr:col>
      <xdr:colOff>381000</xdr:colOff>
      <xdr:row>126</xdr:row>
      <xdr:rowOff>82826</xdr:rowOff>
    </xdr:to>
    <xdr:cxnSp macro="">
      <xdr:nvCxnSpPr>
        <xdr:cNvPr id="39" name="Conector recto de flecha 38"/>
        <xdr:cNvCxnSpPr/>
      </xdr:nvCxnSpPr>
      <xdr:spPr>
        <a:xfrm flipH="1">
          <a:off x="10759109" y="20897022"/>
          <a:ext cx="2551043" cy="13003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107674</xdr:colOff>
      <xdr:row>112</xdr:row>
      <xdr:rowOff>190500</xdr:rowOff>
    </xdr:from>
    <xdr:to>
      <xdr:col>18</xdr:col>
      <xdr:colOff>223631</xdr:colOff>
      <xdr:row>124</xdr:row>
      <xdr:rowOff>132522</xdr:rowOff>
    </xdr:to>
    <xdr:cxnSp macro="">
      <xdr:nvCxnSpPr>
        <xdr:cNvPr id="41" name="Conector recto de flecha 40"/>
        <xdr:cNvCxnSpPr/>
      </xdr:nvCxnSpPr>
      <xdr:spPr>
        <a:xfrm>
          <a:off x="10601739" y="19762304"/>
          <a:ext cx="115957" cy="21534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tabSelected="1" zoomScaleNormal="100" workbookViewId="0"/>
  </sheetViews>
  <sheetFormatPr baseColWidth="10" defaultRowHeight="12.75" x14ac:dyDescent="0.2"/>
  <cols>
    <col min="1" max="1" width="2" style="309" customWidth="1"/>
    <col min="2" max="2" width="19.85546875" style="309" customWidth="1"/>
    <col min="3" max="21" width="8.28515625" style="310" customWidth="1"/>
    <col min="22" max="22" width="11.5703125" style="310" customWidth="1"/>
    <col min="23" max="23" width="11.140625" style="310" customWidth="1"/>
    <col min="24" max="16384" width="11.42578125" style="310"/>
  </cols>
  <sheetData>
    <row r="1" spans="1:24" x14ac:dyDescent="0.2">
      <c r="R1" s="229" t="s">
        <v>157</v>
      </c>
      <c r="S1" s="229" t="s">
        <v>158</v>
      </c>
    </row>
    <row r="2" spans="1:24" x14ac:dyDescent="0.2">
      <c r="R2" s="361">
        <v>41852</v>
      </c>
      <c r="S2" s="361">
        <v>42278</v>
      </c>
    </row>
    <row r="3" spans="1:24" ht="18.75" customHeight="1" x14ac:dyDescent="0.2">
      <c r="B3" s="348" t="s">
        <v>6</v>
      </c>
      <c r="C3" s="2">
        <v>1999</v>
      </c>
      <c r="D3" s="2">
        <v>2000</v>
      </c>
      <c r="E3" s="2">
        <v>2001</v>
      </c>
      <c r="F3" s="2">
        <v>2002</v>
      </c>
      <c r="G3" s="2">
        <v>2003</v>
      </c>
      <c r="H3" s="2">
        <v>2004</v>
      </c>
      <c r="I3" s="2">
        <v>2005</v>
      </c>
      <c r="J3" s="2">
        <v>2006</v>
      </c>
      <c r="K3" s="2">
        <v>2007</v>
      </c>
      <c r="L3" s="2">
        <v>2008</v>
      </c>
      <c r="M3" s="2">
        <v>2009</v>
      </c>
      <c r="N3" s="350">
        <v>2010</v>
      </c>
      <c r="O3" s="350">
        <v>2011</v>
      </c>
      <c r="P3" s="350">
        <v>2012</v>
      </c>
      <c r="Q3" s="350">
        <v>2013</v>
      </c>
      <c r="R3" s="366">
        <v>2014</v>
      </c>
      <c r="S3" s="351">
        <v>2015</v>
      </c>
      <c r="T3" s="349">
        <v>2016</v>
      </c>
      <c r="U3" s="349">
        <v>2017</v>
      </c>
    </row>
    <row r="4" spans="1:24" x14ac:dyDescent="0.2">
      <c r="B4" s="339" t="s">
        <v>213</v>
      </c>
      <c r="C4" s="340">
        <v>25.250331240904451</v>
      </c>
      <c r="D4" s="340">
        <v>22.091119370013256</v>
      </c>
      <c r="E4" s="340">
        <v>18.796380067817338</v>
      </c>
      <c r="F4" s="340">
        <v>23.441620597370633</v>
      </c>
      <c r="G4" s="340">
        <v>23.0681045008435</v>
      </c>
      <c r="H4" s="340">
        <v>26.424793231639285</v>
      </c>
      <c r="I4" s="340">
        <v>23.445425841241601</v>
      </c>
      <c r="J4" s="340">
        <v>22.457294065554112</v>
      </c>
      <c r="K4" s="340">
        <v>22.383512470518014</v>
      </c>
      <c r="L4" s="340">
        <v>22.856733991342267</v>
      </c>
      <c r="M4" s="340">
        <v>19.067973352507241</v>
      </c>
      <c r="N4" s="341">
        <v>13.129704810890569</v>
      </c>
      <c r="O4" s="341">
        <v>14.324142710591229</v>
      </c>
      <c r="P4" s="341">
        <v>11.256117808260692</v>
      </c>
      <c r="Q4" s="341">
        <v>10.844085128375509</v>
      </c>
      <c r="R4" s="341">
        <v>10.465699857999482</v>
      </c>
      <c r="S4" s="341">
        <v>8.8512087880542172</v>
      </c>
      <c r="T4" s="341">
        <v>7.0720495531196272</v>
      </c>
      <c r="U4" s="341">
        <v>6.3135298945640503</v>
      </c>
    </row>
    <row r="5" spans="1:24" x14ac:dyDescent="0.2">
      <c r="B5" s="339" t="s">
        <v>214</v>
      </c>
      <c r="C5" s="340">
        <v>11.193767528655021</v>
      </c>
      <c r="D5" s="340">
        <v>10.520064477814541</v>
      </c>
      <c r="E5" s="340">
        <v>8.5275459721335789</v>
      </c>
      <c r="F5" s="340">
        <v>7.6056708904770609</v>
      </c>
      <c r="G5" s="340">
        <v>7.5834438742591619</v>
      </c>
      <c r="H5" s="340">
        <v>7.6617378117958941</v>
      </c>
      <c r="I5" s="340">
        <v>8.6509966004998233</v>
      </c>
      <c r="J5" s="340">
        <v>7.7124617957696042</v>
      </c>
      <c r="K5" s="340">
        <v>7.9786088178520842</v>
      </c>
      <c r="L5" s="340">
        <v>6.0958347884125414</v>
      </c>
      <c r="M5" s="340">
        <v>6.2113526356587192</v>
      </c>
      <c r="N5" s="341">
        <v>4.4305212134849139</v>
      </c>
      <c r="O5" s="341">
        <v>4.3820794859422394</v>
      </c>
      <c r="P5" s="341">
        <v>2.8203459758699259</v>
      </c>
      <c r="Q5" s="341">
        <v>2.7947489771995064</v>
      </c>
      <c r="R5" s="341">
        <v>1.6649354918058319</v>
      </c>
      <c r="S5" s="341">
        <v>2.3814785215559806</v>
      </c>
      <c r="T5" s="341">
        <v>2.3288573830459183</v>
      </c>
      <c r="U5" s="341">
        <v>1.9704913130310908</v>
      </c>
    </row>
    <row r="6" spans="1:24" s="318" customFormat="1" x14ac:dyDescent="0.2">
      <c r="A6" s="317"/>
      <c r="B6" s="342" t="s">
        <v>1</v>
      </c>
      <c r="C6" s="343">
        <v>1.3747938800022432</v>
      </c>
      <c r="D6" s="343">
        <v>1.3562025578769306</v>
      </c>
      <c r="E6" s="343">
        <v>1.1112187987607041</v>
      </c>
      <c r="F6" s="343">
        <v>1.2577397769233141</v>
      </c>
      <c r="G6" s="343">
        <v>1.2678859305542143</v>
      </c>
      <c r="H6" s="343">
        <v>1.1409460598734427</v>
      </c>
      <c r="I6" s="343">
        <v>1.1451440544269562</v>
      </c>
      <c r="J6" s="343">
        <v>1.0978230439549186</v>
      </c>
      <c r="K6" s="343">
        <v>1.1561585559822805</v>
      </c>
      <c r="L6" s="343">
        <v>0.97644399539135829</v>
      </c>
      <c r="M6" s="343">
        <v>0.91874601607141271</v>
      </c>
      <c r="N6" s="344">
        <v>0.64000028864442549</v>
      </c>
      <c r="O6" s="344">
        <v>0.67827431523019188</v>
      </c>
      <c r="P6" s="344">
        <v>0.45759339785956199</v>
      </c>
      <c r="Q6" s="344">
        <v>0.4185157281751935</v>
      </c>
      <c r="R6" s="344">
        <v>0.30782392850149937</v>
      </c>
      <c r="S6" s="344">
        <v>0.39000075974733639</v>
      </c>
      <c r="T6" s="344">
        <v>0.31001155180544915</v>
      </c>
      <c r="U6" s="344">
        <v>0.3073018970799099</v>
      </c>
    </row>
    <row r="7" spans="1:24" s="345" customFormat="1" x14ac:dyDescent="0.2">
      <c r="A7" s="329"/>
      <c r="B7" s="329"/>
      <c r="E7" s="346"/>
      <c r="F7" s="347"/>
      <c r="G7" s="346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</row>
    <row r="8" spans="1:24" x14ac:dyDescent="0.2">
      <c r="H8" s="347"/>
      <c r="M8" s="362" t="s">
        <v>6</v>
      </c>
      <c r="N8" s="350">
        <v>2010</v>
      </c>
      <c r="O8" s="350">
        <v>2011</v>
      </c>
      <c r="P8" s="350">
        <v>2012</v>
      </c>
      <c r="Q8" s="350">
        <v>2013</v>
      </c>
      <c r="R8" s="366">
        <v>2014</v>
      </c>
      <c r="S8" s="351">
        <v>2015</v>
      </c>
      <c r="U8" s="345"/>
    </row>
    <row r="9" spans="1:24" x14ac:dyDescent="0.2">
      <c r="M9" s="363" t="s">
        <v>213</v>
      </c>
      <c r="N9" s="341">
        <v>13.129704810890569</v>
      </c>
      <c r="O9" s="341">
        <v>14.324142710591229</v>
      </c>
      <c r="P9" s="341">
        <v>11.256117808260692</v>
      </c>
      <c r="Q9" s="341">
        <v>10.844085128375509</v>
      </c>
      <c r="R9" s="341">
        <v>10.465699857999482</v>
      </c>
      <c r="S9" s="341"/>
      <c r="U9" s="345"/>
    </row>
    <row r="10" spans="1:24" ht="19.5" customHeight="1" x14ac:dyDescent="0.2">
      <c r="U10" s="345"/>
      <c r="V10" s="380">
        <v>-0.88080674879978937</v>
      </c>
      <c r="W10" s="380">
        <v>1784.1871286483997</v>
      </c>
    </row>
    <row r="11" spans="1:24" x14ac:dyDescent="0.2">
      <c r="U11" s="351">
        <v>2015</v>
      </c>
      <c r="V11" s="380">
        <f>U11*V10</f>
        <v>-1774.8255988315757</v>
      </c>
      <c r="W11" s="367">
        <f>V11+W10</f>
        <v>9.3615298168240315</v>
      </c>
      <c r="X11" s="373" t="s">
        <v>208</v>
      </c>
    </row>
    <row r="13" spans="1:24" s="318" customFormat="1" x14ac:dyDescent="0.2">
      <c r="A13" s="317"/>
      <c r="B13" s="317"/>
    </row>
    <row r="14" spans="1:24" s="346" customFormat="1" x14ac:dyDescent="0.2">
      <c r="A14" s="326"/>
      <c r="B14" s="326"/>
      <c r="T14" s="310"/>
      <c r="U14" s="318"/>
    </row>
    <row r="15" spans="1:24" x14ac:dyDescent="0.2">
      <c r="T15" s="347"/>
      <c r="U15" s="318"/>
    </row>
    <row r="16" spans="1:24" x14ac:dyDescent="0.2">
      <c r="U16" s="318"/>
    </row>
    <row r="17" spans="1:24" ht="18.75" customHeight="1" x14ac:dyDescent="0.2">
      <c r="U17" s="318"/>
    </row>
    <row r="18" spans="1:24" x14ac:dyDescent="0.2">
      <c r="U18" s="318"/>
    </row>
    <row r="19" spans="1:24" x14ac:dyDescent="0.2">
      <c r="U19" s="318"/>
    </row>
    <row r="21" spans="1:24" s="347" customFormat="1" x14ac:dyDescent="0.2">
      <c r="A21" s="326"/>
      <c r="B21" s="326"/>
      <c r="T21" s="310"/>
    </row>
    <row r="22" spans="1:24" s="347" customFormat="1" x14ac:dyDescent="0.2">
      <c r="A22" s="326"/>
      <c r="B22" s="326"/>
      <c r="T22" s="310"/>
    </row>
    <row r="23" spans="1:24" s="347" customFormat="1" x14ac:dyDescent="0.2">
      <c r="A23" s="326"/>
      <c r="B23" s="326"/>
      <c r="T23" s="310"/>
    </row>
    <row r="24" spans="1:24" x14ac:dyDescent="0.2"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</row>
    <row r="25" spans="1:24" x14ac:dyDescent="0.2">
      <c r="B25" s="348" t="s">
        <v>6</v>
      </c>
      <c r="C25" s="2">
        <v>1999</v>
      </c>
      <c r="D25" s="2">
        <v>2000</v>
      </c>
      <c r="E25" s="2">
        <v>2001</v>
      </c>
      <c r="F25" s="2">
        <v>2002</v>
      </c>
      <c r="G25" s="2">
        <v>2003</v>
      </c>
      <c r="H25" s="2">
        <v>2004</v>
      </c>
      <c r="I25" s="2">
        <v>2005</v>
      </c>
      <c r="J25" s="2">
        <v>2006</v>
      </c>
      <c r="K25" s="2">
        <v>2007</v>
      </c>
      <c r="L25" s="2">
        <v>2008</v>
      </c>
      <c r="M25" s="2">
        <v>2009</v>
      </c>
      <c r="N25" s="350">
        <v>2010</v>
      </c>
      <c r="O25" s="350">
        <v>2011</v>
      </c>
      <c r="P25" s="350">
        <v>2012</v>
      </c>
      <c r="Q25" s="350">
        <v>2013</v>
      </c>
      <c r="R25" s="366">
        <v>2014</v>
      </c>
      <c r="S25" s="351">
        <v>2015</v>
      </c>
      <c r="T25" s="349">
        <v>2016</v>
      </c>
      <c r="U25" s="349">
        <v>2017</v>
      </c>
    </row>
    <row r="26" spans="1:24" ht="18" customHeight="1" x14ac:dyDescent="0.2">
      <c r="B26" s="339" t="s">
        <v>214</v>
      </c>
      <c r="C26" s="340">
        <v>11.193767528655021</v>
      </c>
      <c r="D26" s="340">
        <v>10.520064477814541</v>
      </c>
      <c r="E26" s="340">
        <v>8.5275459721335789</v>
      </c>
      <c r="F26" s="340">
        <v>7.6056708904770609</v>
      </c>
      <c r="G26" s="340">
        <v>7.5834438742591619</v>
      </c>
      <c r="H26" s="340">
        <v>7.6617378117958941</v>
      </c>
      <c r="I26" s="340">
        <v>8.6509966004998233</v>
      </c>
      <c r="J26" s="340">
        <v>7.7124617957696042</v>
      </c>
      <c r="K26" s="340">
        <v>7.9786088178520842</v>
      </c>
      <c r="L26" s="340">
        <v>6.0958347884125414</v>
      </c>
      <c r="M26" s="340">
        <v>6.2113526356587192</v>
      </c>
      <c r="N26" s="340">
        <v>4.4305212134849139</v>
      </c>
      <c r="O26" s="340">
        <v>4.3820794859422394</v>
      </c>
      <c r="P26" s="340">
        <v>2.8203459758699259</v>
      </c>
      <c r="Q26" s="340">
        <v>2.7947489771995064</v>
      </c>
      <c r="R26" s="340">
        <v>1.6649354918058319</v>
      </c>
      <c r="S26" s="340">
        <v>2.3814785215559806</v>
      </c>
      <c r="T26" s="340">
        <v>2.3288573830459183</v>
      </c>
      <c r="U26" s="340">
        <v>1.9704913130310908</v>
      </c>
    </row>
    <row r="27" spans="1:24" x14ac:dyDescent="0.2">
      <c r="B27" s="342" t="s">
        <v>1</v>
      </c>
      <c r="C27" s="343">
        <v>1.3747938800022432</v>
      </c>
      <c r="D27" s="343">
        <v>1.3438734437144129</v>
      </c>
      <c r="E27" s="343">
        <v>1.0989536906066124</v>
      </c>
      <c r="F27" s="343">
        <v>1.2504975133325849</v>
      </c>
      <c r="G27" s="343">
        <v>1.258406409578108</v>
      </c>
      <c r="H27" s="343">
        <v>1.1152806065838561</v>
      </c>
      <c r="I27" s="343">
        <v>1.1359829019915406</v>
      </c>
      <c r="J27" s="343">
        <v>1.0865517601360795</v>
      </c>
      <c r="K27" s="343">
        <v>1.1274203891987822</v>
      </c>
      <c r="L27" s="343">
        <v>0.95687162131892578</v>
      </c>
      <c r="M27" s="343">
        <v>0.91011929291581262</v>
      </c>
      <c r="N27" s="343">
        <v>0.63140968074315806</v>
      </c>
      <c r="O27" s="343">
        <v>0.66329664896327911</v>
      </c>
      <c r="P27" s="343">
        <v>0.44690196333013293</v>
      </c>
      <c r="Q27" s="343">
        <v>0.40993079016134337</v>
      </c>
      <c r="R27" s="343">
        <v>0.30136608384762176</v>
      </c>
      <c r="S27" s="343">
        <v>0.38353665875704906</v>
      </c>
      <c r="T27" s="343">
        <v>0.3035529778095023</v>
      </c>
      <c r="U27" s="343">
        <v>0.29440811118844518</v>
      </c>
    </row>
    <row r="29" spans="1:24" s="318" customFormat="1" x14ac:dyDescent="0.2">
      <c r="A29" s="317"/>
      <c r="B29" s="317"/>
      <c r="M29" s="362" t="s">
        <v>6</v>
      </c>
      <c r="N29" s="350">
        <v>2010</v>
      </c>
      <c r="O29" s="350">
        <v>2011</v>
      </c>
      <c r="P29" s="350">
        <v>2012</v>
      </c>
      <c r="Q29" s="350">
        <v>2013</v>
      </c>
      <c r="R29" s="366">
        <v>2014</v>
      </c>
      <c r="S29" s="351">
        <v>2015</v>
      </c>
      <c r="U29" s="310"/>
    </row>
    <row r="30" spans="1:24" s="346" customFormat="1" x14ac:dyDescent="0.2">
      <c r="A30" s="326"/>
      <c r="B30" s="326"/>
      <c r="M30" s="363" t="s">
        <v>214</v>
      </c>
      <c r="N30" s="340">
        <v>4.4305212134849139</v>
      </c>
      <c r="O30" s="340">
        <v>4.3820794859422394</v>
      </c>
      <c r="P30" s="340">
        <v>2.8203459758699259</v>
      </c>
      <c r="Q30" s="340">
        <v>2.7947489771995064</v>
      </c>
      <c r="R30" s="340">
        <v>1.6649354918058319</v>
      </c>
      <c r="S30" s="340"/>
      <c r="U30" s="310"/>
    </row>
    <row r="31" spans="1:24" x14ac:dyDescent="0.2">
      <c r="U31" s="345"/>
      <c r="V31" s="380">
        <v>-0.71185019521008974</v>
      </c>
      <c r="W31" s="380">
        <v>1435.4611189915611</v>
      </c>
    </row>
    <row r="32" spans="1:24" x14ac:dyDescent="0.2">
      <c r="U32" s="351">
        <v>2015</v>
      </c>
      <c r="V32" s="380">
        <f>U32*V31</f>
        <v>-1434.3781433483309</v>
      </c>
      <c r="W32" s="367">
        <f>V32+W31</f>
        <v>1.0829756432301565</v>
      </c>
      <c r="X32" s="373" t="s">
        <v>208</v>
      </c>
    </row>
    <row r="33" spans="1:21" ht="20.25" customHeight="1" x14ac:dyDescent="0.2"/>
    <row r="38" spans="1:21" s="347" customFormat="1" x14ac:dyDescent="0.2">
      <c r="A38" s="326"/>
      <c r="B38" s="326"/>
      <c r="T38" s="310"/>
    </row>
    <row r="46" spans="1:21" ht="15.75" customHeight="1" x14ac:dyDescent="0.2">
      <c r="B46" s="348" t="s">
        <v>6</v>
      </c>
      <c r="C46" s="2">
        <v>1999</v>
      </c>
      <c r="D46" s="2">
        <v>2000</v>
      </c>
      <c r="E46" s="2">
        <v>2001</v>
      </c>
      <c r="F46" s="2">
        <v>2002</v>
      </c>
      <c r="G46" s="2">
        <v>2003</v>
      </c>
      <c r="H46" s="2">
        <v>2004</v>
      </c>
      <c r="I46" s="2">
        <v>2005</v>
      </c>
      <c r="J46" s="2">
        <v>2006</v>
      </c>
      <c r="K46" s="2">
        <v>2007</v>
      </c>
      <c r="L46" s="2">
        <v>2008</v>
      </c>
      <c r="M46" s="2">
        <v>2009</v>
      </c>
      <c r="N46" s="350">
        <v>2010</v>
      </c>
      <c r="O46" s="350">
        <v>2011</v>
      </c>
      <c r="P46" s="350">
        <v>2012</v>
      </c>
      <c r="Q46" s="350">
        <v>2013</v>
      </c>
      <c r="R46" s="366">
        <v>2014</v>
      </c>
      <c r="S46" s="351">
        <v>2015</v>
      </c>
      <c r="T46" s="349">
        <v>2016</v>
      </c>
      <c r="U46" s="349">
        <v>2017</v>
      </c>
    </row>
    <row r="47" spans="1:21" ht="18" customHeight="1" x14ac:dyDescent="0.2">
      <c r="B47" s="342" t="s">
        <v>1</v>
      </c>
      <c r="C47" s="343">
        <v>1.3747938800022432</v>
      </c>
      <c r="D47" s="343">
        <v>1.3562025578769306</v>
      </c>
      <c r="E47" s="343">
        <v>1.1112187987607041</v>
      </c>
      <c r="F47" s="343">
        <v>1.2577397769233141</v>
      </c>
      <c r="G47" s="343">
        <v>1.2678859305542143</v>
      </c>
      <c r="H47" s="343">
        <v>1.1409460598734427</v>
      </c>
      <c r="I47" s="343">
        <v>1.1451440544269562</v>
      </c>
      <c r="J47" s="343">
        <v>1.0978230439549186</v>
      </c>
      <c r="K47" s="343">
        <v>1.1561585559822805</v>
      </c>
      <c r="L47" s="343">
        <v>0.97644399539135829</v>
      </c>
      <c r="M47" s="343">
        <v>0.91874601607141271</v>
      </c>
      <c r="N47" s="343">
        <v>0.64000028864442549</v>
      </c>
      <c r="O47" s="343">
        <v>0.67827431523019188</v>
      </c>
      <c r="P47" s="343">
        <v>0.45759339785956199</v>
      </c>
      <c r="Q47" s="343">
        <v>0.4185157281751935</v>
      </c>
      <c r="R47" s="343">
        <v>0.30782392850149937</v>
      </c>
      <c r="S47" s="343">
        <v>0.39000075974733639</v>
      </c>
      <c r="T47" s="343">
        <v>0.31001155180544915</v>
      </c>
      <c r="U47" s="343">
        <v>0.3073018970799099</v>
      </c>
    </row>
    <row r="49" spans="13:24" ht="17.25" customHeight="1" x14ac:dyDescent="0.2">
      <c r="M49" s="362" t="s">
        <v>6</v>
      </c>
      <c r="N49" s="350">
        <v>2010</v>
      </c>
      <c r="O49" s="350">
        <v>2011</v>
      </c>
      <c r="P49" s="350">
        <v>2012</v>
      </c>
      <c r="Q49" s="350">
        <v>2013</v>
      </c>
      <c r="R49" s="366">
        <v>2014</v>
      </c>
      <c r="S49" s="351">
        <v>2015</v>
      </c>
    </row>
    <row r="50" spans="13:24" x14ac:dyDescent="0.2">
      <c r="M50" s="363" t="s">
        <v>1</v>
      </c>
      <c r="N50" s="343">
        <v>0.64000028864442549</v>
      </c>
      <c r="O50" s="343">
        <v>0.67827431523019188</v>
      </c>
      <c r="P50" s="343">
        <v>0.45759339785956199</v>
      </c>
      <c r="Q50" s="343">
        <v>0.4185157281751935</v>
      </c>
      <c r="R50" s="343">
        <v>0.30782392850149937</v>
      </c>
      <c r="S50" s="343"/>
    </row>
    <row r="51" spans="13:24" x14ac:dyDescent="0.2">
      <c r="U51" s="345"/>
      <c r="V51" s="380">
        <v>-9.2411130734085051E-2</v>
      </c>
      <c r="W51" s="380">
        <v>186.4316365686613</v>
      </c>
    </row>
    <row r="52" spans="13:24" x14ac:dyDescent="0.2">
      <c r="U52" s="351">
        <v>2015</v>
      </c>
      <c r="V52" s="380">
        <f>U52*V51</f>
        <v>-186.20842842918137</v>
      </c>
      <c r="W52" s="367">
        <f>V52+W51</f>
        <v>0.22320813947993656</v>
      </c>
      <c r="X52" s="373" t="s">
        <v>208</v>
      </c>
    </row>
    <row r="56" spans="13:24" ht="20.25" customHeight="1" x14ac:dyDescent="0.2"/>
    <row r="69" spans="2:24" ht="20.25" customHeight="1" x14ac:dyDescent="0.2">
      <c r="B69" s="334" t="s">
        <v>10</v>
      </c>
      <c r="C69" s="2">
        <v>1999</v>
      </c>
      <c r="D69" s="2">
        <v>2000</v>
      </c>
      <c r="E69" s="2">
        <v>2001</v>
      </c>
      <c r="F69" s="2">
        <v>2002</v>
      </c>
      <c r="G69" s="2">
        <v>2003</v>
      </c>
      <c r="H69" s="2">
        <v>2004</v>
      </c>
      <c r="I69" s="2">
        <v>2005</v>
      </c>
      <c r="J69" s="2">
        <v>2006</v>
      </c>
      <c r="K69" s="2">
        <v>2007</v>
      </c>
      <c r="L69" s="2">
        <v>2008</v>
      </c>
      <c r="M69" s="2">
        <v>2009</v>
      </c>
      <c r="N69" s="350">
        <v>2010</v>
      </c>
      <c r="O69" s="350">
        <v>2011</v>
      </c>
      <c r="P69" s="350">
        <v>2012</v>
      </c>
      <c r="Q69" s="350">
        <v>2013</v>
      </c>
      <c r="R69" s="366">
        <v>2014</v>
      </c>
      <c r="S69" s="351">
        <v>2015</v>
      </c>
      <c r="T69" s="349">
        <v>2016</v>
      </c>
      <c r="U69" s="349">
        <v>2017</v>
      </c>
    </row>
    <row r="70" spans="2:24" x14ac:dyDescent="0.2">
      <c r="B70" s="332" t="s">
        <v>213</v>
      </c>
      <c r="C70" s="335">
        <v>2.1720715045939314</v>
      </c>
      <c r="D70" s="335">
        <v>2.0791641760012474</v>
      </c>
      <c r="E70" s="335">
        <v>0.25061840090423121</v>
      </c>
      <c r="F70" s="335">
        <v>1.9534683831142192</v>
      </c>
      <c r="G70" s="335">
        <v>1.1650557828708838</v>
      </c>
      <c r="H70" s="335">
        <v>3.6136469376600733</v>
      </c>
      <c r="I70" s="335">
        <v>2.4102774229313795</v>
      </c>
      <c r="J70" s="335">
        <v>3.1779189715406764</v>
      </c>
      <c r="K70" s="335">
        <v>1.865292705876501</v>
      </c>
      <c r="L70" s="335">
        <v>2.186296294824043</v>
      </c>
      <c r="M70" s="335">
        <v>1.7876225017975538</v>
      </c>
      <c r="N70" s="335">
        <v>0.83363205148511554</v>
      </c>
      <c r="O70" s="335">
        <v>1.0532457875434726</v>
      </c>
      <c r="P70" s="335">
        <v>1.2987828240300798</v>
      </c>
      <c r="Q70" s="335">
        <v>0.92290086198940513</v>
      </c>
      <c r="R70" s="336">
        <v>1.1892840747726683</v>
      </c>
      <c r="S70" s="335">
        <v>0.71766557740980141</v>
      </c>
      <c r="T70" s="335">
        <v>0.73159133308134072</v>
      </c>
      <c r="U70" s="335">
        <v>0</v>
      </c>
    </row>
    <row r="71" spans="2:24" x14ac:dyDescent="0.2">
      <c r="B71" s="332" t="s">
        <v>215</v>
      </c>
      <c r="C71" s="335">
        <v>0.68254680052774519</v>
      </c>
      <c r="D71" s="335">
        <v>0.74658522100619329</v>
      </c>
      <c r="E71" s="335">
        <v>0.86607888779481657</v>
      </c>
      <c r="F71" s="335">
        <v>0.57521880684280291</v>
      </c>
      <c r="G71" s="335">
        <v>0.79503847068846045</v>
      </c>
      <c r="H71" s="335">
        <v>0.5893644470612226</v>
      </c>
      <c r="I71" s="335">
        <v>0.85371676978616673</v>
      </c>
      <c r="J71" s="335">
        <v>0.881424205230812</v>
      </c>
      <c r="K71" s="335">
        <v>1.0638145090469446</v>
      </c>
      <c r="L71" s="335">
        <v>0.72323463591335235</v>
      </c>
      <c r="M71" s="335">
        <v>1.11097364215034</v>
      </c>
      <c r="N71" s="335">
        <v>0.34846796061117297</v>
      </c>
      <c r="O71" s="335">
        <v>0.24898178897399087</v>
      </c>
      <c r="P71" s="335">
        <v>0.30217992598606347</v>
      </c>
      <c r="Q71" s="335">
        <v>0.36228227482215825</v>
      </c>
      <c r="R71" s="336">
        <v>5.3707596509865549E-2</v>
      </c>
      <c r="S71" s="335">
        <v>0.22153288572613772</v>
      </c>
      <c r="T71" s="335">
        <v>0.17040419875945742</v>
      </c>
      <c r="U71" s="335">
        <v>0.17386688056156685</v>
      </c>
    </row>
    <row r="72" spans="2:24" x14ac:dyDescent="0.2">
      <c r="B72" s="333" t="s">
        <v>1</v>
      </c>
      <c r="C72" s="337">
        <v>0.18826006284715402</v>
      </c>
      <c r="D72" s="337">
        <v>0.15781266128022464</v>
      </c>
      <c r="E72" s="337">
        <v>9.5667843601914923E-2</v>
      </c>
      <c r="F72" s="337">
        <v>0.17140023831392573</v>
      </c>
      <c r="G72" s="337">
        <v>0.12323377268938157</v>
      </c>
      <c r="H72" s="337">
        <v>0.14465982763221563</v>
      </c>
      <c r="I72" s="337">
        <v>0.16032016761977388</v>
      </c>
      <c r="J72" s="337">
        <v>0.15554371669997819</v>
      </c>
      <c r="K72" s="337">
        <v>0.14811209034572237</v>
      </c>
      <c r="L72" s="337">
        <v>0.14570545142810915</v>
      </c>
      <c r="M72" s="337">
        <v>0.12724416654510176</v>
      </c>
      <c r="N72" s="337">
        <v>5.154364740760474E-2</v>
      </c>
      <c r="O72" s="337">
        <v>7.2748664725004811E-2</v>
      </c>
      <c r="P72" s="337">
        <v>4.4904025023601878E-2</v>
      </c>
      <c r="Q72" s="337">
        <v>5.3655862586563269E-2</v>
      </c>
      <c r="R72" s="338">
        <v>3.8747067923265655E-2</v>
      </c>
      <c r="S72" s="337">
        <v>5.1712807922298751E-2</v>
      </c>
      <c r="T72" s="337">
        <v>4.0904301974330093E-2</v>
      </c>
      <c r="U72" s="337">
        <v>1.7191714521953002E-2</v>
      </c>
    </row>
    <row r="73" spans="2:24" ht="10.5" customHeight="1" x14ac:dyDescent="0.2"/>
    <row r="74" spans="2:24" x14ac:dyDescent="0.2">
      <c r="M74" s="364" t="s">
        <v>10</v>
      </c>
      <c r="N74" s="350">
        <v>2010</v>
      </c>
      <c r="O74" s="350">
        <v>2011</v>
      </c>
      <c r="P74" s="350">
        <v>2012</v>
      </c>
      <c r="Q74" s="350">
        <v>2013</v>
      </c>
      <c r="R74" s="366">
        <v>2014</v>
      </c>
      <c r="S74" s="351">
        <v>2015</v>
      </c>
    </row>
    <row r="75" spans="2:24" x14ac:dyDescent="0.2">
      <c r="M75" s="363" t="s">
        <v>213</v>
      </c>
      <c r="N75" s="335">
        <v>0.83363205148511554</v>
      </c>
      <c r="O75" s="335">
        <v>1.0532457875434726</v>
      </c>
      <c r="P75" s="335">
        <v>1.2987828240300798</v>
      </c>
      <c r="Q75" s="336">
        <v>0.92290086198940513</v>
      </c>
      <c r="R75" s="335">
        <v>1.1892840747726683</v>
      </c>
      <c r="S75" s="335"/>
    </row>
    <row r="76" spans="2:24" x14ac:dyDescent="0.2">
      <c r="U76" s="345"/>
      <c r="V76" s="380">
        <v>5.8095912102103797E-2</v>
      </c>
      <c r="W76" s="380">
        <v>-115.82940602946869</v>
      </c>
    </row>
    <row r="77" spans="2:24" x14ac:dyDescent="0.2">
      <c r="U77" s="351">
        <v>2015</v>
      </c>
      <c r="V77" s="380">
        <f>U77*V76</f>
        <v>117.06326288573915</v>
      </c>
      <c r="W77" s="372">
        <f>V77+W76</f>
        <v>1.2338568562704637</v>
      </c>
      <c r="X77" s="345" t="s">
        <v>208</v>
      </c>
    </row>
    <row r="80" spans="2:24" ht="20.25" customHeight="1" x14ac:dyDescent="0.2"/>
    <row r="87" spans="2:21" ht="19.5" customHeight="1" x14ac:dyDescent="0.2"/>
    <row r="88" spans="2:21" ht="19.5" customHeight="1" x14ac:dyDescent="0.2"/>
    <row r="91" spans="2:21" ht="20.25" customHeight="1" x14ac:dyDescent="0.2">
      <c r="B91" s="334" t="s">
        <v>10</v>
      </c>
      <c r="C91" s="2">
        <v>1999</v>
      </c>
      <c r="D91" s="2">
        <v>2000</v>
      </c>
      <c r="E91" s="2">
        <v>2001</v>
      </c>
      <c r="F91" s="2">
        <v>2002</v>
      </c>
      <c r="G91" s="2">
        <v>2003</v>
      </c>
      <c r="H91" s="2">
        <v>2004</v>
      </c>
      <c r="I91" s="2">
        <v>2005</v>
      </c>
      <c r="J91" s="2">
        <v>2006</v>
      </c>
      <c r="K91" s="2">
        <v>2007</v>
      </c>
      <c r="L91" s="2">
        <v>2008</v>
      </c>
      <c r="M91" s="2">
        <v>2009</v>
      </c>
      <c r="N91" s="350">
        <v>2010</v>
      </c>
      <c r="O91" s="350">
        <v>2011</v>
      </c>
      <c r="P91" s="350">
        <v>2012</v>
      </c>
      <c r="Q91" s="350">
        <v>2013</v>
      </c>
      <c r="R91" s="366">
        <v>2014</v>
      </c>
      <c r="S91" s="351">
        <v>2015</v>
      </c>
      <c r="T91" s="349">
        <v>2016</v>
      </c>
      <c r="U91" s="349">
        <v>2017</v>
      </c>
    </row>
    <row r="92" spans="2:21" hidden="1" x14ac:dyDescent="0.2">
      <c r="B92" s="332" t="s">
        <v>2</v>
      </c>
      <c r="C92" s="335">
        <v>2.1720715045939314</v>
      </c>
      <c r="D92" s="335">
        <v>2.0791641760012474</v>
      </c>
      <c r="E92" s="335">
        <v>0.25061840090423121</v>
      </c>
      <c r="F92" s="335">
        <v>1.9534683831142192</v>
      </c>
      <c r="G92" s="335">
        <v>1.1650557828708838</v>
      </c>
      <c r="H92" s="335">
        <v>3.6136469376600733</v>
      </c>
      <c r="I92" s="335">
        <v>2.4102774229313795</v>
      </c>
      <c r="J92" s="335">
        <v>3.1779189715406764</v>
      </c>
      <c r="K92" s="335">
        <v>1.865292705876501</v>
      </c>
      <c r="L92" s="335">
        <v>2.186296294824043</v>
      </c>
      <c r="M92" s="335">
        <v>1.7876225017975538</v>
      </c>
      <c r="N92" s="335">
        <v>0.83363205148511554</v>
      </c>
      <c r="O92" s="335">
        <v>1.0532457875434726</v>
      </c>
      <c r="P92" s="335">
        <v>1.2987828240300798</v>
      </c>
      <c r="Q92" s="335">
        <v>0.92290086198940513</v>
      </c>
      <c r="R92" s="336">
        <v>1.1892840747726683</v>
      </c>
      <c r="S92" s="335">
        <v>0.71766557740980141</v>
      </c>
      <c r="T92" s="335">
        <v>0.73159133308134072</v>
      </c>
      <c r="U92" s="335">
        <v>0</v>
      </c>
    </row>
    <row r="93" spans="2:21" ht="15" customHeight="1" x14ac:dyDescent="0.2">
      <c r="B93" s="332" t="s">
        <v>214</v>
      </c>
      <c r="C93" s="335">
        <v>0.68254680052774519</v>
      </c>
      <c r="D93" s="335">
        <v>0.74658522100619329</v>
      </c>
      <c r="E93" s="335">
        <v>0.86607888779481657</v>
      </c>
      <c r="F93" s="335">
        <v>0.57521880684280291</v>
      </c>
      <c r="G93" s="335">
        <v>0.79503847068846045</v>
      </c>
      <c r="H93" s="335">
        <v>0.5893644470612226</v>
      </c>
      <c r="I93" s="335">
        <v>0.85371676978616673</v>
      </c>
      <c r="J93" s="335">
        <v>0.881424205230812</v>
      </c>
      <c r="K93" s="335">
        <v>1.0638145090469446</v>
      </c>
      <c r="L93" s="335">
        <v>0.72323463591335235</v>
      </c>
      <c r="M93" s="335">
        <v>1.11097364215034</v>
      </c>
      <c r="N93" s="335">
        <v>0.34846796061117297</v>
      </c>
      <c r="O93" s="335">
        <v>0.24898178897399087</v>
      </c>
      <c r="P93" s="335">
        <v>0.30217992598606347</v>
      </c>
      <c r="Q93" s="335">
        <v>0.36228227482215825</v>
      </c>
      <c r="R93" s="336">
        <v>5.3707596509865549E-2</v>
      </c>
      <c r="S93" s="335">
        <v>0.22153288572613772</v>
      </c>
      <c r="T93" s="335">
        <v>0.17040419875945742</v>
      </c>
      <c r="U93" s="335">
        <v>0.17386688056156685</v>
      </c>
    </row>
    <row r="95" spans="2:21" ht="14.25" customHeight="1" x14ac:dyDescent="0.2">
      <c r="M95" s="364" t="s">
        <v>10</v>
      </c>
      <c r="N95" s="350">
        <v>2010</v>
      </c>
      <c r="O95" s="350">
        <v>2011</v>
      </c>
      <c r="P95" s="350">
        <v>2012</v>
      </c>
      <c r="Q95" s="350">
        <v>2013</v>
      </c>
      <c r="R95" s="366">
        <v>2014</v>
      </c>
      <c r="S95" s="351">
        <v>2015</v>
      </c>
    </row>
    <row r="96" spans="2:21" x14ac:dyDescent="0.2">
      <c r="M96" s="363" t="s">
        <v>214</v>
      </c>
      <c r="N96" s="335">
        <v>0.34846796061117297</v>
      </c>
      <c r="O96" s="335">
        <v>0.24898178897399087</v>
      </c>
      <c r="P96" s="335">
        <v>0.30217992598606347</v>
      </c>
      <c r="Q96" s="335">
        <v>0.36228227482215825</v>
      </c>
      <c r="R96" s="336">
        <v>5.3707596509865549E-2</v>
      </c>
      <c r="S96" s="335"/>
    </row>
    <row r="97" spans="21:24" x14ac:dyDescent="0.2">
      <c r="U97" s="345"/>
      <c r="V97" s="380">
        <v>-4.7622024235444746E-2</v>
      </c>
      <c r="W97" s="380">
        <v>96.078636671095481</v>
      </c>
    </row>
    <row r="98" spans="21:24" x14ac:dyDescent="0.2">
      <c r="U98" s="351">
        <v>2015</v>
      </c>
      <c r="V98" s="380">
        <f>U98*V97</f>
        <v>-95.958378834421168</v>
      </c>
      <c r="W98" s="372">
        <f>V98+W97</f>
        <v>0.12025783667431256</v>
      </c>
      <c r="X98" s="345" t="s">
        <v>208</v>
      </c>
    </row>
    <row r="102" spans="21:24" ht="21.75" customHeight="1" x14ac:dyDescent="0.2"/>
    <row r="113" spans="2:24" ht="20.25" customHeight="1" x14ac:dyDescent="0.2">
      <c r="B113" s="334" t="s">
        <v>10</v>
      </c>
      <c r="C113" s="2">
        <v>1999</v>
      </c>
      <c r="D113" s="2">
        <v>2000</v>
      </c>
      <c r="E113" s="2">
        <v>2001</v>
      </c>
      <c r="F113" s="2">
        <v>2002</v>
      </c>
      <c r="G113" s="2">
        <v>2003</v>
      </c>
      <c r="H113" s="2">
        <v>2004</v>
      </c>
      <c r="I113" s="2">
        <v>2005</v>
      </c>
      <c r="J113" s="2">
        <v>2006</v>
      </c>
      <c r="K113" s="2">
        <v>2007</v>
      </c>
      <c r="L113" s="2">
        <v>2008</v>
      </c>
      <c r="M113" s="2">
        <v>2009</v>
      </c>
      <c r="N113" s="350">
        <v>2010</v>
      </c>
      <c r="O113" s="350">
        <v>2011</v>
      </c>
      <c r="P113" s="350">
        <v>2012</v>
      </c>
      <c r="Q113" s="350">
        <v>2013</v>
      </c>
      <c r="R113" s="366">
        <v>2014</v>
      </c>
      <c r="S113" s="351">
        <v>2015</v>
      </c>
      <c r="T113" s="349">
        <v>2016</v>
      </c>
      <c r="U113" s="349">
        <v>2017</v>
      </c>
    </row>
    <row r="114" spans="2:24" ht="16.5" customHeight="1" x14ac:dyDescent="0.2">
      <c r="B114" s="333" t="s">
        <v>1</v>
      </c>
      <c r="C114" s="337">
        <v>0.18826006284715402</v>
      </c>
      <c r="D114" s="337">
        <v>0.15781266128022464</v>
      </c>
      <c r="E114" s="337">
        <v>9.5667843601914923E-2</v>
      </c>
      <c r="F114" s="337">
        <v>0.17140023831392573</v>
      </c>
      <c r="G114" s="337">
        <v>0.12323377268938157</v>
      </c>
      <c r="H114" s="337">
        <v>0.14465982763221563</v>
      </c>
      <c r="I114" s="337">
        <v>0.16032016761977388</v>
      </c>
      <c r="J114" s="337">
        <v>0.15554371669997819</v>
      </c>
      <c r="K114" s="337">
        <v>0.14811209034572237</v>
      </c>
      <c r="L114" s="337">
        <v>0.14570545142810915</v>
      </c>
      <c r="M114" s="337">
        <v>0.12724416654510176</v>
      </c>
      <c r="N114" s="337">
        <v>5.154364740760474E-2</v>
      </c>
      <c r="O114" s="337">
        <v>7.2748664725004811E-2</v>
      </c>
      <c r="P114" s="337">
        <v>4.4904025023601878E-2</v>
      </c>
      <c r="Q114" s="337">
        <v>5.3655862586563269E-2</v>
      </c>
      <c r="R114" s="338">
        <v>3.8747067923265655E-2</v>
      </c>
      <c r="S114" s="337">
        <v>5.1712807922298751E-2</v>
      </c>
      <c r="T114" s="337">
        <v>4.0904301974330093E-2</v>
      </c>
      <c r="U114" s="337">
        <v>1.7191714521953002E-2</v>
      </c>
    </row>
    <row r="116" spans="2:24" ht="13.5" customHeight="1" x14ac:dyDescent="0.2">
      <c r="M116" s="364" t="s">
        <v>10</v>
      </c>
      <c r="N116" s="350">
        <v>2010</v>
      </c>
      <c r="O116" s="350">
        <v>2011</v>
      </c>
      <c r="P116" s="350">
        <v>2012</v>
      </c>
      <c r="Q116" s="350">
        <v>2013</v>
      </c>
      <c r="R116" s="366">
        <v>2014</v>
      </c>
      <c r="S116" s="351">
        <v>2015</v>
      </c>
    </row>
    <row r="117" spans="2:24" x14ac:dyDescent="0.2">
      <c r="M117" s="363" t="s">
        <v>1</v>
      </c>
      <c r="N117" s="337">
        <v>5.154364740760474E-2</v>
      </c>
      <c r="O117" s="337">
        <v>7.2748664725004811E-2</v>
      </c>
      <c r="P117" s="337">
        <v>4.4904025023601878E-2</v>
      </c>
      <c r="Q117" s="337">
        <v>5.3655862586563269E-2</v>
      </c>
      <c r="R117" s="338">
        <v>3.8747067923265655E-2</v>
      </c>
      <c r="S117" s="337"/>
    </row>
    <row r="118" spans="2:24" x14ac:dyDescent="0.2">
      <c r="U118" s="345"/>
      <c r="V118" s="380">
        <v>-4.4685961107119709E-3</v>
      </c>
      <c r="W118" s="380">
        <v>9.0431352282856921</v>
      </c>
    </row>
    <row r="119" spans="2:24" x14ac:dyDescent="0.2">
      <c r="U119" s="351">
        <v>2015</v>
      </c>
      <c r="V119" s="380">
        <f>U119*V118</f>
        <v>-9.0042211630846207</v>
      </c>
      <c r="W119" s="372">
        <f>V119+W118</f>
        <v>3.8914065201071324E-2</v>
      </c>
      <c r="X119" s="345" t="s">
        <v>208</v>
      </c>
    </row>
    <row r="123" spans="2:24" ht="19.5" customHeight="1" x14ac:dyDescent="0.2"/>
    <row r="130" ht="16.5" customHeight="1" x14ac:dyDescent="0.2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0"/>
  <sheetViews>
    <sheetView zoomScaleNormal="100" workbookViewId="0"/>
  </sheetViews>
  <sheetFormatPr baseColWidth="10" defaultRowHeight="12.75" x14ac:dyDescent="0.2"/>
  <cols>
    <col min="1" max="1" width="20.28515625" style="6" customWidth="1"/>
    <col min="2" max="2" width="21.7109375" style="6" customWidth="1"/>
    <col min="3" max="3" width="22" style="6" customWidth="1"/>
    <col min="4" max="4" width="17.140625" style="6" customWidth="1"/>
    <col min="5" max="5" width="21.42578125" style="6" customWidth="1"/>
    <col min="6" max="6" width="24.42578125" style="6" customWidth="1"/>
    <col min="7" max="7" width="14.140625" style="6" bestFit="1" customWidth="1"/>
    <col min="8" max="8" width="10.5703125" style="6" customWidth="1"/>
    <col min="9" max="9" width="14.42578125" style="6" bestFit="1" customWidth="1"/>
    <col min="10" max="10" width="16.140625" style="6" bestFit="1" customWidth="1"/>
    <col min="11" max="11" width="14.42578125" style="6" bestFit="1" customWidth="1"/>
    <col min="12" max="12" width="13.42578125" style="6" customWidth="1"/>
    <col min="13" max="13" width="14.7109375" style="6" bestFit="1" customWidth="1"/>
    <col min="14" max="14" width="14.28515625" style="18" bestFit="1" customWidth="1"/>
    <col min="15" max="15" width="14.28515625" style="18" customWidth="1"/>
    <col min="16" max="16" width="14" style="6" bestFit="1" customWidth="1"/>
    <col min="17" max="17" width="11.5703125" style="6" bestFit="1" customWidth="1"/>
    <col min="18" max="18" width="13.85546875" style="6" bestFit="1" customWidth="1"/>
    <col min="19" max="19" width="11.42578125" style="6"/>
    <col min="20" max="21" width="11.42578125" style="18"/>
    <col min="22" max="256" width="11.42578125" style="6"/>
    <col min="257" max="257" width="20.28515625" style="6" customWidth="1"/>
    <col min="258" max="258" width="21.7109375" style="6" customWidth="1"/>
    <col min="259" max="259" width="22" style="6" customWidth="1"/>
    <col min="260" max="260" width="17.140625" style="6" customWidth="1"/>
    <col min="261" max="261" width="21.42578125" style="6" customWidth="1"/>
    <col min="262" max="262" width="19.5703125" style="6" customWidth="1"/>
    <col min="263" max="263" width="14.140625" style="6" bestFit="1" customWidth="1"/>
    <col min="264" max="264" width="8.42578125" style="6" customWidth="1"/>
    <col min="265" max="265" width="14.42578125" style="6" bestFit="1" customWidth="1"/>
    <col min="266" max="266" width="16.140625" style="6" bestFit="1" customWidth="1"/>
    <col min="267" max="267" width="14.42578125" style="6" bestFit="1" customWidth="1"/>
    <col min="268" max="268" width="13.42578125" style="6" customWidth="1"/>
    <col min="269" max="269" width="14.7109375" style="6" bestFit="1" customWidth="1"/>
    <col min="270" max="270" width="14.28515625" style="6" bestFit="1" customWidth="1"/>
    <col min="271" max="271" width="14.28515625" style="6" customWidth="1"/>
    <col min="272" max="272" width="14" style="6" bestFit="1" customWidth="1"/>
    <col min="273" max="273" width="11.5703125" style="6" bestFit="1" customWidth="1"/>
    <col min="274" max="274" width="13.85546875" style="6" bestFit="1" customWidth="1"/>
    <col min="275" max="512" width="11.42578125" style="6"/>
    <col min="513" max="513" width="20.28515625" style="6" customWidth="1"/>
    <col min="514" max="514" width="21.7109375" style="6" customWidth="1"/>
    <col min="515" max="515" width="22" style="6" customWidth="1"/>
    <col min="516" max="516" width="17.140625" style="6" customWidth="1"/>
    <col min="517" max="517" width="21.42578125" style="6" customWidth="1"/>
    <col min="518" max="518" width="19.5703125" style="6" customWidth="1"/>
    <col min="519" max="519" width="14.140625" style="6" bestFit="1" customWidth="1"/>
    <col min="520" max="520" width="8.42578125" style="6" customWidth="1"/>
    <col min="521" max="521" width="14.42578125" style="6" bestFit="1" customWidth="1"/>
    <col min="522" max="522" width="16.140625" style="6" bestFit="1" customWidth="1"/>
    <col min="523" max="523" width="14.42578125" style="6" bestFit="1" customWidth="1"/>
    <col min="524" max="524" width="13.42578125" style="6" customWidth="1"/>
    <col min="525" max="525" width="14.7109375" style="6" bestFit="1" customWidth="1"/>
    <col min="526" max="526" width="14.28515625" style="6" bestFit="1" customWidth="1"/>
    <col min="527" max="527" width="14.28515625" style="6" customWidth="1"/>
    <col min="528" max="528" width="14" style="6" bestFit="1" customWidth="1"/>
    <col min="529" max="529" width="11.5703125" style="6" bestFit="1" customWidth="1"/>
    <col min="530" max="530" width="13.85546875" style="6" bestFit="1" customWidth="1"/>
    <col min="531" max="768" width="11.42578125" style="6"/>
    <col min="769" max="769" width="20.28515625" style="6" customWidth="1"/>
    <col min="770" max="770" width="21.7109375" style="6" customWidth="1"/>
    <col min="771" max="771" width="22" style="6" customWidth="1"/>
    <col min="772" max="772" width="17.140625" style="6" customWidth="1"/>
    <col min="773" max="773" width="21.42578125" style="6" customWidth="1"/>
    <col min="774" max="774" width="19.5703125" style="6" customWidth="1"/>
    <col min="775" max="775" width="14.140625" style="6" bestFit="1" customWidth="1"/>
    <col min="776" max="776" width="8.42578125" style="6" customWidth="1"/>
    <col min="777" max="777" width="14.42578125" style="6" bestFit="1" customWidth="1"/>
    <col min="778" max="778" width="16.140625" style="6" bestFit="1" customWidth="1"/>
    <col min="779" max="779" width="14.42578125" style="6" bestFit="1" customWidth="1"/>
    <col min="780" max="780" width="13.42578125" style="6" customWidth="1"/>
    <col min="781" max="781" width="14.7109375" style="6" bestFit="1" customWidth="1"/>
    <col min="782" max="782" width="14.28515625" style="6" bestFit="1" customWidth="1"/>
    <col min="783" max="783" width="14.28515625" style="6" customWidth="1"/>
    <col min="784" max="784" width="14" style="6" bestFit="1" customWidth="1"/>
    <col min="785" max="785" width="11.5703125" style="6" bestFit="1" customWidth="1"/>
    <col min="786" max="786" width="13.85546875" style="6" bestFit="1" customWidth="1"/>
    <col min="787" max="1024" width="11.42578125" style="6"/>
    <col min="1025" max="1025" width="20.28515625" style="6" customWidth="1"/>
    <col min="1026" max="1026" width="21.7109375" style="6" customWidth="1"/>
    <col min="1027" max="1027" width="22" style="6" customWidth="1"/>
    <col min="1028" max="1028" width="17.140625" style="6" customWidth="1"/>
    <col min="1029" max="1029" width="21.42578125" style="6" customWidth="1"/>
    <col min="1030" max="1030" width="19.5703125" style="6" customWidth="1"/>
    <col min="1031" max="1031" width="14.140625" style="6" bestFit="1" customWidth="1"/>
    <col min="1032" max="1032" width="8.42578125" style="6" customWidth="1"/>
    <col min="1033" max="1033" width="14.42578125" style="6" bestFit="1" customWidth="1"/>
    <col min="1034" max="1034" width="16.140625" style="6" bestFit="1" customWidth="1"/>
    <col min="1035" max="1035" width="14.42578125" style="6" bestFit="1" customWidth="1"/>
    <col min="1036" max="1036" width="13.42578125" style="6" customWidth="1"/>
    <col min="1037" max="1037" width="14.7109375" style="6" bestFit="1" customWidth="1"/>
    <col min="1038" max="1038" width="14.28515625" style="6" bestFit="1" customWidth="1"/>
    <col min="1039" max="1039" width="14.28515625" style="6" customWidth="1"/>
    <col min="1040" max="1040" width="14" style="6" bestFit="1" customWidth="1"/>
    <col min="1041" max="1041" width="11.5703125" style="6" bestFit="1" customWidth="1"/>
    <col min="1042" max="1042" width="13.85546875" style="6" bestFit="1" customWidth="1"/>
    <col min="1043" max="1280" width="11.42578125" style="6"/>
    <col min="1281" max="1281" width="20.28515625" style="6" customWidth="1"/>
    <col min="1282" max="1282" width="21.7109375" style="6" customWidth="1"/>
    <col min="1283" max="1283" width="22" style="6" customWidth="1"/>
    <col min="1284" max="1284" width="17.140625" style="6" customWidth="1"/>
    <col min="1285" max="1285" width="21.42578125" style="6" customWidth="1"/>
    <col min="1286" max="1286" width="19.5703125" style="6" customWidth="1"/>
    <col min="1287" max="1287" width="14.140625" style="6" bestFit="1" customWidth="1"/>
    <col min="1288" max="1288" width="8.42578125" style="6" customWidth="1"/>
    <col min="1289" max="1289" width="14.42578125" style="6" bestFit="1" customWidth="1"/>
    <col min="1290" max="1290" width="16.140625" style="6" bestFit="1" customWidth="1"/>
    <col min="1291" max="1291" width="14.42578125" style="6" bestFit="1" customWidth="1"/>
    <col min="1292" max="1292" width="13.42578125" style="6" customWidth="1"/>
    <col min="1293" max="1293" width="14.7109375" style="6" bestFit="1" customWidth="1"/>
    <col min="1294" max="1294" width="14.28515625" style="6" bestFit="1" customWidth="1"/>
    <col min="1295" max="1295" width="14.28515625" style="6" customWidth="1"/>
    <col min="1296" max="1296" width="14" style="6" bestFit="1" customWidth="1"/>
    <col min="1297" max="1297" width="11.5703125" style="6" bestFit="1" customWidth="1"/>
    <col min="1298" max="1298" width="13.85546875" style="6" bestFit="1" customWidth="1"/>
    <col min="1299" max="1536" width="11.42578125" style="6"/>
    <col min="1537" max="1537" width="20.28515625" style="6" customWidth="1"/>
    <col min="1538" max="1538" width="21.7109375" style="6" customWidth="1"/>
    <col min="1539" max="1539" width="22" style="6" customWidth="1"/>
    <col min="1540" max="1540" width="17.140625" style="6" customWidth="1"/>
    <col min="1541" max="1541" width="21.42578125" style="6" customWidth="1"/>
    <col min="1542" max="1542" width="19.5703125" style="6" customWidth="1"/>
    <col min="1543" max="1543" width="14.140625" style="6" bestFit="1" customWidth="1"/>
    <col min="1544" max="1544" width="8.42578125" style="6" customWidth="1"/>
    <col min="1545" max="1545" width="14.42578125" style="6" bestFit="1" customWidth="1"/>
    <col min="1546" max="1546" width="16.140625" style="6" bestFit="1" customWidth="1"/>
    <col min="1547" max="1547" width="14.42578125" style="6" bestFit="1" customWidth="1"/>
    <col min="1548" max="1548" width="13.42578125" style="6" customWidth="1"/>
    <col min="1549" max="1549" width="14.7109375" style="6" bestFit="1" customWidth="1"/>
    <col min="1550" max="1550" width="14.28515625" style="6" bestFit="1" customWidth="1"/>
    <col min="1551" max="1551" width="14.28515625" style="6" customWidth="1"/>
    <col min="1552" max="1552" width="14" style="6" bestFit="1" customWidth="1"/>
    <col min="1553" max="1553" width="11.5703125" style="6" bestFit="1" customWidth="1"/>
    <col min="1554" max="1554" width="13.85546875" style="6" bestFit="1" customWidth="1"/>
    <col min="1555" max="1792" width="11.42578125" style="6"/>
    <col min="1793" max="1793" width="20.28515625" style="6" customWidth="1"/>
    <col min="1794" max="1794" width="21.7109375" style="6" customWidth="1"/>
    <col min="1795" max="1795" width="22" style="6" customWidth="1"/>
    <col min="1796" max="1796" width="17.140625" style="6" customWidth="1"/>
    <col min="1797" max="1797" width="21.42578125" style="6" customWidth="1"/>
    <col min="1798" max="1798" width="19.5703125" style="6" customWidth="1"/>
    <col min="1799" max="1799" width="14.140625" style="6" bestFit="1" customWidth="1"/>
    <col min="1800" max="1800" width="8.42578125" style="6" customWidth="1"/>
    <col min="1801" max="1801" width="14.42578125" style="6" bestFit="1" customWidth="1"/>
    <col min="1802" max="1802" width="16.140625" style="6" bestFit="1" customWidth="1"/>
    <col min="1803" max="1803" width="14.42578125" style="6" bestFit="1" customWidth="1"/>
    <col min="1804" max="1804" width="13.42578125" style="6" customWidth="1"/>
    <col min="1805" max="1805" width="14.7109375" style="6" bestFit="1" customWidth="1"/>
    <col min="1806" max="1806" width="14.28515625" style="6" bestFit="1" customWidth="1"/>
    <col min="1807" max="1807" width="14.28515625" style="6" customWidth="1"/>
    <col min="1808" max="1808" width="14" style="6" bestFit="1" customWidth="1"/>
    <col min="1809" max="1809" width="11.5703125" style="6" bestFit="1" customWidth="1"/>
    <col min="1810" max="1810" width="13.85546875" style="6" bestFit="1" customWidth="1"/>
    <col min="1811" max="2048" width="11.42578125" style="6"/>
    <col min="2049" max="2049" width="20.28515625" style="6" customWidth="1"/>
    <col min="2050" max="2050" width="21.7109375" style="6" customWidth="1"/>
    <col min="2051" max="2051" width="22" style="6" customWidth="1"/>
    <col min="2052" max="2052" width="17.140625" style="6" customWidth="1"/>
    <col min="2053" max="2053" width="21.42578125" style="6" customWidth="1"/>
    <col min="2054" max="2054" width="19.5703125" style="6" customWidth="1"/>
    <col min="2055" max="2055" width="14.140625" style="6" bestFit="1" customWidth="1"/>
    <col min="2056" max="2056" width="8.42578125" style="6" customWidth="1"/>
    <col min="2057" max="2057" width="14.42578125" style="6" bestFit="1" customWidth="1"/>
    <col min="2058" max="2058" width="16.140625" style="6" bestFit="1" customWidth="1"/>
    <col min="2059" max="2059" width="14.42578125" style="6" bestFit="1" customWidth="1"/>
    <col min="2060" max="2060" width="13.42578125" style="6" customWidth="1"/>
    <col min="2061" max="2061" width="14.7109375" style="6" bestFit="1" customWidth="1"/>
    <col min="2062" max="2062" width="14.28515625" style="6" bestFit="1" customWidth="1"/>
    <col min="2063" max="2063" width="14.28515625" style="6" customWidth="1"/>
    <col min="2064" max="2064" width="14" style="6" bestFit="1" customWidth="1"/>
    <col min="2065" max="2065" width="11.5703125" style="6" bestFit="1" customWidth="1"/>
    <col min="2066" max="2066" width="13.85546875" style="6" bestFit="1" customWidth="1"/>
    <col min="2067" max="2304" width="11.42578125" style="6"/>
    <col min="2305" max="2305" width="20.28515625" style="6" customWidth="1"/>
    <col min="2306" max="2306" width="21.7109375" style="6" customWidth="1"/>
    <col min="2307" max="2307" width="22" style="6" customWidth="1"/>
    <col min="2308" max="2308" width="17.140625" style="6" customWidth="1"/>
    <col min="2309" max="2309" width="21.42578125" style="6" customWidth="1"/>
    <col min="2310" max="2310" width="19.5703125" style="6" customWidth="1"/>
    <col min="2311" max="2311" width="14.140625" style="6" bestFit="1" customWidth="1"/>
    <col min="2312" max="2312" width="8.42578125" style="6" customWidth="1"/>
    <col min="2313" max="2313" width="14.42578125" style="6" bestFit="1" customWidth="1"/>
    <col min="2314" max="2314" width="16.140625" style="6" bestFit="1" customWidth="1"/>
    <col min="2315" max="2315" width="14.42578125" style="6" bestFit="1" customWidth="1"/>
    <col min="2316" max="2316" width="13.42578125" style="6" customWidth="1"/>
    <col min="2317" max="2317" width="14.7109375" style="6" bestFit="1" customWidth="1"/>
    <col min="2318" max="2318" width="14.28515625" style="6" bestFit="1" customWidth="1"/>
    <col min="2319" max="2319" width="14.28515625" style="6" customWidth="1"/>
    <col min="2320" max="2320" width="14" style="6" bestFit="1" customWidth="1"/>
    <col min="2321" max="2321" width="11.5703125" style="6" bestFit="1" customWidth="1"/>
    <col min="2322" max="2322" width="13.85546875" style="6" bestFit="1" customWidth="1"/>
    <col min="2323" max="2560" width="11.42578125" style="6"/>
    <col min="2561" max="2561" width="20.28515625" style="6" customWidth="1"/>
    <col min="2562" max="2562" width="21.7109375" style="6" customWidth="1"/>
    <col min="2563" max="2563" width="22" style="6" customWidth="1"/>
    <col min="2564" max="2564" width="17.140625" style="6" customWidth="1"/>
    <col min="2565" max="2565" width="21.42578125" style="6" customWidth="1"/>
    <col min="2566" max="2566" width="19.5703125" style="6" customWidth="1"/>
    <col min="2567" max="2567" width="14.140625" style="6" bestFit="1" customWidth="1"/>
    <col min="2568" max="2568" width="8.42578125" style="6" customWidth="1"/>
    <col min="2569" max="2569" width="14.42578125" style="6" bestFit="1" customWidth="1"/>
    <col min="2570" max="2570" width="16.140625" style="6" bestFit="1" customWidth="1"/>
    <col min="2571" max="2571" width="14.42578125" style="6" bestFit="1" customWidth="1"/>
    <col min="2572" max="2572" width="13.42578125" style="6" customWidth="1"/>
    <col min="2573" max="2573" width="14.7109375" style="6" bestFit="1" customWidth="1"/>
    <col min="2574" max="2574" width="14.28515625" style="6" bestFit="1" customWidth="1"/>
    <col min="2575" max="2575" width="14.28515625" style="6" customWidth="1"/>
    <col min="2576" max="2576" width="14" style="6" bestFit="1" customWidth="1"/>
    <col min="2577" max="2577" width="11.5703125" style="6" bestFit="1" customWidth="1"/>
    <col min="2578" max="2578" width="13.85546875" style="6" bestFit="1" customWidth="1"/>
    <col min="2579" max="2816" width="11.42578125" style="6"/>
    <col min="2817" max="2817" width="20.28515625" style="6" customWidth="1"/>
    <col min="2818" max="2818" width="21.7109375" style="6" customWidth="1"/>
    <col min="2819" max="2819" width="22" style="6" customWidth="1"/>
    <col min="2820" max="2820" width="17.140625" style="6" customWidth="1"/>
    <col min="2821" max="2821" width="21.42578125" style="6" customWidth="1"/>
    <col min="2822" max="2822" width="19.5703125" style="6" customWidth="1"/>
    <col min="2823" max="2823" width="14.140625" style="6" bestFit="1" customWidth="1"/>
    <col min="2824" max="2824" width="8.42578125" style="6" customWidth="1"/>
    <col min="2825" max="2825" width="14.42578125" style="6" bestFit="1" customWidth="1"/>
    <col min="2826" max="2826" width="16.140625" style="6" bestFit="1" customWidth="1"/>
    <col min="2827" max="2827" width="14.42578125" style="6" bestFit="1" customWidth="1"/>
    <col min="2828" max="2828" width="13.42578125" style="6" customWidth="1"/>
    <col min="2829" max="2829" width="14.7109375" style="6" bestFit="1" customWidth="1"/>
    <col min="2830" max="2830" width="14.28515625" style="6" bestFit="1" customWidth="1"/>
    <col min="2831" max="2831" width="14.28515625" style="6" customWidth="1"/>
    <col min="2832" max="2832" width="14" style="6" bestFit="1" customWidth="1"/>
    <col min="2833" max="2833" width="11.5703125" style="6" bestFit="1" customWidth="1"/>
    <col min="2834" max="2834" width="13.85546875" style="6" bestFit="1" customWidth="1"/>
    <col min="2835" max="3072" width="11.42578125" style="6"/>
    <col min="3073" max="3073" width="20.28515625" style="6" customWidth="1"/>
    <col min="3074" max="3074" width="21.7109375" style="6" customWidth="1"/>
    <col min="3075" max="3075" width="22" style="6" customWidth="1"/>
    <col min="3076" max="3076" width="17.140625" style="6" customWidth="1"/>
    <col min="3077" max="3077" width="21.42578125" style="6" customWidth="1"/>
    <col min="3078" max="3078" width="19.5703125" style="6" customWidth="1"/>
    <col min="3079" max="3079" width="14.140625" style="6" bestFit="1" customWidth="1"/>
    <col min="3080" max="3080" width="8.42578125" style="6" customWidth="1"/>
    <col min="3081" max="3081" width="14.42578125" style="6" bestFit="1" customWidth="1"/>
    <col min="3082" max="3082" width="16.140625" style="6" bestFit="1" customWidth="1"/>
    <col min="3083" max="3083" width="14.42578125" style="6" bestFit="1" customWidth="1"/>
    <col min="3084" max="3084" width="13.42578125" style="6" customWidth="1"/>
    <col min="3085" max="3085" width="14.7109375" style="6" bestFit="1" customWidth="1"/>
    <col min="3086" max="3086" width="14.28515625" style="6" bestFit="1" customWidth="1"/>
    <col min="3087" max="3087" width="14.28515625" style="6" customWidth="1"/>
    <col min="3088" max="3088" width="14" style="6" bestFit="1" customWidth="1"/>
    <col min="3089" max="3089" width="11.5703125" style="6" bestFit="1" customWidth="1"/>
    <col min="3090" max="3090" width="13.85546875" style="6" bestFit="1" customWidth="1"/>
    <col min="3091" max="3328" width="11.42578125" style="6"/>
    <col min="3329" max="3329" width="20.28515625" style="6" customWidth="1"/>
    <col min="3330" max="3330" width="21.7109375" style="6" customWidth="1"/>
    <col min="3331" max="3331" width="22" style="6" customWidth="1"/>
    <col min="3332" max="3332" width="17.140625" style="6" customWidth="1"/>
    <col min="3333" max="3333" width="21.42578125" style="6" customWidth="1"/>
    <col min="3334" max="3334" width="19.5703125" style="6" customWidth="1"/>
    <col min="3335" max="3335" width="14.140625" style="6" bestFit="1" customWidth="1"/>
    <col min="3336" max="3336" width="8.42578125" style="6" customWidth="1"/>
    <col min="3337" max="3337" width="14.42578125" style="6" bestFit="1" customWidth="1"/>
    <col min="3338" max="3338" width="16.140625" style="6" bestFit="1" customWidth="1"/>
    <col min="3339" max="3339" width="14.42578125" style="6" bestFit="1" customWidth="1"/>
    <col min="3340" max="3340" width="13.42578125" style="6" customWidth="1"/>
    <col min="3341" max="3341" width="14.7109375" style="6" bestFit="1" customWidth="1"/>
    <col min="3342" max="3342" width="14.28515625" style="6" bestFit="1" customWidth="1"/>
    <col min="3343" max="3343" width="14.28515625" style="6" customWidth="1"/>
    <col min="3344" max="3344" width="14" style="6" bestFit="1" customWidth="1"/>
    <col min="3345" max="3345" width="11.5703125" style="6" bestFit="1" customWidth="1"/>
    <col min="3346" max="3346" width="13.85546875" style="6" bestFit="1" customWidth="1"/>
    <col min="3347" max="3584" width="11.42578125" style="6"/>
    <col min="3585" max="3585" width="20.28515625" style="6" customWidth="1"/>
    <col min="3586" max="3586" width="21.7109375" style="6" customWidth="1"/>
    <col min="3587" max="3587" width="22" style="6" customWidth="1"/>
    <col min="3588" max="3588" width="17.140625" style="6" customWidth="1"/>
    <col min="3589" max="3589" width="21.42578125" style="6" customWidth="1"/>
    <col min="3590" max="3590" width="19.5703125" style="6" customWidth="1"/>
    <col min="3591" max="3591" width="14.140625" style="6" bestFit="1" customWidth="1"/>
    <col min="3592" max="3592" width="8.42578125" style="6" customWidth="1"/>
    <col min="3593" max="3593" width="14.42578125" style="6" bestFit="1" customWidth="1"/>
    <col min="3594" max="3594" width="16.140625" style="6" bestFit="1" customWidth="1"/>
    <col min="3595" max="3595" width="14.42578125" style="6" bestFit="1" customWidth="1"/>
    <col min="3596" max="3596" width="13.42578125" style="6" customWidth="1"/>
    <col min="3597" max="3597" width="14.7109375" style="6" bestFit="1" customWidth="1"/>
    <col min="3598" max="3598" width="14.28515625" style="6" bestFit="1" customWidth="1"/>
    <col min="3599" max="3599" width="14.28515625" style="6" customWidth="1"/>
    <col min="3600" max="3600" width="14" style="6" bestFit="1" customWidth="1"/>
    <col min="3601" max="3601" width="11.5703125" style="6" bestFit="1" customWidth="1"/>
    <col min="3602" max="3602" width="13.85546875" style="6" bestFit="1" customWidth="1"/>
    <col min="3603" max="3840" width="11.42578125" style="6"/>
    <col min="3841" max="3841" width="20.28515625" style="6" customWidth="1"/>
    <col min="3842" max="3842" width="21.7109375" style="6" customWidth="1"/>
    <col min="3843" max="3843" width="22" style="6" customWidth="1"/>
    <col min="3844" max="3844" width="17.140625" style="6" customWidth="1"/>
    <col min="3845" max="3845" width="21.42578125" style="6" customWidth="1"/>
    <col min="3846" max="3846" width="19.5703125" style="6" customWidth="1"/>
    <col min="3847" max="3847" width="14.140625" style="6" bestFit="1" customWidth="1"/>
    <col min="3848" max="3848" width="8.42578125" style="6" customWidth="1"/>
    <col min="3849" max="3849" width="14.42578125" style="6" bestFit="1" customWidth="1"/>
    <col min="3850" max="3850" width="16.140625" style="6" bestFit="1" customWidth="1"/>
    <col min="3851" max="3851" width="14.42578125" style="6" bestFit="1" customWidth="1"/>
    <col min="3852" max="3852" width="13.42578125" style="6" customWidth="1"/>
    <col min="3853" max="3853" width="14.7109375" style="6" bestFit="1" customWidth="1"/>
    <col min="3854" max="3854" width="14.28515625" style="6" bestFit="1" customWidth="1"/>
    <col min="3855" max="3855" width="14.28515625" style="6" customWidth="1"/>
    <col min="3856" max="3856" width="14" style="6" bestFit="1" customWidth="1"/>
    <col min="3857" max="3857" width="11.5703125" style="6" bestFit="1" customWidth="1"/>
    <col min="3858" max="3858" width="13.85546875" style="6" bestFit="1" customWidth="1"/>
    <col min="3859" max="4096" width="11.42578125" style="6"/>
    <col min="4097" max="4097" width="20.28515625" style="6" customWidth="1"/>
    <col min="4098" max="4098" width="21.7109375" style="6" customWidth="1"/>
    <col min="4099" max="4099" width="22" style="6" customWidth="1"/>
    <col min="4100" max="4100" width="17.140625" style="6" customWidth="1"/>
    <col min="4101" max="4101" width="21.42578125" style="6" customWidth="1"/>
    <col min="4102" max="4102" width="19.5703125" style="6" customWidth="1"/>
    <col min="4103" max="4103" width="14.140625" style="6" bestFit="1" customWidth="1"/>
    <col min="4104" max="4104" width="8.42578125" style="6" customWidth="1"/>
    <col min="4105" max="4105" width="14.42578125" style="6" bestFit="1" customWidth="1"/>
    <col min="4106" max="4106" width="16.140625" style="6" bestFit="1" customWidth="1"/>
    <col min="4107" max="4107" width="14.42578125" style="6" bestFit="1" customWidth="1"/>
    <col min="4108" max="4108" width="13.42578125" style="6" customWidth="1"/>
    <col min="4109" max="4109" width="14.7109375" style="6" bestFit="1" customWidth="1"/>
    <col min="4110" max="4110" width="14.28515625" style="6" bestFit="1" customWidth="1"/>
    <col min="4111" max="4111" width="14.28515625" style="6" customWidth="1"/>
    <col min="4112" max="4112" width="14" style="6" bestFit="1" customWidth="1"/>
    <col min="4113" max="4113" width="11.5703125" style="6" bestFit="1" customWidth="1"/>
    <col min="4114" max="4114" width="13.85546875" style="6" bestFit="1" customWidth="1"/>
    <col min="4115" max="4352" width="11.42578125" style="6"/>
    <col min="4353" max="4353" width="20.28515625" style="6" customWidth="1"/>
    <col min="4354" max="4354" width="21.7109375" style="6" customWidth="1"/>
    <col min="4355" max="4355" width="22" style="6" customWidth="1"/>
    <col min="4356" max="4356" width="17.140625" style="6" customWidth="1"/>
    <col min="4357" max="4357" width="21.42578125" style="6" customWidth="1"/>
    <col min="4358" max="4358" width="19.5703125" style="6" customWidth="1"/>
    <col min="4359" max="4359" width="14.140625" style="6" bestFit="1" customWidth="1"/>
    <col min="4360" max="4360" width="8.42578125" style="6" customWidth="1"/>
    <col min="4361" max="4361" width="14.42578125" style="6" bestFit="1" customWidth="1"/>
    <col min="4362" max="4362" width="16.140625" style="6" bestFit="1" customWidth="1"/>
    <col min="4363" max="4363" width="14.42578125" style="6" bestFit="1" customWidth="1"/>
    <col min="4364" max="4364" width="13.42578125" style="6" customWidth="1"/>
    <col min="4365" max="4365" width="14.7109375" style="6" bestFit="1" customWidth="1"/>
    <col min="4366" max="4366" width="14.28515625" style="6" bestFit="1" customWidth="1"/>
    <col min="4367" max="4367" width="14.28515625" style="6" customWidth="1"/>
    <col min="4368" max="4368" width="14" style="6" bestFit="1" customWidth="1"/>
    <col min="4369" max="4369" width="11.5703125" style="6" bestFit="1" customWidth="1"/>
    <col min="4370" max="4370" width="13.85546875" style="6" bestFit="1" customWidth="1"/>
    <col min="4371" max="4608" width="11.42578125" style="6"/>
    <col min="4609" max="4609" width="20.28515625" style="6" customWidth="1"/>
    <col min="4610" max="4610" width="21.7109375" style="6" customWidth="1"/>
    <col min="4611" max="4611" width="22" style="6" customWidth="1"/>
    <col min="4612" max="4612" width="17.140625" style="6" customWidth="1"/>
    <col min="4613" max="4613" width="21.42578125" style="6" customWidth="1"/>
    <col min="4614" max="4614" width="19.5703125" style="6" customWidth="1"/>
    <col min="4615" max="4615" width="14.140625" style="6" bestFit="1" customWidth="1"/>
    <col min="4616" max="4616" width="8.42578125" style="6" customWidth="1"/>
    <col min="4617" max="4617" width="14.42578125" style="6" bestFit="1" customWidth="1"/>
    <col min="4618" max="4618" width="16.140625" style="6" bestFit="1" customWidth="1"/>
    <col min="4619" max="4619" width="14.42578125" style="6" bestFit="1" customWidth="1"/>
    <col min="4620" max="4620" width="13.42578125" style="6" customWidth="1"/>
    <col min="4621" max="4621" width="14.7109375" style="6" bestFit="1" customWidth="1"/>
    <col min="4622" max="4622" width="14.28515625" style="6" bestFit="1" customWidth="1"/>
    <col min="4623" max="4623" width="14.28515625" style="6" customWidth="1"/>
    <col min="4624" max="4624" width="14" style="6" bestFit="1" customWidth="1"/>
    <col min="4625" max="4625" width="11.5703125" style="6" bestFit="1" customWidth="1"/>
    <col min="4626" max="4626" width="13.85546875" style="6" bestFit="1" customWidth="1"/>
    <col min="4627" max="4864" width="11.42578125" style="6"/>
    <col min="4865" max="4865" width="20.28515625" style="6" customWidth="1"/>
    <col min="4866" max="4866" width="21.7109375" style="6" customWidth="1"/>
    <col min="4867" max="4867" width="22" style="6" customWidth="1"/>
    <col min="4868" max="4868" width="17.140625" style="6" customWidth="1"/>
    <col min="4869" max="4869" width="21.42578125" style="6" customWidth="1"/>
    <col min="4870" max="4870" width="19.5703125" style="6" customWidth="1"/>
    <col min="4871" max="4871" width="14.140625" style="6" bestFit="1" customWidth="1"/>
    <col min="4872" max="4872" width="8.42578125" style="6" customWidth="1"/>
    <col min="4873" max="4873" width="14.42578125" style="6" bestFit="1" customWidth="1"/>
    <col min="4874" max="4874" width="16.140625" style="6" bestFit="1" customWidth="1"/>
    <col min="4875" max="4875" width="14.42578125" style="6" bestFit="1" customWidth="1"/>
    <col min="4876" max="4876" width="13.42578125" style="6" customWidth="1"/>
    <col min="4877" max="4877" width="14.7109375" style="6" bestFit="1" customWidth="1"/>
    <col min="4878" max="4878" width="14.28515625" style="6" bestFit="1" customWidth="1"/>
    <col min="4879" max="4879" width="14.28515625" style="6" customWidth="1"/>
    <col min="4880" max="4880" width="14" style="6" bestFit="1" customWidth="1"/>
    <col min="4881" max="4881" width="11.5703125" style="6" bestFit="1" customWidth="1"/>
    <col min="4882" max="4882" width="13.85546875" style="6" bestFit="1" customWidth="1"/>
    <col min="4883" max="5120" width="11.42578125" style="6"/>
    <col min="5121" max="5121" width="20.28515625" style="6" customWidth="1"/>
    <col min="5122" max="5122" width="21.7109375" style="6" customWidth="1"/>
    <col min="5123" max="5123" width="22" style="6" customWidth="1"/>
    <col min="5124" max="5124" width="17.140625" style="6" customWidth="1"/>
    <col min="5125" max="5125" width="21.42578125" style="6" customWidth="1"/>
    <col min="5126" max="5126" width="19.5703125" style="6" customWidth="1"/>
    <col min="5127" max="5127" width="14.140625" style="6" bestFit="1" customWidth="1"/>
    <col min="5128" max="5128" width="8.42578125" style="6" customWidth="1"/>
    <col min="5129" max="5129" width="14.42578125" style="6" bestFit="1" customWidth="1"/>
    <col min="5130" max="5130" width="16.140625" style="6" bestFit="1" customWidth="1"/>
    <col min="5131" max="5131" width="14.42578125" style="6" bestFit="1" customWidth="1"/>
    <col min="5132" max="5132" width="13.42578125" style="6" customWidth="1"/>
    <col min="5133" max="5133" width="14.7109375" style="6" bestFit="1" customWidth="1"/>
    <col min="5134" max="5134" width="14.28515625" style="6" bestFit="1" customWidth="1"/>
    <col min="5135" max="5135" width="14.28515625" style="6" customWidth="1"/>
    <col min="5136" max="5136" width="14" style="6" bestFit="1" customWidth="1"/>
    <col min="5137" max="5137" width="11.5703125" style="6" bestFit="1" customWidth="1"/>
    <col min="5138" max="5138" width="13.85546875" style="6" bestFit="1" customWidth="1"/>
    <col min="5139" max="5376" width="11.42578125" style="6"/>
    <col min="5377" max="5377" width="20.28515625" style="6" customWidth="1"/>
    <col min="5378" max="5378" width="21.7109375" style="6" customWidth="1"/>
    <col min="5379" max="5379" width="22" style="6" customWidth="1"/>
    <col min="5380" max="5380" width="17.140625" style="6" customWidth="1"/>
    <col min="5381" max="5381" width="21.42578125" style="6" customWidth="1"/>
    <col min="5382" max="5382" width="19.5703125" style="6" customWidth="1"/>
    <col min="5383" max="5383" width="14.140625" style="6" bestFit="1" customWidth="1"/>
    <col min="5384" max="5384" width="8.42578125" style="6" customWidth="1"/>
    <col min="5385" max="5385" width="14.42578125" style="6" bestFit="1" customWidth="1"/>
    <col min="5386" max="5386" width="16.140625" style="6" bestFit="1" customWidth="1"/>
    <col min="5387" max="5387" width="14.42578125" style="6" bestFit="1" customWidth="1"/>
    <col min="5388" max="5388" width="13.42578125" style="6" customWidth="1"/>
    <col min="5389" max="5389" width="14.7109375" style="6" bestFit="1" customWidth="1"/>
    <col min="5390" max="5390" width="14.28515625" style="6" bestFit="1" customWidth="1"/>
    <col min="5391" max="5391" width="14.28515625" style="6" customWidth="1"/>
    <col min="5392" max="5392" width="14" style="6" bestFit="1" customWidth="1"/>
    <col min="5393" max="5393" width="11.5703125" style="6" bestFit="1" customWidth="1"/>
    <col min="5394" max="5394" width="13.85546875" style="6" bestFit="1" customWidth="1"/>
    <col min="5395" max="5632" width="11.42578125" style="6"/>
    <col min="5633" max="5633" width="20.28515625" style="6" customWidth="1"/>
    <col min="5634" max="5634" width="21.7109375" style="6" customWidth="1"/>
    <col min="5635" max="5635" width="22" style="6" customWidth="1"/>
    <col min="5636" max="5636" width="17.140625" style="6" customWidth="1"/>
    <col min="5637" max="5637" width="21.42578125" style="6" customWidth="1"/>
    <col min="5638" max="5638" width="19.5703125" style="6" customWidth="1"/>
    <col min="5639" max="5639" width="14.140625" style="6" bestFit="1" customWidth="1"/>
    <col min="5640" max="5640" width="8.42578125" style="6" customWidth="1"/>
    <col min="5641" max="5641" width="14.42578125" style="6" bestFit="1" customWidth="1"/>
    <col min="5642" max="5642" width="16.140625" style="6" bestFit="1" customWidth="1"/>
    <col min="5643" max="5643" width="14.42578125" style="6" bestFit="1" customWidth="1"/>
    <col min="5644" max="5644" width="13.42578125" style="6" customWidth="1"/>
    <col min="5645" max="5645" width="14.7109375" style="6" bestFit="1" customWidth="1"/>
    <col min="5646" max="5646" width="14.28515625" style="6" bestFit="1" customWidth="1"/>
    <col min="5647" max="5647" width="14.28515625" style="6" customWidth="1"/>
    <col min="5648" max="5648" width="14" style="6" bestFit="1" customWidth="1"/>
    <col min="5649" max="5649" width="11.5703125" style="6" bestFit="1" customWidth="1"/>
    <col min="5650" max="5650" width="13.85546875" style="6" bestFit="1" customWidth="1"/>
    <col min="5651" max="5888" width="11.42578125" style="6"/>
    <col min="5889" max="5889" width="20.28515625" style="6" customWidth="1"/>
    <col min="5890" max="5890" width="21.7109375" style="6" customWidth="1"/>
    <col min="5891" max="5891" width="22" style="6" customWidth="1"/>
    <col min="5892" max="5892" width="17.140625" style="6" customWidth="1"/>
    <col min="5893" max="5893" width="21.42578125" style="6" customWidth="1"/>
    <col min="5894" max="5894" width="19.5703125" style="6" customWidth="1"/>
    <col min="5895" max="5895" width="14.140625" style="6" bestFit="1" customWidth="1"/>
    <col min="5896" max="5896" width="8.42578125" style="6" customWidth="1"/>
    <col min="5897" max="5897" width="14.42578125" style="6" bestFit="1" customWidth="1"/>
    <col min="5898" max="5898" width="16.140625" style="6" bestFit="1" customWidth="1"/>
    <col min="5899" max="5899" width="14.42578125" style="6" bestFit="1" customWidth="1"/>
    <col min="5900" max="5900" width="13.42578125" style="6" customWidth="1"/>
    <col min="5901" max="5901" width="14.7109375" style="6" bestFit="1" customWidth="1"/>
    <col min="5902" max="5902" width="14.28515625" style="6" bestFit="1" customWidth="1"/>
    <col min="5903" max="5903" width="14.28515625" style="6" customWidth="1"/>
    <col min="5904" max="5904" width="14" style="6" bestFit="1" customWidth="1"/>
    <col min="5905" max="5905" width="11.5703125" style="6" bestFit="1" customWidth="1"/>
    <col min="5906" max="5906" width="13.85546875" style="6" bestFit="1" customWidth="1"/>
    <col min="5907" max="6144" width="11.42578125" style="6"/>
    <col min="6145" max="6145" width="20.28515625" style="6" customWidth="1"/>
    <col min="6146" max="6146" width="21.7109375" style="6" customWidth="1"/>
    <col min="6147" max="6147" width="22" style="6" customWidth="1"/>
    <col min="6148" max="6148" width="17.140625" style="6" customWidth="1"/>
    <col min="6149" max="6149" width="21.42578125" style="6" customWidth="1"/>
    <col min="6150" max="6150" width="19.5703125" style="6" customWidth="1"/>
    <col min="6151" max="6151" width="14.140625" style="6" bestFit="1" customWidth="1"/>
    <col min="6152" max="6152" width="8.42578125" style="6" customWidth="1"/>
    <col min="6153" max="6153" width="14.42578125" style="6" bestFit="1" customWidth="1"/>
    <col min="6154" max="6154" width="16.140625" style="6" bestFit="1" customWidth="1"/>
    <col min="6155" max="6155" width="14.42578125" style="6" bestFit="1" customWidth="1"/>
    <col min="6156" max="6156" width="13.42578125" style="6" customWidth="1"/>
    <col min="6157" max="6157" width="14.7109375" style="6" bestFit="1" customWidth="1"/>
    <col min="6158" max="6158" width="14.28515625" style="6" bestFit="1" customWidth="1"/>
    <col min="6159" max="6159" width="14.28515625" style="6" customWidth="1"/>
    <col min="6160" max="6160" width="14" style="6" bestFit="1" customWidth="1"/>
    <col min="6161" max="6161" width="11.5703125" style="6" bestFit="1" customWidth="1"/>
    <col min="6162" max="6162" width="13.85546875" style="6" bestFit="1" customWidth="1"/>
    <col min="6163" max="6400" width="11.42578125" style="6"/>
    <col min="6401" max="6401" width="20.28515625" style="6" customWidth="1"/>
    <col min="6402" max="6402" width="21.7109375" style="6" customWidth="1"/>
    <col min="6403" max="6403" width="22" style="6" customWidth="1"/>
    <col min="6404" max="6404" width="17.140625" style="6" customWidth="1"/>
    <col min="6405" max="6405" width="21.42578125" style="6" customWidth="1"/>
    <col min="6406" max="6406" width="19.5703125" style="6" customWidth="1"/>
    <col min="6407" max="6407" width="14.140625" style="6" bestFit="1" customWidth="1"/>
    <col min="6408" max="6408" width="8.42578125" style="6" customWidth="1"/>
    <col min="6409" max="6409" width="14.42578125" style="6" bestFit="1" customWidth="1"/>
    <col min="6410" max="6410" width="16.140625" style="6" bestFit="1" customWidth="1"/>
    <col min="6411" max="6411" width="14.42578125" style="6" bestFit="1" customWidth="1"/>
    <col min="6412" max="6412" width="13.42578125" style="6" customWidth="1"/>
    <col min="6413" max="6413" width="14.7109375" style="6" bestFit="1" customWidth="1"/>
    <col min="6414" max="6414" width="14.28515625" style="6" bestFit="1" customWidth="1"/>
    <col min="6415" max="6415" width="14.28515625" style="6" customWidth="1"/>
    <col min="6416" max="6416" width="14" style="6" bestFit="1" customWidth="1"/>
    <col min="6417" max="6417" width="11.5703125" style="6" bestFit="1" customWidth="1"/>
    <col min="6418" max="6418" width="13.85546875" style="6" bestFit="1" customWidth="1"/>
    <col min="6419" max="6656" width="11.42578125" style="6"/>
    <col min="6657" max="6657" width="20.28515625" style="6" customWidth="1"/>
    <col min="6658" max="6658" width="21.7109375" style="6" customWidth="1"/>
    <col min="6659" max="6659" width="22" style="6" customWidth="1"/>
    <col min="6660" max="6660" width="17.140625" style="6" customWidth="1"/>
    <col min="6661" max="6661" width="21.42578125" style="6" customWidth="1"/>
    <col min="6662" max="6662" width="19.5703125" style="6" customWidth="1"/>
    <col min="6663" max="6663" width="14.140625" style="6" bestFit="1" customWidth="1"/>
    <col min="6664" max="6664" width="8.42578125" style="6" customWidth="1"/>
    <col min="6665" max="6665" width="14.42578125" style="6" bestFit="1" customWidth="1"/>
    <col min="6666" max="6666" width="16.140625" style="6" bestFit="1" customWidth="1"/>
    <col min="6667" max="6667" width="14.42578125" style="6" bestFit="1" customWidth="1"/>
    <col min="6668" max="6668" width="13.42578125" style="6" customWidth="1"/>
    <col min="6669" max="6669" width="14.7109375" style="6" bestFit="1" customWidth="1"/>
    <col min="6670" max="6670" width="14.28515625" style="6" bestFit="1" customWidth="1"/>
    <col min="6671" max="6671" width="14.28515625" style="6" customWidth="1"/>
    <col min="6672" max="6672" width="14" style="6" bestFit="1" customWidth="1"/>
    <col min="6673" max="6673" width="11.5703125" style="6" bestFit="1" customWidth="1"/>
    <col min="6674" max="6674" width="13.85546875" style="6" bestFit="1" customWidth="1"/>
    <col min="6675" max="6912" width="11.42578125" style="6"/>
    <col min="6913" max="6913" width="20.28515625" style="6" customWidth="1"/>
    <col min="6914" max="6914" width="21.7109375" style="6" customWidth="1"/>
    <col min="6915" max="6915" width="22" style="6" customWidth="1"/>
    <col min="6916" max="6916" width="17.140625" style="6" customWidth="1"/>
    <col min="6917" max="6917" width="21.42578125" style="6" customWidth="1"/>
    <col min="6918" max="6918" width="19.5703125" style="6" customWidth="1"/>
    <col min="6919" max="6919" width="14.140625" style="6" bestFit="1" customWidth="1"/>
    <col min="6920" max="6920" width="8.42578125" style="6" customWidth="1"/>
    <col min="6921" max="6921" width="14.42578125" style="6" bestFit="1" customWidth="1"/>
    <col min="6922" max="6922" width="16.140625" style="6" bestFit="1" customWidth="1"/>
    <col min="6923" max="6923" width="14.42578125" style="6" bestFit="1" customWidth="1"/>
    <col min="6924" max="6924" width="13.42578125" style="6" customWidth="1"/>
    <col min="6925" max="6925" width="14.7109375" style="6" bestFit="1" customWidth="1"/>
    <col min="6926" max="6926" width="14.28515625" style="6" bestFit="1" customWidth="1"/>
    <col min="6927" max="6927" width="14.28515625" style="6" customWidth="1"/>
    <col min="6928" max="6928" width="14" style="6" bestFit="1" customWidth="1"/>
    <col min="6929" max="6929" width="11.5703125" style="6" bestFit="1" customWidth="1"/>
    <col min="6930" max="6930" width="13.85546875" style="6" bestFit="1" customWidth="1"/>
    <col min="6931" max="7168" width="11.42578125" style="6"/>
    <col min="7169" max="7169" width="20.28515625" style="6" customWidth="1"/>
    <col min="7170" max="7170" width="21.7109375" style="6" customWidth="1"/>
    <col min="7171" max="7171" width="22" style="6" customWidth="1"/>
    <col min="7172" max="7172" width="17.140625" style="6" customWidth="1"/>
    <col min="7173" max="7173" width="21.42578125" style="6" customWidth="1"/>
    <col min="7174" max="7174" width="19.5703125" style="6" customWidth="1"/>
    <col min="7175" max="7175" width="14.140625" style="6" bestFit="1" customWidth="1"/>
    <col min="7176" max="7176" width="8.42578125" style="6" customWidth="1"/>
    <col min="7177" max="7177" width="14.42578125" style="6" bestFit="1" customWidth="1"/>
    <col min="7178" max="7178" width="16.140625" style="6" bestFit="1" customWidth="1"/>
    <col min="7179" max="7179" width="14.42578125" style="6" bestFit="1" customWidth="1"/>
    <col min="7180" max="7180" width="13.42578125" style="6" customWidth="1"/>
    <col min="7181" max="7181" width="14.7109375" style="6" bestFit="1" customWidth="1"/>
    <col min="7182" max="7182" width="14.28515625" style="6" bestFit="1" customWidth="1"/>
    <col min="7183" max="7183" width="14.28515625" style="6" customWidth="1"/>
    <col min="7184" max="7184" width="14" style="6" bestFit="1" customWidth="1"/>
    <col min="7185" max="7185" width="11.5703125" style="6" bestFit="1" customWidth="1"/>
    <col min="7186" max="7186" width="13.85546875" style="6" bestFit="1" customWidth="1"/>
    <col min="7187" max="7424" width="11.42578125" style="6"/>
    <col min="7425" max="7425" width="20.28515625" style="6" customWidth="1"/>
    <col min="7426" max="7426" width="21.7109375" style="6" customWidth="1"/>
    <col min="7427" max="7427" width="22" style="6" customWidth="1"/>
    <col min="7428" max="7428" width="17.140625" style="6" customWidth="1"/>
    <col min="7429" max="7429" width="21.42578125" style="6" customWidth="1"/>
    <col min="7430" max="7430" width="19.5703125" style="6" customWidth="1"/>
    <col min="7431" max="7431" width="14.140625" style="6" bestFit="1" customWidth="1"/>
    <col min="7432" max="7432" width="8.42578125" style="6" customWidth="1"/>
    <col min="7433" max="7433" width="14.42578125" style="6" bestFit="1" customWidth="1"/>
    <col min="7434" max="7434" width="16.140625" style="6" bestFit="1" customWidth="1"/>
    <col min="7435" max="7435" width="14.42578125" style="6" bestFit="1" customWidth="1"/>
    <col min="7436" max="7436" width="13.42578125" style="6" customWidth="1"/>
    <col min="7437" max="7437" width="14.7109375" style="6" bestFit="1" customWidth="1"/>
    <col min="7438" max="7438" width="14.28515625" style="6" bestFit="1" customWidth="1"/>
    <col min="7439" max="7439" width="14.28515625" style="6" customWidth="1"/>
    <col min="7440" max="7440" width="14" style="6" bestFit="1" customWidth="1"/>
    <col min="7441" max="7441" width="11.5703125" style="6" bestFit="1" customWidth="1"/>
    <col min="7442" max="7442" width="13.85546875" style="6" bestFit="1" customWidth="1"/>
    <col min="7443" max="7680" width="11.42578125" style="6"/>
    <col min="7681" max="7681" width="20.28515625" style="6" customWidth="1"/>
    <col min="7682" max="7682" width="21.7109375" style="6" customWidth="1"/>
    <col min="7683" max="7683" width="22" style="6" customWidth="1"/>
    <col min="7684" max="7684" width="17.140625" style="6" customWidth="1"/>
    <col min="7685" max="7685" width="21.42578125" style="6" customWidth="1"/>
    <col min="7686" max="7686" width="19.5703125" style="6" customWidth="1"/>
    <col min="7687" max="7687" width="14.140625" style="6" bestFit="1" customWidth="1"/>
    <col min="7688" max="7688" width="8.42578125" style="6" customWidth="1"/>
    <col min="7689" max="7689" width="14.42578125" style="6" bestFit="1" customWidth="1"/>
    <col min="7690" max="7690" width="16.140625" style="6" bestFit="1" customWidth="1"/>
    <col min="7691" max="7691" width="14.42578125" style="6" bestFit="1" customWidth="1"/>
    <col min="7692" max="7692" width="13.42578125" style="6" customWidth="1"/>
    <col min="7693" max="7693" width="14.7109375" style="6" bestFit="1" customWidth="1"/>
    <col min="7694" max="7694" width="14.28515625" style="6" bestFit="1" customWidth="1"/>
    <col min="7695" max="7695" width="14.28515625" style="6" customWidth="1"/>
    <col min="7696" max="7696" width="14" style="6" bestFit="1" customWidth="1"/>
    <col min="7697" max="7697" width="11.5703125" style="6" bestFit="1" customWidth="1"/>
    <col min="7698" max="7698" width="13.85546875" style="6" bestFit="1" customWidth="1"/>
    <col min="7699" max="7936" width="11.42578125" style="6"/>
    <col min="7937" max="7937" width="20.28515625" style="6" customWidth="1"/>
    <col min="7938" max="7938" width="21.7109375" style="6" customWidth="1"/>
    <col min="7939" max="7939" width="22" style="6" customWidth="1"/>
    <col min="7940" max="7940" width="17.140625" style="6" customWidth="1"/>
    <col min="7941" max="7941" width="21.42578125" style="6" customWidth="1"/>
    <col min="7942" max="7942" width="19.5703125" style="6" customWidth="1"/>
    <col min="7943" max="7943" width="14.140625" style="6" bestFit="1" customWidth="1"/>
    <col min="7944" max="7944" width="8.42578125" style="6" customWidth="1"/>
    <col min="7945" max="7945" width="14.42578125" style="6" bestFit="1" customWidth="1"/>
    <col min="7946" max="7946" width="16.140625" style="6" bestFit="1" customWidth="1"/>
    <col min="7947" max="7947" width="14.42578125" style="6" bestFit="1" customWidth="1"/>
    <col min="7948" max="7948" width="13.42578125" style="6" customWidth="1"/>
    <col min="7949" max="7949" width="14.7109375" style="6" bestFit="1" customWidth="1"/>
    <col min="7950" max="7950" width="14.28515625" style="6" bestFit="1" customWidth="1"/>
    <col min="7951" max="7951" width="14.28515625" style="6" customWidth="1"/>
    <col min="7952" max="7952" width="14" style="6" bestFit="1" customWidth="1"/>
    <col min="7953" max="7953" width="11.5703125" style="6" bestFit="1" customWidth="1"/>
    <col min="7954" max="7954" width="13.85546875" style="6" bestFit="1" customWidth="1"/>
    <col min="7955" max="8192" width="11.42578125" style="6"/>
    <col min="8193" max="8193" width="20.28515625" style="6" customWidth="1"/>
    <col min="8194" max="8194" width="21.7109375" style="6" customWidth="1"/>
    <col min="8195" max="8195" width="22" style="6" customWidth="1"/>
    <col min="8196" max="8196" width="17.140625" style="6" customWidth="1"/>
    <col min="8197" max="8197" width="21.42578125" style="6" customWidth="1"/>
    <col min="8198" max="8198" width="19.5703125" style="6" customWidth="1"/>
    <col min="8199" max="8199" width="14.140625" style="6" bestFit="1" customWidth="1"/>
    <col min="8200" max="8200" width="8.42578125" style="6" customWidth="1"/>
    <col min="8201" max="8201" width="14.42578125" style="6" bestFit="1" customWidth="1"/>
    <col min="8202" max="8202" width="16.140625" style="6" bestFit="1" customWidth="1"/>
    <col min="8203" max="8203" width="14.42578125" style="6" bestFit="1" customWidth="1"/>
    <col min="8204" max="8204" width="13.42578125" style="6" customWidth="1"/>
    <col min="8205" max="8205" width="14.7109375" style="6" bestFit="1" customWidth="1"/>
    <col min="8206" max="8206" width="14.28515625" style="6" bestFit="1" customWidth="1"/>
    <col min="8207" max="8207" width="14.28515625" style="6" customWidth="1"/>
    <col min="8208" max="8208" width="14" style="6" bestFit="1" customWidth="1"/>
    <col min="8209" max="8209" width="11.5703125" style="6" bestFit="1" customWidth="1"/>
    <col min="8210" max="8210" width="13.85546875" style="6" bestFit="1" customWidth="1"/>
    <col min="8211" max="8448" width="11.42578125" style="6"/>
    <col min="8449" max="8449" width="20.28515625" style="6" customWidth="1"/>
    <col min="8450" max="8450" width="21.7109375" style="6" customWidth="1"/>
    <col min="8451" max="8451" width="22" style="6" customWidth="1"/>
    <col min="8452" max="8452" width="17.140625" style="6" customWidth="1"/>
    <col min="8453" max="8453" width="21.42578125" style="6" customWidth="1"/>
    <col min="8454" max="8454" width="19.5703125" style="6" customWidth="1"/>
    <col min="8455" max="8455" width="14.140625" style="6" bestFit="1" customWidth="1"/>
    <col min="8456" max="8456" width="8.42578125" style="6" customWidth="1"/>
    <col min="8457" max="8457" width="14.42578125" style="6" bestFit="1" customWidth="1"/>
    <col min="8458" max="8458" width="16.140625" style="6" bestFit="1" customWidth="1"/>
    <col min="8459" max="8459" width="14.42578125" style="6" bestFit="1" customWidth="1"/>
    <col min="8460" max="8460" width="13.42578125" style="6" customWidth="1"/>
    <col min="8461" max="8461" width="14.7109375" style="6" bestFit="1" customWidth="1"/>
    <col min="8462" max="8462" width="14.28515625" style="6" bestFit="1" customWidth="1"/>
    <col min="8463" max="8463" width="14.28515625" style="6" customWidth="1"/>
    <col min="8464" max="8464" width="14" style="6" bestFit="1" customWidth="1"/>
    <col min="8465" max="8465" width="11.5703125" style="6" bestFit="1" customWidth="1"/>
    <col min="8466" max="8466" width="13.85546875" style="6" bestFit="1" customWidth="1"/>
    <col min="8467" max="8704" width="11.42578125" style="6"/>
    <col min="8705" max="8705" width="20.28515625" style="6" customWidth="1"/>
    <col min="8706" max="8706" width="21.7109375" style="6" customWidth="1"/>
    <col min="8707" max="8707" width="22" style="6" customWidth="1"/>
    <col min="8708" max="8708" width="17.140625" style="6" customWidth="1"/>
    <col min="8709" max="8709" width="21.42578125" style="6" customWidth="1"/>
    <col min="8710" max="8710" width="19.5703125" style="6" customWidth="1"/>
    <col min="8711" max="8711" width="14.140625" style="6" bestFit="1" customWidth="1"/>
    <col min="8712" max="8712" width="8.42578125" style="6" customWidth="1"/>
    <col min="8713" max="8713" width="14.42578125" style="6" bestFit="1" customWidth="1"/>
    <col min="8714" max="8714" width="16.140625" style="6" bestFit="1" customWidth="1"/>
    <col min="8715" max="8715" width="14.42578125" style="6" bestFit="1" customWidth="1"/>
    <col min="8716" max="8716" width="13.42578125" style="6" customWidth="1"/>
    <col min="8717" max="8717" width="14.7109375" style="6" bestFit="1" customWidth="1"/>
    <col min="8718" max="8718" width="14.28515625" style="6" bestFit="1" customWidth="1"/>
    <col min="8719" max="8719" width="14.28515625" style="6" customWidth="1"/>
    <col min="8720" max="8720" width="14" style="6" bestFit="1" customWidth="1"/>
    <col min="8721" max="8721" width="11.5703125" style="6" bestFit="1" customWidth="1"/>
    <col min="8722" max="8722" width="13.85546875" style="6" bestFit="1" customWidth="1"/>
    <col min="8723" max="8960" width="11.42578125" style="6"/>
    <col min="8961" max="8961" width="20.28515625" style="6" customWidth="1"/>
    <col min="8962" max="8962" width="21.7109375" style="6" customWidth="1"/>
    <col min="8963" max="8963" width="22" style="6" customWidth="1"/>
    <col min="8964" max="8964" width="17.140625" style="6" customWidth="1"/>
    <col min="8965" max="8965" width="21.42578125" style="6" customWidth="1"/>
    <col min="8966" max="8966" width="19.5703125" style="6" customWidth="1"/>
    <col min="8967" max="8967" width="14.140625" style="6" bestFit="1" customWidth="1"/>
    <col min="8968" max="8968" width="8.42578125" style="6" customWidth="1"/>
    <col min="8969" max="8969" width="14.42578125" style="6" bestFit="1" customWidth="1"/>
    <col min="8970" max="8970" width="16.140625" style="6" bestFit="1" customWidth="1"/>
    <col min="8971" max="8971" width="14.42578125" style="6" bestFit="1" customWidth="1"/>
    <col min="8972" max="8972" width="13.42578125" style="6" customWidth="1"/>
    <col min="8973" max="8973" width="14.7109375" style="6" bestFit="1" customWidth="1"/>
    <col min="8974" max="8974" width="14.28515625" style="6" bestFit="1" customWidth="1"/>
    <col min="8975" max="8975" width="14.28515625" style="6" customWidth="1"/>
    <col min="8976" max="8976" width="14" style="6" bestFit="1" customWidth="1"/>
    <col min="8977" max="8977" width="11.5703125" style="6" bestFit="1" customWidth="1"/>
    <col min="8978" max="8978" width="13.85546875" style="6" bestFit="1" customWidth="1"/>
    <col min="8979" max="9216" width="11.42578125" style="6"/>
    <col min="9217" max="9217" width="20.28515625" style="6" customWidth="1"/>
    <col min="9218" max="9218" width="21.7109375" style="6" customWidth="1"/>
    <col min="9219" max="9219" width="22" style="6" customWidth="1"/>
    <col min="9220" max="9220" width="17.140625" style="6" customWidth="1"/>
    <col min="9221" max="9221" width="21.42578125" style="6" customWidth="1"/>
    <col min="9222" max="9222" width="19.5703125" style="6" customWidth="1"/>
    <col min="9223" max="9223" width="14.140625" style="6" bestFit="1" customWidth="1"/>
    <col min="9224" max="9224" width="8.42578125" style="6" customWidth="1"/>
    <col min="9225" max="9225" width="14.42578125" style="6" bestFit="1" customWidth="1"/>
    <col min="9226" max="9226" width="16.140625" style="6" bestFit="1" customWidth="1"/>
    <col min="9227" max="9227" width="14.42578125" style="6" bestFit="1" customWidth="1"/>
    <col min="9228" max="9228" width="13.42578125" style="6" customWidth="1"/>
    <col min="9229" max="9229" width="14.7109375" style="6" bestFit="1" customWidth="1"/>
    <col min="9230" max="9230" width="14.28515625" style="6" bestFit="1" customWidth="1"/>
    <col min="9231" max="9231" width="14.28515625" style="6" customWidth="1"/>
    <col min="9232" max="9232" width="14" style="6" bestFit="1" customWidth="1"/>
    <col min="9233" max="9233" width="11.5703125" style="6" bestFit="1" customWidth="1"/>
    <col min="9234" max="9234" width="13.85546875" style="6" bestFit="1" customWidth="1"/>
    <col min="9235" max="9472" width="11.42578125" style="6"/>
    <col min="9473" max="9473" width="20.28515625" style="6" customWidth="1"/>
    <col min="9474" max="9474" width="21.7109375" style="6" customWidth="1"/>
    <col min="9475" max="9475" width="22" style="6" customWidth="1"/>
    <col min="9476" max="9476" width="17.140625" style="6" customWidth="1"/>
    <col min="9477" max="9477" width="21.42578125" style="6" customWidth="1"/>
    <col min="9478" max="9478" width="19.5703125" style="6" customWidth="1"/>
    <col min="9479" max="9479" width="14.140625" style="6" bestFit="1" customWidth="1"/>
    <col min="9480" max="9480" width="8.42578125" style="6" customWidth="1"/>
    <col min="9481" max="9481" width="14.42578125" style="6" bestFit="1" customWidth="1"/>
    <col min="9482" max="9482" width="16.140625" style="6" bestFit="1" customWidth="1"/>
    <col min="9483" max="9483" width="14.42578125" style="6" bestFit="1" customWidth="1"/>
    <col min="9484" max="9484" width="13.42578125" style="6" customWidth="1"/>
    <col min="9485" max="9485" width="14.7109375" style="6" bestFit="1" customWidth="1"/>
    <col min="9486" max="9486" width="14.28515625" style="6" bestFit="1" customWidth="1"/>
    <col min="9487" max="9487" width="14.28515625" style="6" customWidth="1"/>
    <col min="9488" max="9488" width="14" style="6" bestFit="1" customWidth="1"/>
    <col min="9489" max="9489" width="11.5703125" style="6" bestFit="1" customWidth="1"/>
    <col min="9490" max="9490" width="13.85546875" style="6" bestFit="1" customWidth="1"/>
    <col min="9491" max="9728" width="11.42578125" style="6"/>
    <col min="9729" max="9729" width="20.28515625" style="6" customWidth="1"/>
    <col min="9730" max="9730" width="21.7109375" style="6" customWidth="1"/>
    <col min="9731" max="9731" width="22" style="6" customWidth="1"/>
    <col min="9732" max="9732" width="17.140625" style="6" customWidth="1"/>
    <col min="9733" max="9733" width="21.42578125" style="6" customWidth="1"/>
    <col min="9734" max="9734" width="19.5703125" style="6" customWidth="1"/>
    <col min="9735" max="9735" width="14.140625" style="6" bestFit="1" customWidth="1"/>
    <col min="9736" max="9736" width="8.42578125" style="6" customWidth="1"/>
    <col min="9737" max="9737" width="14.42578125" style="6" bestFit="1" customWidth="1"/>
    <col min="9738" max="9738" width="16.140625" style="6" bestFit="1" customWidth="1"/>
    <col min="9739" max="9739" width="14.42578125" style="6" bestFit="1" customWidth="1"/>
    <col min="9740" max="9740" width="13.42578125" style="6" customWidth="1"/>
    <col min="9741" max="9741" width="14.7109375" style="6" bestFit="1" customWidth="1"/>
    <col min="9742" max="9742" width="14.28515625" style="6" bestFit="1" customWidth="1"/>
    <col min="9743" max="9743" width="14.28515625" style="6" customWidth="1"/>
    <col min="9744" max="9744" width="14" style="6" bestFit="1" customWidth="1"/>
    <col min="9745" max="9745" width="11.5703125" style="6" bestFit="1" customWidth="1"/>
    <col min="9746" max="9746" width="13.85546875" style="6" bestFit="1" customWidth="1"/>
    <col min="9747" max="9984" width="11.42578125" style="6"/>
    <col min="9985" max="9985" width="20.28515625" style="6" customWidth="1"/>
    <col min="9986" max="9986" width="21.7109375" style="6" customWidth="1"/>
    <col min="9987" max="9987" width="22" style="6" customWidth="1"/>
    <col min="9988" max="9988" width="17.140625" style="6" customWidth="1"/>
    <col min="9989" max="9989" width="21.42578125" style="6" customWidth="1"/>
    <col min="9990" max="9990" width="19.5703125" style="6" customWidth="1"/>
    <col min="9991" max="9991" width="14.140625" style="6" bestFit="1" customWidth="1"/>
    <col min="9992" max="9992" width="8.42578125" style="6" customWidth="1"/>
    <col min="9993" max="9993" width="14.42578125" style="6" bestFit="1" customWidth="1"/>
    <col min="9994" max="9994" width="16.140625" style="6" bestFit="1" customWidth="1"/>
    <col min="9995" max="9995" width="14.42578125" style="6" bestFit="1" customWidth="1"/>
    <col min="9996" max="9996" width="13.42578125" style="6" customWidth="1"/>
    <col min="9997" max="9997" width="14.7109375" style="6" bestFit="1" customWidth="1"/>
    <col min="9998" max="9998" width="14.28515625" style="6" bestFit="1" customWidth="1"/>
    <col min="9999" max="9999" width="14.28515625" style="6" customWidth="1"/>
    <col min="10000" max="10000" width="14" style="6" bestFit="1" customWidth="1"/>
    <col min="10001" max="10001" width="11.5703125" style="6" bestFit="1" customWidth="1"/>
    <col min="10002" max="10002" width="13.85546875" style="6" bestFit="1" customWidth="1"/>
    <col min="10003" max="10240" width="11.42578125" style="6"/>
    <col min="10241" max="10241" width="20.28515625" style="6" customWidth="1"/>
    <col min="10242" max="10242" width="21.7109375" style="6" customWidth="1"/>
    <col min="10243" max="10243" width="22" style="6" customWidth="1"/>
    <col min="10244" max="10244" width="17.140625" style="6" customWidth="1"/>
    <col min="10245" max="10245" width="21.42578125" style="6" customWidth="1"/>
    <col min="10246" max="10246" width="19.5703125" style="6" customWidth="1"/>
    <col min="10247" max="10247" width="14.140625" style="6" bestFit="1" customWidth="1"/>
    <col min="10248" max="10248" width="8.42578125" style="6" customWidth="1"/>
    <col min="10249" max="10249" width="14.42578125" style="6" bestFit="1" customWidth="1"/>
    <col min="10250" max="10250" width="16.140625" style="6" bestFit="1" customWidth="1"/>
    <col min="10251" max="10251" width="14.42578125" style="6" bestFit="1" customWidth="1"/>
    <col min="10252" max="10252" width="13.42578125" style="6" customWidth="1"/>
    <col min="10253" max="10253" width="14.7109375" style="6" bestFit="1" customWidth="1"/>
    <col min="10254" max="10254" width="14.28515625" style="6" bestFit="1" customWidth="1"/>
    <col min="10255" max="10255" width="14.28515625" style="6" customWidth="1"/>
    <col min="10256" max="10256" width="14" style="6" bestFit="1" customWidth="1"/>
    <col min="10257" max="10257" width="11.5703125" style="6" bestFit="1" customWidth="1"/>
    <col min="10258" max="10258" width="13.85546875" style="6" bestFit="1" customWidth="1"/>
    <col min="10259" max="10496" width="11.42578125" style="6"/>
    <col min="10497" max="10497" width="20.28515625" style="6" customWidth="1"/>
    <col min="10498" max="10498" width="21.7109375" style="6" customWidth="1"/>
    <col min="10499" max="10499" width="22" style="6" customWidth="1"/>
    <col min="10500" max="10500" width="17.140625" style="6" customWidth="1"/>
    <col min="10501" max="10501" width="21.42578125" style="6" customWidth="1"/>
    <col min="10502" max="10502" width="19.5703125" style="6" customWidth="1"/>
    <col min="10503" max="10503" width="14.140625" style="6" bestFit="1" customWidth="1"/>
    <col min="10504" max="10504" width="8.42578125" style="6" customWidth="1"/>
    <col min="10505" max="10505" width="14.42578125" style="6" bestFit="1" customWidth="1"/>
    <col min="10506" max="10506" width="16.140625" style="6" bestFit="1" customWidth="1"/>
    <col min="10507" max="10507" width="14.42578125" style="6" bestFit="1" customWidth="1"/>
    <col min="10508" max="10508" width="13.42578125" style="6" customWidth="1"/>
    <col min="10509" max="10509" width="14.7109375" style="6" bestFit="1" customWidth="1"/>
    <col min="10510" max="10510" width="14.28515625" style="6" bestFit="1" customWidth="1"/>
    <col min="10511" max="10511" width="14.28515625" style="6" customWidth="1"/>
    <col min="10512" max="10512" width="14" style="6" bestFit="1" customWidth="1"/>
    <col min="10513" max="10513" width="11.5703125" style="6" bestFit="1" customWidth="1"/>
    <col min="10514" max="10514" width="13.85546875" style="6" bestFit="1" customWidth="1"/>
    <col min="10515" max="10752" width="11.42578125" style="6"/>
    <col min="10753" max="10753" width="20.28515625" style="6" customWidth="1"/>
    <col min="10754" max="10754" width="21.7109375" style="6" customWidth="1"/>
    <col min="10755" max="10755" width="22" style="6" customWidth="1"/>
    <col min="10756" max="10756" width="17.140625" style="6" customWidth="1"/>
    <col min="10757" max="10757" width="21.42578125" style="6" customWidth="1"/>
    <col min="10758" max="10758" width="19.5703125" style="6" customWidth="1"/>
    <col min="10759" max="10759" width="14.140625" style="6" bestFit="1" customWidth="1"/>
    <col min="10760" max="10760" width="8.42578125" style="6" customWidth="1"/>
    <col min="10761" max="10761" width="14.42578125" style="6" bestFit="1" customWidth="1"/>
    <col min="10762" max="10762" width="16.140625" style="6" bestFit="1" customWidth="1"/>
    <col min="10763" max="10763" width="14.42578125" style="6" bestFit="1" customWidth="1"/>
    <col min="10764" max="10764" width="13.42578125" style="6" customWidth="1"/>
    <col min="10765" max="10765" width="14.7109375" style="6" bestFit="1" customWidth="1"/>
    <col min="10766" max="10766" width="14.28515625" style="6" bestFit="1" customWidth="1"/>
    <col min="10767" max="10767" width="14.28515625" style="6" customWidth="1"/>
    <col min="10768" max="10768" width="14" style="6" bestFit="1" customWidth="1"/>
    <col min="10769" max="10769" width="11.5703125" style="6" bestFit="1" customWidth="1"/>
    <col min="10770" max="10770" width="13.85546875" style="6" bestFit="1" customWidth="1"/>
    <col min="10771" max="11008" width="11.42578125" style="6"/>
    <col min="11009" max="11009" width="20.28515625" style="6" customWidth="1"/>
    <col min="11010" max="11010" width="21.7109375" style="6" customWidth="1"/>
    <col min="11011" max="11011" width="22" style="6" customWidth="1"/>
    <col min="11012" max="11012" width="17.140625" style="6" customWidth="1"/>
    <col min="11013" max="11013" width="21.42578125" style="6" customWidth="1"/>
    <col min="11014" max="11014" width="19.5703125" style="6" customWidth="1"/>
    <col min="11015" max="11015" width="14.140625" style="6" bestFit="1" customWidth="1"/>
    <col min="11016" max="11016" width="8.42578125" style="6" customWidth="1"/>
    <col min="11017" max="11017" width="14.42578125" style="6" bestFit="1" customWidth="1"/>
    <col min="11018" max="11018" width="16.140625" style="6" bestFit="1" customWidth="1"/>
    <col min="11019" max="11019" width="14.42578125" style="6" bestFit="1" customWidth="1"/>
    <col min="11020" max="11020" width="13.42578125" style="6" customWidth="1"/>
    <col min="11021" max="11021" width="14.7109375" style="6" bestFit="1" customWidth="1"/>
    <col min="11022" max="11022" width="14.28515625" style="6" bestFit="1" customWidth="1"/>
    <col min="11023" max="11023" width="14.28515625" style="6" customWidth="1"/>
    <col min="11024" max="11024" width="14" style="6" bestFit="1" customWidth="1"/>
    <col min="11025" max="11025" width="11.5703125" style="6" bestFit="1" customWidth="1"/>
    <col min="11026" max="11026" width="13.85546875" style="6" bestFit="1" customWidth="1"/>
    <col min="11027" max="11264" width="11.42578125" style="6"/>
    <col min="11265" max="11265" width="20.28515625" style="6" customWidth="1"/>
    <col min="11266" max="11266" width="21.7109375" style="6" customWidth="1"/>
    <col min="11267" max="11267" width="22" style="6" customWidth="1"/>
    <col min="11268" max="11268" width="17.140625" style="6" customWidth="1"/>
    <col min="11269" max="11269" width="21.42578125" style="6" customWidth="1"/>
    <col min="11270" max="11270" width="19.5703125" style="6" customWidth="1"/>
    <col min="11271" max="11271" width="14.140625" style="6" bestFit="1" customWidth="1"/>
    <col min="11272" max="11272" width="8.42578125" style="6" customWidth="1"/>
    <col min="11273" max="11273" width="14.42578125" style="6" bestFit="1" customWidth="1"/>
    <col min="11274" max="11274" width="16.140625" style="6" bestFit="1" customWidth="1"/>
    <col min="11275" max="11275" width="14.42578125" style="6" bestFit="1" customWidth="1"/>
    <col min="11276" max="11276" width="13.42578125" style="6" customWidth="1"/>
    <col min="11277" max="11277" width="14.7109375" style="6" bestFit="1" customWidth="1"/>
    <col min="11278" max="11278" width="14.28515625" style="6" bestFit="1" customWidth="1"/>
    <col min="11279" max="11279" width="14.28515625" style="6" customWidth="1"/>
    <col min="11280" max="11280" width="14" style="6" bestFit="1" customWidth="1"/>
    <col min="11281" max="11281" width="11.5703125" style="6" bestFit="1" customWidth="1"/>
    <col min="11282" max="11282" width="13.85546875" style="6" bestFit="1" customWidth="1"/>
    <col min="11283" max="11520" width="11.42578125" style="6"/>
    <col min="11521" max="11521" width="20.28515625" style="6" customWidth="1"/>
    <col min="11522" max="11522" width="21.7109375" style="6" customWidth="1"/>
    <col min="11523" max="11523" width="22" style="6" customWidth="1"/>
    <col min="11524" max="11524" width="17.140625" style="6" customWidth="1"/>
    <col min="11525" max="11525" width="21.42578125" style="6" customWidth="1"/>
    <col min="11526" max="11526" width="19.5703125" style="6" customWidth="1"/>
    <col min="11527" max="11527" width="14.140625" style="6" bestFit="1" customWidth="1"/>
    <col min="11528" max="11528" width="8.42578125" style="6" customWidth="1"/>
    <col min="11529" max="11529" width="14.42578125" style="6" bestFit="1" customWidth="1"/>
    <col min="11530" max="11530" width="16.140625" style="6" bestFit="1" customWidth="1"/>
    <col min="11531" max="11531" width="14.42578125" style="6" bestFit="1" customWidth="1"/>
    <col min="11532" max="11532" width="13.42578125" style="6" customWidth="1"/>
    <col min="11533" max="11533" width="14.7109375" style="6" bestFit="1" customWidth="1"/>
    <col min="11534" max="11534" width="14.28515625" style="6" bestFit="1" customWidth="1"/>
    <col min="11535" max="11535" width="14.28515625" style="6" customWidth="1"/>
    <col min="11536" max="11536" width="14" style="6" bestFit="1" customWidth="1"/>
    <col min="11537" max="11537" width="11.5703125" style="6" bestFit="1" customWidth="1"/>
    <col min="11538" max="11538" width="13.85546875" style="6" bestFit="1" customWidth="1"/>
    <col min="11539" max="11776" width="11.42578125" style="6"/>
    <col min="11777" max="11777" width="20.28515625" style="6" customWidth="1"/>
    <col min="11778" max="11778" width="21.7109375" style="6" customWidth="1"/>
    <col min="11779" max="11779" width="22" style="6" customWidth="1"/>
    <col min="11780" max="11780" width="17.140625" style="6" customWidth="1"/>
    <col min="11781" max="11781" width="21.42578125" style="6" customWidth="1"/>
    <col min="11782" max="11782" width="19.5703125" style="6" customWidth="1"/>
    <col min="11783" max="11783" width="14.140625" style="6" bestFit="1" customWidth="1"/>
    <col min="11784" max="11784" width="8.42578125" style="6" customWidth="1"/>
    <col min="11785" max="11785" width="14.42578125" style="6" bestFit="1" customWidth="1"/>
    <col min="11786" max="11786" width="16.140625" style="6" bestFit="1" customWidth="1"/>
    <col min="11787" max="11787" width="14.42578125" style="6" bestFit="1" customWidth="1"/>
    <col min="11788" max="11788" width="13.42578125" style="6" customWidth="1"/>
    <col min="11789" max="11789" width="14.7109375" style="6" bestFit="1" customWidth="1"/>
    <col min="11790" max="11790" width="14.28515625" style="6" bestFit="1" customWidth="1"/>
    <col min="11791" max="11791" width="14.28515625" style="6" customWidth="1"/>
    <col min="11792" max="11792" width="14" style="6" bestFit="1" customWidth="1"/>
    <col min="11793" max="11793" width="11.5703125" style="6" bestFit="1" customWidth="1"/>
    <col min="11794" max="11794" width="13.85546875" style="6" bestFit="1" customWidth="1"/>
    <col min="11795" max="12032" width="11.42578125" style="6"/>
    <col min="12033" max="12033" width="20.28515625" style="6" customWidth="1"/>
    <col min="12034" max="12034" width="21.7109375" style="6" customWidth="1"/>
    <col min="12035" max="12035" width="22" style="6" customWidth="1"/>
    <col min="12036" max="12036" width="17.140625" style="6" customWidth="1"/>
    <col min="12037" max="12037" width="21.42578125" style="6" customWidth="1"/>
    <col min="12038" max="12038" width="19.5703125" style="6" customWidth="1"/>
    <col min="12039" max="12039" width="14.140625" style="6" bestFit="1" customWidth="1"/>
    <col min="12040" max="12040" width="8.42578125" style="6" customWidth="1"/>
    <col min="12041" max="12041" width="14.42578125" style="6" bestFit="1" customWidth="1"/>
    <col min="12042" max="12042" width="16.140625" style="6" bestFit="1" customWidth="1"/>
    <col min="12043" max="12043" width="14.42578125" style="6" bestFit="1" customWidth="1"/>
    <col min="12044" max="12044" width="13.42578125" style="6" customWidth="1"/>
    <col min="12045" max="12045" width="14.7109375" style="6" bestFit="1" customWidth="1"/>
    <col min="12046" max="12046" width="14.28515625" style="6" bestFit="1" customWidth="1"/>
    <col min="12047" max="12047" width="14.28515625" style="6" customWidth="1"/>
    <col min="12048" max="12048" width="14" style="6" bestFit="1" customWidth="1"/>
    <col min="12049" max="12049" width="11.5703125" style="6" bestFit="1" customWidth="1"/>
    <col min="12050" max="12050" width="13.85546875" style="6" bestFit="1" customWidth="1"/>
    <col min="12051" max="12288" width="11.42578125" style="6"/>
    <col min="12289" max="12289" width="20.28515625" style="6" customWidth="1"/>
    <col min="12290" max="12290" width="21.7109375" style="6" customWidth="1"/>
    <col min="12291" max="12291" width="22" style="6" customWidth="1"/>
    <col min="12292" max="12292" width="17.140625" style="6" customWidth="1"/>
    <col min="12293" max="12293" width="21.42578125" style="6" customWidth="1"/>
    <col min="12294" max="12294" width="19.5703125" style="6" customWidth="1"/>
    <col min="12295" max="12295" width="14.140625" style="6" bestFit="1" customWidth="1"/>
    <col min="12296" max="12296" width="8.42578125" style="6" customWidth="1"/>
    <col min="12297" max="12297" width="14.42578125" style="6" bestFit="1" customWidth="1"/>
    <col min="12298" max="12298" width="16.140625" style="6" bestFit="1" customWidth="1"/>
    <col min="12299" max="12299" width="14.42578125" style="6" bestFit="1" customWidth="1"/>
    <col min="12300" max="12300" width="13.42578125" style="6" customWidth="1"/>
    <col min="12301" max="12301" width="14.7109375" style="6" bestFit="1" customWidth="1"/>
    <col min="12302" max="12302" width="14.28515625" style="6" bestFit="1" customWidth="1"/>
    <col min="12303" max="12303" width="14.28515625" style="6" customWidth="1"/>
    <col min="12304" max="12304" width="14" style="6" bestFit="1" customWidth="1"/>
    <col min="12305" max="12305" width="11.5703125" style="6" bestFit="1" customWidth="1"/>
    <col min="12306" max="12306" width="13.85546875" style="6" bestFit="1" customWidth="1"/>
    <col min="12307" max="12544" width="11.42578125" style="6"/>
    <col min="12545" max="12545" width="20.28515625" style="6" customWidth="1"/>
    <col min="12546" max="12546" width="21.7109375" style="6" customWidth="1"/>
    <col min="12547" max="12547" width="22" style="6" customWidth="1"/>
    <col min="12548" max="12548" width="17.140625" style="6" customWidth="1"/>
    <col min="12549" max="12549" width="21.42578125" style="6" customWidth="1"/>
    <col min="12550" max="12550" width="19.5703125" style="6" customWidth="1"/>
    <col min="12551" max="12551" width="14.140625" style="6" bestFit="1" customWidth="1"/>
    <col min="12552" max="12552" width="8.42578125" style="6" customWidth="1"/>
    <col min="12553" max="12553" width="14.42578125" style="6" bestFit="1" customWidth="1"/>
    <col min="12554" max="12554" width="16.140625" style="6" bestFit="1" customWidth="1"/>
    <col min="12555" max="12555" width="14.42578125" style="6" bestFit="1" customWidth="1"/>
    <col min="12556" max="12556" width="13.42578125" style="6" customWidth="1"/>
    <col min="12557" max="12557" width="14.7109375" style="6" bestFit="1" customWidth="1"/>
    <col min="12558" max="12558" width="14.28515625" style="6" bestFit="1" customWidth="1"/>
    <col min="12559" max="12559" width="14.28515625" style="6" customWidth="1"/>
    <col min="12560" max="12560" width="14" style="6" bestFit="1" customWidth="1"/>
    <col min="12561" max="12561" width="11.5703125" style="6" bestFit="1" customWidth="1"/>
    <col min="12562" max="12562" width="13.85546875" style="6" bestFit="1" customWidth="1"/>
    <col min="12563" max="12800" width="11.42578125" style="6"/>
    <col min="12801" max="12801" width="20.28515625" style="6" customWidth="1"/>
    <col min="12802" max="12802" width="21.7109375" style="6" customWidth="1"/>
    <col min="12803" max="12803" width="22" style="6" customWidth="1"/>
    <col min="12804" max="12804" width="17.140625" style="6" customWidth="1"/>
    <col min="12805" max="12805" width="21.42578125" style="6" customWidth="1"/>
    <col min="12806" max="12806" width="19.5703125" style="6" customWidth="1"/>
    <col min="12807" max="12807" width="14.140625" style="6" bestFit="1" customWidth="1"/>
    <col min="12808" max="12808" width="8.42578125" style="6" customWidth="1"/>
    <col min="12809" max="12809" width="14.42578125" style="6" bestFit="1" customWidth="1"/>
    <col min="12810" max="12810" width="16.140625" style="6" bestFit="1" customWidth="1"/>
    <col min="12811" max="12811" width="14.42578125" style="6" bestFit="1" customWidth="1"/>
    <col min="12812" max="12812" width="13.42578125" style="6" customWidth="1"/>
    <col min="12813" max="12813" width="14.7109375" style="6" bestFit="1" customWidth="1"/>
    <col min="12814" max="12814" width="14.28515625" style="6" bestFit="1" customWidth="1"/>
    <col min="12815" max="12815" width="14.28515625" style="6" customWidth="1"/>
    <col min="12816" max="12816" width="14" style="6" bestFit="1" customWidth="1"/>
    <col min="12817" max="12817" width="11.5703125" style="6" bestFit="1" customWidth="1"/>
    <col min="12818" max="12818" width="13.85546875" style="6" bestFit="1" customWidth="1"/>
    <col min="12819" max="13056" width="11.42578125" style="6"/>
    <col min="13057" max="13057" width="20.28515625" style="6" customWidth="1"/>
    <col min="13058" max="13058" width="21.7109375" style="6" customWidth="1"/>
    <col min="13059" max="13059" width="22" style="6" customWidth="1"/>
    <col min="13060" max="13060" width="17.140625" style="6" customWidth="1"/>
    <col min="13061" max="13061" width="21.42578125" style="6" customWidth="1"/>
    <col min="13062" max="13062" width="19.5703125" style="6" customWidth="1"/>
    <col min="13063" max="13063" width="14.140625" style="6" bestFit="1" customWidth="1"/>
    <col min="13064" max="13064" width="8.42578125" style="6" customWidth="1"/>
    <col min="13065" max="13065" width="14.42578125" style="6" bestFit="1" customWidth="1"/>
    <col min="13066" max="13066" width="16.140625" style="6" bestFit="1" customWidth="1"/>
    <col min="13067" max="13067" width="14.42578125" style="6" bestFit="1" customWidth="1"/>
    <col min="13068" max="13068" width="13.42578125" style="6" customWidth="1"/>
    <col min="13069" max="13069" width="14.7109375" style="6" bestFit="1" customWidth="1"/>
    <col min="13070" max="13070" width="14.28515625" style="6" bestFit="1" customWidth="1"/>
    <col min="13071" max="13071" width="14.28515625" style="6" customWidth="1"/>
    <col min="13072" max="13072" width="14" style="6" bestFit="1" customWidth="1"/>
    <col min="13073" max="13073" width="11.5703125" style="6" bestFit="1" customWidth="1"/>
    <col min="13074" max="13074" width="13.85546875" style="6" bestFit="1" customWidth="1"/>
    <col min="13075" max="13312" width="11.42578125" style="6"/>
    <col min="13313" max="13313" width="20.28515625" style="6" customWidth="1"/>
    <col min="13314" max="13314" width="21.7109375" style="6" customWidth="1"/>
    <col min="13315" max="13315" width="22" style="6" customWidth="1"/>
    <col min="13316" max="13316" width="17.140625" style="6" customWidth="1"/>
    <col min="13317" max="13317" width="21.42578125" style="6" customWidth="1"/>
    <col min="13318" max="13318" width="19.5703125" style="6" customWidth="1"/>
    <col min="13319" max="13319" width="14.140625" style="6" bestFit="1" customWidth="1"/>
    <col min="13320" max="13320" width="8.42578125" style="6" customWidth="1"/>
    <col min="13321" max="13321" width="14.42578125" style="6" bestFit="1" customWidth="1"/>
    <col min="13322" max="13322" width="16.140625" style="6" bestFit="1" customWidth="1"/>
    <col min="13323" max="13323" width="14.42578125" style="6" bestFit="1" customWidth="1"/>
    <col min="13324" max="13324" width="13.42578125" style="6" customWidth="1"/>
    <col min="13325" max="13325" width="14.7109375" style="6" bestFit="1" customWidth="1"/>
    <col min="13326" max="13326" width="14.28515625" style="6" bestFit="1" customWidth="1"/>
    <col min="13327" max="13327" width="14.28515625" style="6" customWidth="1"/>
    <col min="13328" max="13328" width="14" style="6" bestFit="1" customWidth="1"/>
    <col min="13329" max="13329" width="11.5703125" style="6" bestFit="1" customWidth="1"/>
    <col min="13330" max="13330" width="13.85546875" style="6" bestFit="1" customWidth="1"/>
    <col min="13331" max="13568" width="11.42578125" style="6"/>
    <col min="13569" max="13569" width="20.28515625" style="6" customWidth="1"/>
    <col min="13570" max="13570" width="21.7109375" style="6" customWidth="1"/>
    <col min="13571" max="13571" width="22" style="6" customWidth="1"/>
    <col min="13572" max="13572" width="17.140625" style="6" customWidth="1"/>
    <col min="13573" max="13573" width="21.42578125" style="6" customWidth="1"/>
    <col min="13574" max="13574" width="19.5703125" style="6" customWidth="1"/>
    <col min="13575" max="13575" width="14.140625" style="6" bestFit="1" customWidth="1"/>
    <col min="13576" max="13576" width="8.42578125" style="6" customWidth="1"/>
    <col min="13577" max="13577" width="14.42578125" style="6" bestFit="1" customWidth="1"/>
    <col min="13578" max="13578" width="16.140625" style="6" bestFit="1" customWidth="1"/>
    <col min="13579" max="13579" width="14.42578125" style="6" bestFit="1" customWidth="1"/>
    <col min="13580" max="13580" width="13.42578125" style="6" customWidth="1"/>
    <col min="13581" max="13581" width="14.7109375" style="6" bestFit="1" customWidth="1"/>
    <col min="13582" max="13582" width="14.28515625" style="6" bestFit="1" customWidth="1"/>
    <col min="13583" max="13583" width="14.28515625" style="6" customWidth="1"/>
    <col min="13584" max="13584" width="14" style="6" bestFit="1" customWidth="1"/>
    <col min="13585" max="13585" width="11.5703125" style="6" bestFit="1" customWidth="1"/>
    <col min="13586" max="13586" width="13.85546875" style="6" bestFit="1" customWidth="1"/>
    <col min="13587" max="13824" width="11.42578125" style="6"/>
    <col min="13825" max="13825" width="20.28515625" style="6" customWidth="1"/>
    <col min="13826" max="13826" width="21.7109375" style="6" customWidth="1"/>
    <col min="13827" max="13827" width="22" style="6" customWidth="1"/>
    <col min="13828" max="13828" width="17.140625" style="6" customWidth="1"/>
    <col min="13829" max="13829" width="21.42578125" style="6" customWidth="1"/>
    <col min="13830" max="13830" width="19.5703125" style="6" customWidth="1"/>
    <col min="13831" max="13831" width="14.140625" style="6" bestFit="1" customWidth="1"/>
    <col min="13832" max="13832" width="8.42578125" style="6" customWidth="1"/>
    <col min="13833" max="13833" width="14.42578125" style="6" bestFit="1" customWidth="1"/>
    <col min="13834" max="13834" width="16.140625" style="6" bestFit="1" customWidth="1"/>
    <col min="13835" max="13835" width="14.42578125" style="6" bestFit="1" customWidth="1"/>
    <col min="13836" max="13836" width="13.42578125" style="6" customWidth="1"/>
    <col min="13837" max="13837" width="14.7109375" style="6" bestFit="1" customWidth="1"/>
    <col min="13838" max="13838" width="14.28515625" style="6" bestFit="1" customWidth="1"/>
    <col min="13839" max="13839" width="14.28515625" style="6" customWidth="1"/>
    <col min="13840" max="13840" width="14" style="6" bestFit="1" customWidth="1"/>
    <col min="13841" max="13841" width="11.5703125" style="6" bestFit="1" customWidth="1"/>
    <col min="13842" max="13842" width="13.85546875" style="6" bestFit="1" customWidth="1"/>
    <col min="13843" max="14080" width="11.42578125" style="6"/>
    <col min="14081" max="14081" width="20.28515625" style="6" customWidth="1"/>
    <col min="14082" max="14082" width="21.7109375" style="6" customWidth="1"/>
    <col min="14083" max="14083" width="22" style="6" customWidth="1"/>
    <col min="14084" max="14084" width="17.140625" style="6" customWidth="1"/>
    <col min="14085" max="14085" width="21.42578125" style="6" customWidth="1"/>
    <col min="14086" max="14086" width="19.5703125" style="6" customWidth="1"/>
    <col min="14087" max="14087" width="14.140625" style="6" bestFit="1" customWidth="1"/>
    <col min="14088" max="14088" width="8.42578125" style="6" customWidth="1"/>
    <col min="14089" max="14089" width="14.42578125" style="6" bestFit="1" customWidth="1"/>
    <col min="14090" max="14090" width="16.140625" style="6" bestFit="1" customWidth="1"/>
    <col min="14091" max="14091" width="14.42578125" style="6" bestFit="1" customWidth="1"/>
    <col min="14092" max="14092" width="13.42578125" style="6" customWidth="1"/>
    <col min="14093" max="14093" width="14.7109375" style="6" bestFit="1" customWidth="1"/>
    <col min="14094" max="14094" width="14.28515625" style="6" bestFit="1" customWidth="1"/>
    <col min="14095" max="14095" width="14.28515625" style="6" customWidth="1"/>
    <col min="14096" max="14096" width="14" style="6" bestFit="1" customWidth="1"/>
    <col min="14097" max="14097" width="11.5703125" style="6" bestFit="1" customWidth="1"/>
    <col min="14098" max="14098" width="13.85546875" style="6" bestFit="1" customWidth="1"/>
    <col min="14099" max="14336" width="11.42578125" style="6"/>
    <col min="14337" max="14337" width="20.28515625" style="6" customWidth="1"/>
    <col min="14338" max="14338" width="21.7109375" style="6" customWidth="1"/>
    <col min="14339" max="14339" width="22" style="6" customWidth="1"/>
    <col min="14340" max="14340" width="17.140625" style="6" customWidth="1"/>
    <col min="14341" max="14341" width="21.42578125" style="6" customWidth="1"/>
    <col min="14342" max="14342" width="19.5703125" style="6" customWidth="1"/>
    <col min="14343" max="14343" width="14.140625" style="6" bestFit="1" customWidth="1"/>
    <col min="14344" max="14344" width="8.42578125" style="6" customWidth="1"/>
    <col min="14345" max="14345" width="14.42578125" style="6" bestFit="1" customWidth="1"/>
    <col min="14346" max="14346" width="16.140625" style="6" bestFit="1" customWidth="1"/>
    <col min="14347" max="14347" width="14.42578125" style="6" bestFit="1" customWidth="1"/>
    <col min="14348" max="14348" width="13.42578125" style="6" customWidth="1"/>
    <col min="14349" max="14349" width="14.7109375" style="6" bestFit="1" customWidth="1"/>
    <col min="14350" max="14350" width="14.28515625" style="6" bestFit="1" customWidth="1"/>
    <col min="14351" max="14351" width="14.28515625" style="6" customWidth="1"/>
    <col min="14352" max="14352" width="14" style="6" bestFit="1" customWidth="1"/>
    <col min="14353" max="14353" width="11.5703125" style="6" bestFit="1" customWidth="1"/>
    <col min="14354" max="14354" width="13.85546875" style="6" bestFit="1" customWidth="1"/>
    <col min="14355" max="14592" width="11.42578125" style="6"/>
    <col min="14593" max="14593" width="20.28515625" style="6" customWidth="1"/>
    <col min="14594" max="14594" width="21.7109375" style="6" customWidth="1"/>
    <col min="14595" max="14595" width="22" style="6" customWidth="1"/>
    <col min="14596" max="14596" width="17.140625" style="6" customWidth="1"/>
    <col min="14597" max="14597" width="21.42578125" style="6" customWidth="1"/>
    <col min="14598" max="14598" width="19.5703125" style="6" customWidth="1"/>
    <col min="14599" max="14599" width="14.140625" style="6" bestFit="1" customWidth="1"/>
    <col min="14600" max="14600" width="8.42578125" style="6" customWidth="1"/>
    <col min="14601" max="14601" width="14.42578125" style="6" bestFit="1" customWidth="1"/>
    <col min="14602" max="14602" width="16.140625" style="6" bestFit="1" customWidth="1"/>
    <col min="14603" max="14603" width="14.42578125" style="6" bestFit="1" customWidth="1"/>
    <col min="14604" max="14604" width="13.42578125" style="6" customWidth="1"/>
    <col min="14605" max="14605" width="14.7109375" style="6" bestFit="1" customWidth="1"/>
    <col min="14606" max="14606" width="14.28515625" style="6" bestFit="1" customWidth="1"/>
    <col min="14607" max="14607" width="14.28515625" style="6" customWidth="1"/>
    <col min="14608" max="14608" width="14" style="6" bestFit="1" customWidth="1"/>
    <col min="14609" max="14609" width="11.5703125" style="6" bestFit="1" customWidth="1"/>
    <col min="14610" max="14610" width="13.85546875" style="6" bestFit="1" customWidth="1"/>
    <col min="14611" max="14848" width="11.42578125" style="6"/>
    <col min="14849" max="14849" width="20.28515625" style="6" customWidth="1"/>
    <col min="14850" max="14850" width="21.7109375" style="6" customWidth="1"/>
    <col min="14851" max="14851" width="22" style="6" customWidth="1"/>
    <col min="14852" max="14852" width="17.140625" style="6" customWidth="1"/>
    <col min="14853" max="14853" width="21.42578125" style="6" customWidth="1"/>
    <col min="14854" max="14854" width="19.5703125" style="6" customWidth="1"/>
    <col min="14855" max="14855" width="14.140625" style="6" bestFit="1" customWidth="1"/>
    <col min="14856" max="14856" width="8.42578125" style="6" customWidth="1"/>
    <col min="14857" max="14857" width="14.42578125" style="6" bestFit="1" customWidth="1"/>
    <col min="14858" max="14858" width="16.140625" style="6" bestFit="1" customWidth="1"/>
    <col min="14859" max="14859" width="14.42578125" style="6" bestFit="1" customWidth="1"/>
    <col min="14860" max="14860" width="13.42578125" style="6" customWidth="1"/>
    <col min="14861" max="14861" width="14.7109375" style="6" bestFit="1" customWidth="1"/>
    <col min="14862" max="14862" width="14.28515625" style="6" bestFit="1" customWidth="1"/>
    <col min="14863" max="14863" width="14.28515625" style="6" customWidth="1"/>
    <col min="14864" max="14864" width="14" style="6" bestFit="1" customWidth="1"/>
    <col min="14865" max="14865" width="11.5703125" style="6" bestFit="1" customWidth="1"/>
    <col min="14866" max="14866" width="13.85546875" style="6" bestFit="1" customWidth="1"/>
    <col min="14867" max="15104" width="11.42578125" style="6"/>
    <col min="15105" max="15105" width="20.28515625" style="6" customWidth="1"/>
    <col min="15106" max="15106" width="21.7109375" style="6" customWidth="1"/>
    <col min="15107" max="15107" width="22" style="6" customWidth="1"/>
    <col min="15108" max="15108" width="17.140625" style="6" customWidth="1"/>
    <col min="15109" max="15109" width="21.42578125" style="6" customWidth="1"/>
    <col min="15110" max="15110" width="19.5703125" style="6" customWidth="1"/>
    <col min="15111" max="15111" width="14.140625" style="6" bestFit="1" customWidth="1"/>
    <col min="15112" max="15112" width="8.42578125" style="6" customWidth="1"/>
    <col min="15113" max="15113" width="14.42578125" style="6" bestFit="1" customWidth="1"/>
    <col min="15114" max="15114" width="16.140625" style="6" bestFit="1" customWidth="1"/>
    <col min="15115" max="15115" width="14.42578125" style="6" bestFit="1" customWidth="1"/>
    <col min="15116" max="15116" width="13.42578125" style="6" customWidth="1"/>
    <col min="15117" max="15117" width="14.7109375" style="6" bestFit="1" customWidth="1"/>
    <col min="15118" max="15118" width="14.28515625" style="6" bestFit="1" customWidth="1"/>
    <col min="15119" max="15119" width="14.28515625" style="6" customWidth="1"/>
    <col min="15120" max="15120" width="14" style="6" bestFit="1" customWidth="1"/>
    <col min="15121" max="15121" width="11.5703125" style="6" bestFit="1" customWidth="1"/>
    <col min="15122" max="15122" width="13.85546875" style="6" bestFit="1" customWidth="1"/>
    <col min="15123" max="15360" width="11.42578125" style="6"/>
    <col min="15361" max="15361" width="20.28515625" style="6" customWidth="1"/>
    <col min="15362" max="15362" width="21.7109375" style="6" customWidth="1"/>
    <col min="15363" max="15363" width="22" style="6" customWidth="1"/>
    <col min="15364" max="15364" width="17.140625" style="6" customWidth="1"/>
    <col min="15365" max="15365" width="21.42578125" style="6" customWidth="1"/>
    <col min="15366" max="15366" width="19.5703125" style="6" customWidth="1"/>
    <col min="15367" max="15367" width="14.140625" style="6" bestFit="1" customWidth="1"/>
    <col min="15368" max="15368" width="8.42578125" style="6" customWidth="1"/>
    <col min="15369" max="15369" width="14.42578125" style="6" bestFit="1" customWidth="1"/>
    <col min="15370" max="15370" width="16.140625" style="6" bestFit="1" customWidth="1"/>
    <col min="15371" max="15371" width="14.42578125" style="6" bestFit="1" customWidth="1"/>
    <col min="15372" max="15372" width="13.42578125" style="6" customWidth="1"/>
    <col min="15373" max="15373" width="14.7109375" style="6" bestFit="1" customWidth="1"/>
    <col min="15374" max="15374" width="14.28515625" style="6" bestFit="1" customWidth="1"/>
    <col min="15375" max="15375" width="14.28515625" style="6" customWidth="1"/>
    <col min="15376" max="15376" width="14" style="6" bestFit="1" customWidth="1"/>
    <col min="15377" max="15377" width="11.5703125" style="6" bestFit="1" customWidth="1"/>
    <col min="15378" max="15378" width="13.85546875" style="6" bestFit="1" customWidth="1"/>
    <col min="15379" max="15616" width="11.42578125" style="6"/>
    <col min="15617" max="15617" width="20.28515625" style="6" customWidth="1"/>
    <col min="15618" max="15618" width="21.7109375" style="6" customWidth="1"/>
    <col min="15619" max="15619" width="22" style="6" customWidth="1"/>
    <col min="15620" max="15620" width="17.140625" style="6" customWidth="1"/>
    <col min="15621" max="15621" width="21.42578125" style="6" customWidth="1"/>
    <col min="15622" max="15622" width="19.5703125" style="6" customWidth="1"/>
    <col min="15623" max="15623" width="14.140625" style="6" bestFit="1" customWidth="1"/>
    <col min="15624" max="15624" width="8.42578125" style="6" customWidth="1"/>
    <col min="15625" max="15625" width="14.42578125" style="6" bestFit="1" customWidth="1"/>
    <col min="15626" max="15626" width="16.140625" style="6" bestFit="1" customWidth="1"/>
    <col min="15627" max="15627" width="14.42578125" style="6" bestFit="1" customWidth="1"/>
    <col min="15628" max="15628" width="13.42578125" style="6" customWidth="1"/>
    <col min="15629" max="15629" width="14.7109375" style="6" bestFit="1" customWidth="1"/>
    <col min="15630" max="15630" width="14.28515625" style="6" bestFit="1" customWidth="1"/>
    <col min="15631" max="15631" width="14.28515625" style="6" customWidth="1"/>
    <col min="15632" max="15632" width="14" style="6" bestFit="1" customWidth="1"/>
    <col min="15633" max="15633" width="11.5703125" style="6" bestFit="1" customWidth="1"/>
    <col min="15634" max="15634" width="13.85546875" style="6" bestFit="1" customWidth="1"/>
    <col min="15635" max="15872" width="11.42578125" style="6"/>
    <col min="15873" max="15873" width="20.28515625" style="6" customWidth="1"/>
    <col min="15874" max="15874" width="21.7109375" style="6" customWidth="1"/>
    <col min="15875" max="15875" width="22" style="6" customWidth="1"/>
    <col min="15876" max="15876" width="17.140625" style="6" customWidth="1"/>
    <col min="15877" max="15877" width="21.42578125" style="6" customWidth="1"/>
    <col min="15878" max="15878" width="19.5703125" style="6" customWidth="1"/>
    <col min="15879" max="15879" width="14.140625" style="6" bestFit="1" customWidth="1"/>
    <col min="15880" max="15880" width="8.42578125" style="6" customWidth="1"/>
    <col min="15881" max="15881" width="14.42578125" style="6" bestFit="1" customWidth="1"/>
    <col min="15882" max="15882" width="16.140625" style="6" bestFit="1" customWidth="1"/>
    <col min="15883" max="15883" width="14.42578125" style="6" bestFit="1" customWidth="1"/>
    <col min="15884" max="15884" width="13.42578125" style="6" customWidth="1"/>
    <col min="15885" max="15885" width="14.7109375" style="6" bestFit="1" customWidth="1"/>
    <col min="15886" max="15886" width="14.28515625" style="6" bestFit="1" customWidth="1"/>
    <col min="15887" max="15887" width="14.28515625" style="6" customWidth="1"/>
    <col min="15888" max="15888" width="14" style="6" bestFit="1" customWidth="1"/>
    <col min="15889" max="15889" width="11.5703125" style="6" bestFit="1" customWidth="1"/>
    <col min="15890" max="15890" width="13.85546875" style="6" bestFit="1" customWidth="1"/>
    <col min="15891" max="16128" width="11.42578125" style="6"/>
    <col min="16129" max="16129" width="20.28515625" style="6" customWidth="1"/>
    <col min="16130" max="16130" width="21.7109375" style="6" customWidth="1"/>
    <col min="16131" max="16131" width="22" style="6" customWidth="1"/>
    <col min="16132" max="16132" width="17.140625" style="6" customWidth="1"/>
    <col min="16133" max="16133" width="21.42578125" style="6" customWidth="1"/>
    <col min="16134" max="16134" width="19.5703125" style="6" customWidth="1"/>
    <col min="16135" max="16135" width="14.140625" style="6" bestFit="1" customWidth="1"/>
    <col min="16136" max="16136" width="8.42578125" style="6" customWidth="1"/>
    <col min="16137" max="16137" width="14.42578125" style="6" bestFit="1" customWidth="1"/>
    <col min="16138" max="16138" width="16.140625" style="6" bestFit="1" customWidth="1"/>
    <col min="16139" max="16139" width="14.42578125" style="6" bestFit="1" customWidth="1"/>
    <col min="16140" max="16140" width="13.42578125" style="6" customWidth="1"/>
    <col min="16141" max="16141" width="14.7109375" style="6" bestFit="1" customWidth="1"/>
    <col min="16142" max="16142" width="14.28515625" style="6" bestFit="1" customWidth="1"/>
    <col min="16143" max="16143" width="14.28515625" style="6" customWidth="1"/>
    <col min="16144" max="16144" width="14" style="6" bestFit="1" customWidth="1"/>
    <col min="16145" max="16145" width="11.5703125" style="6" bestFit="1" customWidth="1"/>
    <col min="16146" max="16146" width="13.85546875" style="6" bestFit="1" customWidth="1"/>
    <col min="16147" max="16384" width="11.42578125" style="6"/>
  </cols>
  <sheetData>
    <row r="1" spans="1:29" s="13" customFormat="1" ht="8.25" customHeight="1" thickBot="1" x14ac:dyDescent="0.25">
      <c r="A1" s="3"/>
      <c r="B1" s="4"/>
      <c r="C1" s="3"/>
      <c r="D1" s="5"/>
      <c r="E1" s="6"/>
      <c r="F1" s="6"/>
      <c r="G1" s="7"/>
      <c r="H1" s="7"/>
      <c r="I1" s="7"/>
      <c r="J1" s="7"/>
      <c r="K1" s="8"/>
      <c r="L1" s="9"/>
      <c r="M1" s="9"/>
      <c r="N1" s="10"/>
      <c r="O1" s="10"/>
      <c r="P1" s="11"/>
      <c r="Q1" s="10"/>
      <c r="R1" s="10"/>
      <c r="S1" s="10"/>
      <c r="T1" s="12"/>
      <c r="U1" s="12"/>
      <c r="V1" s="12"/>
      <c r="W1" s="12"/>
      <c r="X1" s="12"/>
      <c r="Y1" s="12"/>
      <c r="Z1" s="12"/>
      <c r="AA1" s="12"/>
      <c r="AB1" s="12"/>
    </row>
    <row r="2" spans="1:29" ht="19.5" customHeight="1" thickBot="1" x14ac:dyDescent="0.25">
      <c r="A2" s="385" t="s">
        <v>11</v>
      </c>
      <c r="B2" s="386"/>
      <c r="C2" s="386"/>
      <c r="D2" s="386"/>
      <c r="E2" s="386"/>
      <c r="F2" s="386"/>
      <c r="G2" s="386"/>
      <c r="H2" s="386"/>
      <c r="I2" s="387"/>
      <c r="J2" s="14"/>
      <c r="K2" s="8"/>
      <c r="L2" s="15"/>
      <c r="M2" s="15"/>
      <c r="N2" s="16"/>
      <c r="O2" s="16"/>
      <c r="P2" s="17"/>
      <c r="Q2" s="16"/>
      <c r="R2" s="16"/>
      <c r="S2" s="16"/>
      <c r="T2" s="16"/>
      <c r="U2" s="16"/>
      <c r="V2" s="16"/>
      <c r="W2" s="18"/>
      <c r="X2" s="18"/>
      <c r="Y2" s="18"/>
      <c r="Z2" s="18"/>
      <c r="AA2" s="18"/>
      <c r="AB2" s="18"/>
      <c r="AC2" s="18"/>
    </row>
    <row r="3" spans="1:29" ht="18.75" customHeight="1" x14ac:dyDescent="0.2">
      <c r="A3" s="388" t="s">
        <v>128</v>
      </c>
      <c r="B3" s="388"/>
      <c r="C3" s="388"/>
      <c r="D3" s="388"/>
      <c r="E3" s="388"/>
      <c r="F3" s="388"/>
      <c r="G3" s="388"/>
      <c r="H3" s="388"/>
      <c r="I3" s="388"/>
      <c r="J3" s="14"/>
      <c r="K3" s="8"/>
      <c r="L3" s="15"/>
      <c r="M3" s="15"/>
      <c r="N3" s="16"/>
      <c r="O3" s="16"/>
      <c r="P3" s="17"/>
      <c r="Q3" s="16"/>
      <c r="R3" s="16"/>
      <c r="S3" s="16"/>
      <c r="T3" s="16"/>
      <c r="U3" s="16"/>
      <c r="V3" s="16"/>
      <c r="W3" s="18"/>
      <c r="X3" s="18"/>
      <c r="Y3" s="18"/>
      <c r="Z3" s="18"/>
      <c r="AA3" s="18"/>
      <c r="AB3" s="18"/>
      <c r="AC3" s="18"/>
    </row>
    <row r="4" spans="1:29" ht="12.75" customHeight="1" x14ac:dyDescent="0.2">
      <c r="A4" s="51"/>
      <c r="B4" s="19"/>
      <c r="C4" s="9"/>
      <c r="D4" s="9"/>
      <c r="E4" s="20"/>
      <c r="F4" s="21"/>
      <c r="G4" s="22"/>
      <c r="H4" s="23"/>
      <c r="I4" s="23"/>
      <c r="J4" s="24"/>
      <c r="K4" s="25"/>
      <c r="N4" s="16"/>
      <c r="O4" s="16"/>
      <c r="P4" s="88"/>
      <c r="Q4" s="16"/>
      <c r="R4" s="16"/>
      <c r="S4" s="21"/>
      <c r="U4" s="26"/>
      <c r="V4" s="26"/>
      <c r="W4" s="18"/>
      <c r="X4" s="26"/>
      <c r="Y4" s="27"/>
      <c r="Z4" s="18"/>
      <c r="AA4" s="18"/>
      <c r="AB4" s="18"/>
      <c r="AC4" s="18"/>
    </row>
    <row r="5" spans="1:29" x14ac:dyDescent="0.2">
      <c r="A5" s="28" t="s">
        <v>12</v>
      </c>
      <c r="B5" s="29"/>
      <c r="C5" s="30" t="s">
        <v>13</v>
      </c>
      <c r="D5" s="30" t="s">
        <v>14</v>
      </c>
      <c r="E5" s="31"/>
      <c r="F5" s="32"/>
      <c r="G5" s="32"/>
      <c r="H5" s="32"/>
      <c r="I5" s="23"/>
      <c r="J5" s="32"/>
      <c r="N5" s="16"/>
      <c r="O5" s="16"/>
      <c r="P5" s="16"/>
      <c r="Q5" s="16"/>
      <c r="R5" s="16"/>
      <c r="S5" s="21"/>
      <c r="U5" s="26"/>
      <c r="V5" s="26"/>
      <c r="W5" s="18"/>
      <c r="X5" s="26"/>
      <c r="Y5" s="27"/>
      <c r="Z5" s="18"/>
      <c r="AA5" s="18"/>
      <c r="AB5" s="18"/>
      <c r="AC5" s="18"/>
    </row>
    <row r="6" spans="1:29" x14ac:dyDescent="0.2">
      <c r="B6" s="33"/>
      <c r="C6" s="34" t="s">
        <v>15</v>
      </c>
      <c r="D6" s="34" t="s">
        <v>16</v>
      </c>
      <c r="E6" s="35" t="s">
        <v>5</v>
      </c>
      <c r="F6" s="32"/>
      <c r="G6" s="32"/>
      <c r="H6" s="32"/>
      <c r="I6" s="23"/>
      <c r="J6" s="9"/>
      <c r="N6" s="16"/>
      <c r="O6" s="16"/>
      <c r="P6" s="16"/>
      <c r="Q6" s="16"/>
      <c r="R6" s="16"/>
      <c r="S6" s="21"/>
      <c r="U6" s="26"/>
      <c r="V6" s="26"/>
      <c r="W6" s="18"/>
      <c r="X6" s="26"/>
      <c r="Y6" s="18"/>
      <c r="Z6" s="18"/>
      <c r="AA6" s="18"/>
      <c r="AB6" s="18"/>
      <c r="AC6" s="18"/>
    </row>
    <row r="7" spans="1:29" ht="12.75" customHeight="1" x14ac:dyDescent="0.2">
      <c r="B7" s="36" t="s">
        <v>17</v>
      </c>
      <c r="C7" s="365">
        <f>B64</f>
        <v>51</v>
      </c>
      <c r="D7" s="37">
        <f>E7-C7</f>
        <v>139394041</v>
      </c>
      <c r="E7" s="38">
        <f>C64</f>
        <v>139394092</v>
      </c>
      <c r="F7" s="32"/>
      <c r="G7" s="32"/>
      <c r="H7" s="32"/>
      <c r="I7" s="23"/>
      <c r="J7" s="9"/>
      <c r="N7" s="16"/>
      <c r="O7" s="16"/>
      <c r="P7" s="16"/>
      <c r="Q7" s="16"/>
      <c r="R7" s="16"/>
      <c r="S7" s="21"/>
      <c r="U7" s="26"/>
      <c r="V7" s="26"/>
      <c r="W7" s="18"/>
      <c r="X7" s="26"/>
      <c r="Y7" s="18"/>
      <c r="Z7" s="18"/>
      <c r="AA7" s="18"/>
      <c r="AB7" s="18"/>
      <c r="AC7" s="18"/>
    </row>
    <row r="8" spans="1:29" ht="12.75" customHeight="1" x14ac:dyDescent="0.2">
      <c r="B8" s="36" t="s">
        <v>18</v>
      </c>
      <c r="C8" s="365">
        <f>B65</f>
        <v>122</v>
      </c>
      <c r="D8" s="37">
        <f>E8-C8</f>
        <v>233113378</v>
      </c>
      <c r="E8" s="38">
        <f>C65</f>
        <v>233113500</v>
      </c>
      <c r="F8" s="32"/>
      <c r="G8" s="32"/>
      <c r="H8" s="32"/>
      <c r="I8" s="23"/>
      <c r="J8" s="39"/>
      <c r="L8" s="40"/>
      <c r="N8" s="16"/>
      <c r="O8" s="16"/>
      <c r="P8" s="16"/>
      <c r="Q8" s="16"/>
      <c r="R8" s="16"/>
      <c r="S8" s="21"/>
      <c r="U8" s="26"/>
      <c r="V8" s="26"/>
      <c r="W8" s="18"/>
      <c r="X8" s="26"/>
      <c r="Y8" s="18"/>
      <c r="Z8" s="18"/>
      <c r="AA8" s="18"/>
      <c r="AB8" s="18"/>
      <c r="AC8" s="18"/>
    </row>
    <row r="9" spans="1:29" x14ac:dyDescent="0.2">
      <c r="B9" s="41" t="s">
        <v>5</v>
      </c>
      <c r="C9" s="42">
        <f>SUM(C7:C8)</f>
        <v>173</v>
      </c>
      <c r="D9" s="43">
        <f>SUM(D7:D8)</f>
        <v>372507419</v>
      </c>
      <c r="E9" s="44">
        <f>SUM(E7:E8)</f>
        <v>372507592</v>
      </c>
      <c r="F9" s="32"/>
      <c r="G9" s="32"/>
      <c r="H9" s="32"/>
      <c r="I9" s="9"/>
      <c r="J9" s="9"/>
      <c r="L9" s="40"/>
      <c r="O9" s="45"/>
      <c r="P9" s="46"/>
      <c r="Q9" s="46"/>
      <c r="R9" s="46"/>
      <c r="S9" s="26"/>
      <c r="U9" s="26"/>
      <c r="V9" s="26"/>
      <c r="W9" s="18"/>
      <c r="X9" s="26"/>
      <c r="Y9" s="18"/>
      <c r="Z9" s="18"/>
      <c r="AA9" s="18"/>
      <c r="AB9" s="18"/>
      <c r="AC9" s="18"/>
    </row>
    <row r="10" spans="1:29" ht="12.75" hidden="1" customHeight="1" x14ac:dyDescent="0.2">
      <c r="B10" s="47"/>
      <c r="C10" s="48"/>
      <c r="D10" s="49"/>
      <c r="E10" s="49"/>
      <c r="G10" s="50"/>
      <c r="H10" s="9"/>
      <c r="I10" s="9"/>
      <c r="J10" s="9"/>
      <c r="L10" s="40"/>
      <c r="O10" s="45"/>
      <c r="P10" s="46"/>
      <c r="Q10" s="46"/>
      <c r="R10" s="46"/>
      <c r="S10" s="26"/>
      <c r="U10" s="26"/>
      <c r="V10" s="26"/>
      <c r="W10" s="18"/>
      <c r="X10" s="26"/>
      <c r="Y10" s="18"/>
      <c r="Z10" s="18"/>
      <c r="AA10" s="18"/>
      <c r="AB10" s="18"/>
      <c r="AC10" s="18"/>
    </row>
    <row r="11" spans="1:29" s="13" customFormat="1" ht="14.25" hidden="1" customHeight="1" x14ac:dyDescent="0.25">
      <c r="A11" s="51" t="s">
        <v>19</v>
      </c>
      <c r="B11" s="52"/>
      <c r="C11" s="53"/>
      <c r="D11" s="10"/>
      <c r="E11" s="40"/>
      <c r="F11" s="54"/>
      <c r="G11" s="40"/>
      <c r="H11" s="55"/>
      <c r="I11" s="40"/>
      <c r="L11" s="54"/>
      <c r="O11" s="10"/>
      <c r="P11" s="56"/>
      <c r="Q11" s="56"/>
      <c r="R11" s="56"/>
      <c r="S11" s="10"/>
      <c r="T11" s="10"/>
      <c r="U11" s="10"/>
      <c r="V11" s="10"/>
    </row>
    <row r="12" spans="1:29" s="13" customFormat="1" ht="12.75" hidden="1" customHeight="1" x14ac:dyDescent="0.2">
      <c r="A12" s="6" t="s">
        <v>20</v>
      </c>
      <c r="B12" s="52"/>
      <c r="C12" s="53"/>
      <c r="D12" s="10"/>
      <c r="E12" s="40"/>
      <c r="F12" s="54"/>
      <c r="G12" s="40"/>
      <c r="H12" s="55"/>
      <c r="I12" s="40"/>
      <c r="J12" s="57"/>
      <c r="O12" s="10"/>
      <c r="P12" s="11"/>
      <c r="Q12" s="11"/>
      <c r="R12" s="11"/>
      <c r="S12" s="10"/>
      <c r="T12" s="10"/>
      <c r="U12" s="10"/>
      <c r="V12" s="10"/>
    </row>
    <row r="13" spans="1:29" s="13" customFormat="1" ht="45" hidden="1" customHeight="1" x14ac:dyDescent="0.2">
      <c r="A13" s="58" t="s">
        <v>21</v>
      </c>
      <c r="B13" s="58" t="s">
        <v>22</v>
      </c>
      <c r="C13" s="58" t="s">
        <v>23</v>
      </c>
      <c r="D13" s="58" t="s">
        <v>24</v>
      </c>
      <c r="E13" s="58" t="s">
        <v>25</v>
      </c>
      <c r="F13" s="58" t="s">
        <v>26</v>
      </c>
      <c r="G13" s="58" t="s">
        <v>27</v>
      </c>
      <c r="H13" s="58" t="s">
        <v>28</v>
      </c>
      <c r="I13" s="40"/>
      <c r="J13" s="59" t="s">
        <v>29</v>
      </c>
      <c r="K13" s="60" t="s">
        <v>30</v>
      </c>
      <c r="L13" s="60" t="s">
        <v>31</v>
      </c>
      <c r="O13" s="10"/>
      <c r="P13" s="10"/>
      <c r="Q13" s="10"/>
      <c r="R13" s="10"/>
      <c r="S13" s="10"/>
      <c r="T13" s="10"/>
      <c r="U13" s="10"/>
      <c r="V13" s="10"/>
    </row>
    <row r="14" spans="1:29" s="13" customFormat="1" ht="12.75" hidden="1" customHeight="1" x14ac:dyDescent="0.2">
      <c r="A14" s="61">
        <f>LN((C7/E7)/(C8/E8))</f>
        <v>-0.35797506837903209</v>
      </c>
      <c r="B14" s="61">
        <f>SQRT((D7/(C7*E7)+(D8/(C8*E8))))</f>
        <v>0.16674697294124793</v>
      </c>
      <c r="C14" s="62">
        <f>NORMSINV(1-(0.05/2))</f>
        <v>1.9599639845400536</v>
      </c>
      <c r="D14" s="62">
        <f>A14-(C14*B14)</f>
        <v>-0.68479312987495289</v>
      </c>
      <c r="E14" s="63">
        <f>A14+(C14*B14)</f>
        <v>-3.1157006883111293E-2</v>
      </c>
      <c r="F14" s="64">
        <f>(C7/E7)/(C8/E8)</f>
        <v>0.69909050424872932</v>
      </c>
      <c r="G14" s="65">
        <f>EXP(D14)</f>
        <v>0.50419452157072986</v>
      </c>
      <c r="H14" s="66">
        <f>EXP(E14)</f>
        <v>0.96932337068676877</v>
      </c>
      <c r="I14" s="40"/>
      <c r="J14" s="67">
        <f>1-F14</f>
        <v>0.30090949575127068</v>
      </c>
      <c r="K14" s="68">
        <f>1-G14</f>
        <v>0.49580547842927014</v>
      </c>
      <c r="L14" s="68">
        <f>1-H14</f>
        <v>3.067662931323123E-2</v>
      </c>
      <c r="M14" s="69"/>
      <c r="O14" s="10"/>
      <c r="P14" s="10"/>
      <c r="Q14" s="10"/>
      <c r="R14" s="10"/>
      <c r="S14" s="10"/>
      <c r="T14" s="10"/>
      <c r="U14" s="10"/>
      <c r="V14" s="10"/>
    </row>
    <row r="15" spans="1:29" s="13" customFormat="1" ht="12.75" hidden="1" customHeight="1" x14ac:dyDescent="0.2">
      <c r="B15" s="52"/>
      <c r="C15" s="52"/>
      <c r="D15" s="52"/>
      <c r="E15" s="70"/>
      <c r="F15" s="71"/>
      <c r="G15" s="72"/>
      <c r="H15" s="73"/>
      <c r="I15" s="40"/>
      <c r="J15" s="54"/>
      <c r="K15" s="54"/>
      <c r="L15" s="54"/>
      <c r="O15" s="10"/>
      <c r="P15" s="10"/>
      <c r="Q15" s="10"/>
      <c r="R15" s="10"/>
      <c r="S15" s="10"/>
      <c r="T15" s="10"/>
      <c r="U15" s="10"/>
      <c r="V15" s="10"/>
    </row>
    <row r="16" spans="1:29" s="18" customFormat="1" ht="12.75" hidden="1" customHeight="1" x14ac:dyDescent="0.2">
      <c r="B16" s="74"/>
      <c r="C16" s="75"/>
      <c r="D16" s="76"/>
      <c r="E16" s="77"/>
      <c r="F16" s="78"/>
      <c r="G16" s="79"/>
      <c r="H16" s="80"/>
      <c r="I16" s="81"/>
      <c r="L16" s="82"/>
      <c r="M16" s="82"/>
    </row>
    <row r="17" spans="1:29" ht="12.75" hidden="1" customHeight="1" x14ac:dyDescent="0.2">
      <c r="A17" s="301" t="s">
        <v>32</v>
      </c>
      <c r="B17" s="83"/>
      <c r="C17" s="84"/>
      <c r="D17" s="85"/>
      <c r="E17" s="81"/>
      <c r="F17" s="81"/>
      <c r="G17" s="81"/>
      <c r="H17" s="86"/>
      <c r="I17" s="81"/>
      <c r="J17" s="18"/>
      <c r="K17" s="87"/>
      <c r="L17" s="10"/>
      <c r="M17" s="88"/>
      <c r="N17" s="88"/>
      <c r="O17" s="10"/>
      <c r="P17" s="10"/>
      <c r="Q17" s="89"/>
      <c r="R17" s="88"/>
      <c r="S17" s="90"/>
      <c r="T17" s="90"/>
      <c r="U17" s="90"/>
      <c r="V17" s="18"/>
      <c r="W17" s="18"/>
      <c r="X17" s="18"/>
      <c r="Y17" s="18"/>
      <c r="Z17" s="18"/>
      <c r="AA17" s="18"/>
      <c r="AB17" s="18"/>
    </row>
    <row r="18" spans="1:29" ht="12.75" hidden="1" customHeight="1" x14ac:dyDescent="0.2">
      <c r="A18" s="91" t="s">
        <v>33</v>
      </c>
      <c r="B18" s="92" t="s">
        <v>34</v>
      </c>
      <c r="C18" s="93"/>
      <c r="D18" s="94"/>
      <c r="E18" s="95"/>
      <c r="F18" s="95"/>
      <c r="G18" s="95"/>
      <c r="H18" s="96"/>
      <c r="I18" s="95"/>
      <c r="J18" s="97"/>
      <c r="K18" s="98"/>
      <c r="L18" s="99"/>
      <c r="M18" s="88"/>
      <c r="N18" s="10"/>
      <c r="O18" s="10"/>
      <c r="P18" s="89"/>
      <c r="Q18" s="88"/>
      <c r="R18" s="90"/>
      <c r="S18" s="90"/>
      <c r="T18" s="90"/>
      <c r="V18" s="18" t="s">
        <v>35</v>
      </c>
      <c r="W18" s="18"/>
      <c r="X18" s="18"/>
      <c r="Y18" s="18"/>
      <c r="Z18" s="18"/>
      <c r="AA18" s="18"/>
    </row>
    <row r="19" spans="1:29" ht="12.75" hidden="1" customHeight="1" x14ac:dyDescent="0.2">
      <c r="A19" s="100" t="s">
        <v>36</v>
      </c>
      <c r="B19" s="101" t="s">
        <v>37</v>
      </c>
      <c r="C19" s="102"/>
      <c r="D19" s="101" t="s">
        <v>38</v>
      </c>
      <c r="E19" s="101"/>
      <c r="F19" s="101" t="s">
        <v>39</v>
      </c>
      <c r="G19" s="101"/>
      <c r="H19" s="101" t="s">
        <v>40</v>
      </c>
      <c r="I19" s="103"/>
      <c r="J19" s="103"/>
      <c r="K19" s="103"/>
      <c r="L19" s="99"/>
      <c r="M19" s="18"/>
      <c r="O19" s="6"/>
      <c r="S19" s="18"/>
      <c r="U19" s="6"/>
      <c r="V19" s="6" t="s">
        <v>41</v>
      </c>
      <c r="X19" s="104"/>
      <c r="Y19" s="104"/>
      <c r="Z19" s="104"/>
      <c r="AA19" s="104"/>
      <c r="AB19" s="104"/>
      <c r="AC19" s="104"/>
    </row>
    <row r="20" spans="1:29" ht="38.25" hidden="1" customHeight="1" x14ac:dyDescent="0.25">
      <c r="A20" s="105" t="s">
        <v>42</v>
      </c>
      <c r="B20" s="105" t="s">
        <v>43</v>
      </c>
      <c r="C20" s="106" t="s">
        <v>44</v>
      </c>
      <c r="D20" s="106" t="s">
        <v>37</v>
      </c>
      <c r="E20" s="107" t="s">
        <v>38</v>
      </c>
      <c r="F20" s="106" t="s">
        <v>39</v>
      </c>
      <c r="G20" s="106" t="s">
        <v>40</v>
      </c>
      <c r="H20" s="108" t="s">
        <v>45</v>
      </c>
      <c r="I20" s="109" t="s">
        <v>46</v>
      </c>
      <c r="J20" s="110" t="s">
        <v>47</v>
      </c>
      <c r="K20" s="106" t="s">
        <v>48</v>
      </c>
      <c r="L20" s="111"/>
      <c r="M20" s="112"/>
      <c r="N20" s="302" t="s">
        <v>49</v>
      </c>
      <c r="O20" s="113" t="s">
        <v>50</v>
      </c>
      <c r="P20" s="114"/>
      <c r="Q20" s="115"/>
      <c r="R20" s="116"/>
      <c r="S20" s="116"/>
      <c r="T20" s="117"/>
      <c r="V20" s="118"/>
      <c r="W20" s="302" t="s">
        <v>129</v>
      </c>
      <c r="X20" s="113" t="s">
        <v>51</v>
      </c>
      <c r="Y20" s="119"/>
      <c r="Z20" s="119"/>
      <c r="AA20" s="119" t="s">
        <v>52</v>
      </c>
      <c r="AB20" s="119"/>
      <c r="AC20" s="120"/>
    </row>
    <row r="21" spans="1:29" ht="12.75" hidden="1" customHeight="1" x14ac:dyDescent="0.2">
      <c r="A21" s="121">
        <f>C7</f>
        <v>51</v>
      </c>
      <c r="B21" s="121">
        <f>E7</f>
        <v>139394092</v>
      </c>
      <c r="C21" s="122">
        <f>A21/B21</f>
        <v>3.6586916467019276E-7</v>
      </c>
      <c r="D21" s="123">
        <f>2*A21+H21^2</f>
        <v>105.84145882069413</v>
      </c>
      <c r="E21" s="123">
        <f>H21*SQRT((H21^2)+(4*A21*(1-C21)))</f>
        <v>28.256222652303315</v>
      </c>
      <c r="F21" s="124">
        <f>2*(B21+H21^2)</f>
        <v>278788191.68291765</v>
      </c>
      <c r="G21" s="125" t="s">
        <v>53</v>
      </c>
      <c r="H21" s="126">
        <f>-NORMSINV(2.5/100)</f>
        <v>1.9599639845400538</v>
      </c>
      <c r="I21" s="127">
        <f>C21</f>
        <v>3.6586916467019276E-7</v>
      </c>
      <c r="J21" s="128">
        <f>(D21-E21)/F21</f>
        <v>2.7829455652351702E-7</v>
      </c>
      <c r="K21" s="129">
        <f>(D21+E21)/F21</f>
        <v>4.8100201326143209E-7</v>
      </c>
      <c r="L21" s="111"/>
      <c r="M21" s="130">
        <f>E9/2</f>
        <v>186253796</v>
      </c>
      <c r="N21" s="32" t="s">
        <v>54</v>
      </c>
      <c r="O21" s="10"/>
      <c r="P21" s="89"/>
      <c r="Q21" s="88"/>
      <c r="R21" s="90"/>
      <c r="S21" s="90"/>
      <c r="T21" s="131"/>
      <c r="V21" s="132">
        <f>ABS(C21-C22)</f>
        <v>1.5748104885240461E-7</v>
      </c>
      <c r="W21" s="32" t="s">
        <v>55</v>
      </c>
      <c r="X21" s="10"/>
      <c r="Y21" s="32"/>
      <c r="Z21" s="32"/>
      <c r="AA21" s="32" t="s">
        <v>56</v>
      </c>
      <c r="AB21" s="32"/>
      <c r="AC21" s="133"/>
    </row>
    <row r="22" spans="1:29" ht="14.25" hidden="1" customHeight="1" x14ac:dyDescent="0.25">
      <c r="A22" s="121">
        <f>C8</f>
        <v>122</v>
      </c>
      <c r="B22" s="121">
        <f>E8</f>
        <v>233113500</v>
      </c>
      <c r="C22" s="122">
        <f>A22/B22</f>
        <v>5.2335021352259737E-7</v>
      </c>
      <c r="D22" s="123">
        <f>2*A22+H22^2</f>
        <v>247.84145882069413</v>
      </c>
      <c r="E22" s="123">
        <f>H22*SQRT((H22^2)+(4*A22*(1-C22)))</f>
        <v>43.467087885902984</v>
      </c>
      <c r="F22" s="124">
        <f>2*(B22+H22^2)</f>
        <v>466227007.68291765</v>
      </c>
      <c r="G22" s="125" t="s">
        <v>53</v>
      </c>
      <c r="H22" s="126">
        <f>-NORMSINV(2.5/100)</f>
        <v>1.9599639845400538</v>
      </c>
      <c r="I22" s="127">
        <f>C22</f>
        <v>5.2335021352259737E-7</v>
      </c>
      <c r="J22" s="128">
        <f>(D22-E22)/F22</f>
        <v>4.3835806928153496E-7</v>
      </c>
      <c r="K22" s="129">
        <f>(D22+E22)/F22</f>
        <v>6.2482126068663294E-7</v>
      </c>
      <c r="L22" s="111"/>
      <c r="M22" s="134">
        <f>I26</f>
        <v>1.5748104885240461E-7</v>
      </c>
      <c r="N22" s="32" t="s">
        <v>57</v>
      </c>
      <c r="O22" s="32"/>
      <c r="P22" s="32"/>
      <c r="Q22" s="32"/>
      <c r="R22" s="32"/>
      <c r="S22" s="32"/>
      <c r="T22" s="135"/>
      <c r="V22" s="136">
        <f>SQRT((C23*(1-C23)/B21)+(C23*(1-C23)/B22))</f>
        <v>7.2965414609728023E-8</v>
      </c>
      <c r="W22" s="137" t="s">
        <v>58</v>
      </c>
      <c r="X22" s="32"/>
      <c r="Y22" s="32"/>
      <c r="Z22" s="32"/>
      <c r="AA22" s="32"/>
      <c r="AB22" s="32"/>
      <c r="AC22" s="133"/>
    </row>
    <row r="23" spans="1:29" ht="12.75" hidden="1" customHeight="1" x14ac:dyDescent="0.2">
      <c r="A23" s="138">
        <f>A21+A22</f>
        <v>173</v>
      </c>
      <c r="B23" s="138">
        <f>B21+B22</f>
        <v>372507592</v>
      </c>
      <c r="C23" s="139">
        <f>A23/B23</f>
        <v>4.6442006475937811E-7</v>
      </c>
      <c r="D23" s="140"/>
      <c r="E23" s="140"/>
      <c r="F23" s="141"/>
      <c r="G23" s="142"/>
      <c r="H23" s="143"/>
      <c r="I23" s="144"/>
      <c r="J23" s="144"/>
      <c r="K23" s="144"/>
      <c r="L23" s="111"/>
      <c r="M23" s="145">
        <f>(A21+A22)/(B21+B22)</f>
        <v>4.6442006475937811E-7</v>
      </c>
      <c r="N23" s="32" t="s">
        <v>59</v>
      </c>
      <c r="O23" s="10"/>
      <c r="P23" s="89"/>
      <c r="Q23" s="88"/>
      <c r="R23" s="90"/>
      <c r="S23" s="90"/>
      <c r="T23" s="133"/>
      <c r="V23" s="146">
        <f>V21/V22</f>
        <v>2.1582971836003062</v>
      </c>
      <c r="W23" s="32" t="s">
        <v>60</v>
      </c>
      <c r="X23" s="10"/>
      <c r="Y23" s="32"/>
      <c r="Z23" s="32"/>
      <c r="AA23" s="32"/>
      <c r="AB23" s="32"/>
      <c r="AC23" s="133"/>
    </row>
    <row r="24" spans="1:29" ht="15" hidden="1" customHeight="1" x14ac:dyDescent="0.2">
      <c r="A24" s="101"/>
      <c r="B24" s="92" t="s">
        <v>61</v>
      </c>
      <c r="C24" s="101"/>
      <c r="D24" s="101"/>
      <c r="E24" s="95"/>
      <c r="F24" s="95"/>
      <c r="G24" s="95"/>
      <c r="H24" s="96"/>
      <c r="I24" s="95"/>
      <c r="J24" s="97"/>
      <c r="K24" s="101"/>
      <c r="L24" s="111"/>
      <c r="M24" s="147">
        <f>SQRT(M21*M22^2/(2*M23*(1-M23)))-H21</f>
        <v>0.27006486080021719</v>
      </c>
      <c r="N24" s="32" t="s">
        <v>130</v>
      </c>
      <c r="O24" s="32"/>
      <c r="P24" s="32"/>
      <c r="Q24" s="32"/>
      <c r="R24" s="32"/>
      <c r="S24" s="13"/>
      <c r="T24" s="131"/>
      <c r="V24" s="148">
        <f>NORMSDIST(-V23)</f>
        <v>1.545236678263062E-2</v>
      </c>
      <c r="W24" s="87" t="s">
        <v>62</v>
      </c>
      <c r="X24" s="32"/>
      <c r="Y24" s="13"/>
      <c r="Z24" s="13"/>
      <c r="AA24" s="13"/>
      <c r="AB24" s="13"/>
      <c r="AC24" s="135"/>
    </row>
    <row r="25" spans="1:29" ht="13.5" hidden="1" customHeight="1" thickBot="1" x14ac:dyDescent="0.25">
      <c r="A25" s="101"/>
      <c r="B25" s="92" t="s">
        <v>63</v>
      </c>
      <c r="C25" s="93"/>
      <c r="D25" s="94"/>
      <c r="E25" s="95"/>
      <c r="F25" s="95"/>
      <c r="I25" s="149"/>
      <c r="J25" s="149"/>
      <c r="K25" s="149"/>
      <c r="L25" s="111"/>
      <c r="M25" s="150">
        <f>NORMSDIST(M24)</f>
        <v>0.60644482250758558</v>
      </c>
      <c r="N25" s="87" t="s">
        <v>64</v>
      </c>
      <c r="O25" s="151"/>
      <c r="P25" s="32"/>
      <c r="Q25" s="32"/>
      <c r="R25" s="32"/>
      <c r="S25" s="32"/>
      <c r="T25" s="133"/>
      <c r="V25" s="152">
        <f>1-V24</f>
        <v>0.98454763321736938</v>
      </c>
      <c r="W25" s="153" t="s">
        <v>65</v>
      </c>
      <c r="X25" s="151"/>
      <c r="Y25" s="13"/>
      <c r="Z25" s="13"/>
      <c r="AA25" s="13"/>
      <c r="AB25" s="13"/>
      <c r="AC25" s="135"/>
    </row>
    <row r="26" spans="1:29" ht="15" hidden="1" customHeight="1" thickBot="1" x14ac:dyDescent="0.25">
      <c r="A26" s="301" t="s">
        <v>66</v>
      </c>
      <c r="B26" s="154"/>
      <c r="D26" s="93"/>
      <c r="E26" s="303" t="s">
        <v>67</v>
      </c>
      <c r="F26" s="101"/>
      <c r="G26" s="93"/>
      <c r="H26" s="155" t="s">
        <v>68</v>
      </c>
      <c r="I26" s="156">
        <f>C22-C21</f>
        <v>1.5748104885240461E-7</v>
      </c>
      <c r="J26" s="157">
        <f>I26-SQRT((C22-J22)^2+(K21-C21)^2)</f>
        <v>1.4375362706022566E-8</v>
      </c>
      <c r="K26" s="158">
        <f>I26+SQRT((C21-J21)^2+(K22-C22)^2)</f>
        <v>2.9151718354976796E-7</v>
      </c>
      <c r="L26" s="32"/>
      <c r="M26" s="159">
        <f>1-M25</f>
        <v>0.39355517749241442</v>
      </c>
      <c r="N26" s="160" t="s">
        <v>69</v>
      </c>
      <c r="O26" s="161"/>
      <c r="P26" s="162"/>
      <c r="Q26" s="161"/>
      <c r="R26" s="161"/>
      <c r="S26" s="161"/>
      <c r="T26" s="163"/>
      <c r="V26" s="164"/>
      <c r="W26" s="165"/>
      <c r="X26" s="161"/>
      <c r="Y26" s="165"/>
      <c r="Z26" s="165"/>
      <c r="AA26" s="165"/>
      <c r="AB26" s="165"/>
      <c r="AC26" s="166"/>
    </row>
    <row r="27" spans="1:29" ht="13.5" hidden="1" customHeight="1" thickBot="1" x14ac:dyDescent="0.25">
      <c r="C27" s="167"/>
      <c r="E27" s="168"/>
      <c r="H27" s="169" t="s">
        <v>70</v>
      </c>
      <c r="I27" s="170">
        <f>1/I26</f>
        <v>6349970.407786821</v>
      </c>
      <c r="J27" s="171">
        <f>1/J26</f>
        <v>69563462.185274079</v>
      </c>
      <c r="K27" s="172">
        <f>1/K26</f>
        <v>3430329.5189090613</v>
      </c>
      <c r="L27" s="49"/>
      <c r="N27" s="6"/>
      <c r="O27" s="6"/>
      <c r="T27" s="6"/>
      <c r="U27" s="6"/>
      <c r="V27" s="18"/>
      <c r="W27" s="18"/>
      <c r="X27" s="18"/>
      <c r="Y27" s="18"/>
      <c r="Z27" s="18"/>
      <c r="AA27" s="18"/>
      <c r="AB27" s="18"/>
    </row>
    <row r="28" spans="1:29" ht="14.25" hidden="1" customHeight="1" x14ac:dyDescent="0.25">
      <c r="A28" s="13"/>
      <c r="B28" s="173"/>
      <c r="C28" s="167"/>
      <c r="D28" s="174"/>
      <c r="I28" s="175"/>
      <c r="J28" s="176"/>
      <c r="K28" s="176"/>
      <c r="L28" s="177"/>
      <c r="M28" s="178"/>
      <c r="N28" s="179"/>
      <c r="O28" s="179" t="s">
        <v>58</v>
      </c>
      <c r="P28" s="180">
        <f>SQRT((C23*(1-C23)/B21)+(C23*(1-C23)/B22))</f>
        <v>7.2965414609728023E-8</v>
      </c>
      <c r="Q28" s="181"/>
      <c r="R28" s="181"/>
      <c r="S28" s="181"/>
      <c r="T28" s="120"/>
      <c r="U28" s="6"/>
    </row>
    <row r="29" spans="1:29" ht="12.75" hidden="1" customHeight="1" x14ac:dyDescent="0.2">
      <c r="A29" s="57"/>
      <c r="B29" s="57"/>
      <c r="C29" s="173"/>
      <c r="D29" s="174"/>
      <c r="E29" s="182"/>
      <c r="F29" s="183"/>
      <c r="G29" s="184" t="s">
        <v>71</v>
      </c>
      <c r="H29" s="304" t="s">
        <v>72</v>
      </c>
      <c r="I29" s="305">
        <f>I27</f>
        <v>6349970.407786821</v>
      </c>
      <c r="J29" s="305">
        <f>J27</f>
        <v>69563462.185274079</v>
      </c>
      <c r="K29" s="305">
        <f>K27</f>
        <v>3430329.5189090613</v>
      </c>
      <c r="L29" s="50"/>
      <c r="M29" s="185" t="s">
        <v>73</v>
      </c>
      <c r="N29" s="13"/>
      <c r="O29" s="32" t="s">
        <v>74</v>
      </c>
      <c r="P29" s="32"/>
      <c r="Q29" s="89"/>
      <c r="R29" s="186" t="s">
        <v>75</v>
      </c>
      <c r="S29" s="32"/>
      <c r="T29" s="133"/>
      <c r="U29" s="6"/>
    </row>
    <row r="30" spans="1:29" s="13" customFormat="1" ht="14.25" hidden="1" customHeight="1" x14ac:dyDescent="0.25">
      <c r="A30" s="40"/>
      <c r="B30" s="174"/>
      <c r="C30" s="174"/>
      <c r="D30" s="187"/>
      <c r="E30" s="188"/>
      <c r="F30" s="189"/>
      <c r="G30" s="190"/>
      <c r="H30" s="191" t="s">
        <v>76</v>
      </c>
      <c r="I30" s="192">
        <f>(1-C22)*I27</f>
        <v>6349967.0845284527</v>
      </c>
      <c r="J30" s="192">
        <f>(1-C22)*J27</f>
        <v>69563425.779221296</v>
      </c>
      <c r="K30" s="192">
        <f>(1-C22)*K27</f>
        <v>3430327.7236453751</v>
      </c>
      <c r="L30" s="6"/>
      <c r="M30" s="193"/>
      <c r="N30" s="194" t="s">
        <v>131</v>
      </c>
      <c r="P30" s="195" t="s">
        <v>77</v>
      </c>
      <c r="Q30" s="194" t="s">
        <v>132</v>
      </c>
      <c r="R30" s="32"/>
      <c r="S30" s="32"/>
      <c r="T30" s="135"/>
    </row>
    <row r="31" spans="1:29" s="13" customFormat="1" ht="14.25" hidden="1" customHeight="1" x14ac:dyDescent="0.25">
      <c r="B31" s="173"/>
      <c r="C31" s="173"/>
      <c r="D31" s="173"/>
      <c r="E31" s="196"/>
      <c r="F31" s="197"/>
      <c r="G31" s="198"/>
      <c r="H31" s="199" t="s">
        <v>78</v>
      </c>
      <c r="I31" s="200">
        <f>I27*I26</f>
        <v>1</v>
      </c>
      <c r="J31" s="200">
        <f>J27*J26</f>
        <v>1</v>
      </c>
      <c r="K31" s="200">
        <f>K27*K26</f>
        <v>1</v>
      </c>
      <c r="M31" s="147">
        <f>ABS((I26/P28))-H21</f>
        <v>0.19833319906025237</v>
      </c>
      <c r="N31" s="194" t="s">
        <v>79</v>
      </c>
      <c r="O31" s="32"/>
      <c r="P31" s="32"/>
      <c r="Q31" s="88"/>
      <c r="R31" s="90"/>
      <c r="S31" s="90"/>
      <c r="T31" s="131"/>
    </row>
    <row r="32" spans="1:29" s="13" customFormat="1" ht="12.75" hidden="1" customHeight="1" x14ac:dyDescent="0.2">
      <c r="A32" s="54"/>
      <c r="B32" s="201"/>
      <c r="D32" s="54"/>
      <c r="F32" s="202"/>
      <c r="G32" s="306"/>
      <c r="H32" s="203" t="s">
        <v>80</v>
      </c>
      <c r="I32" s="204">
        <f>(C22-I26)*I27</f>
        <v>2.3232583687774073</v>
      </c>
      <c r="J32" s="204">
        <f>(C22-J26)*J27</f>
        <v>35.406052788034323</v>
      </c>
      <c r="K32" s="204">
        <f>(C22-K26)*K27</f>
        <v>0.79526368617392595</v>
      </c>
      <c r="M32" s="150">
        <f>NORMSDIST(M31)</f>
        <v>0.57860781075863543</v>
      </c>
      <c r="N32" s="137" t="s">
        <v>81</v>
      </c>
      <c r="O32" s="151"/>
      <c r="P32" s="32"/>
      <c r="Q32" s="32"/>
      <c r="R32" s="32"/>
      <c r="S32" s="32"/>
      <c r="T32" s="135"/>
    </row>
    <row r="33" spans="1:21" s="13" customFormat="1" ht="12.75" hidden="1" customHeight="1" x14ac:dyDescent="0.2">
      <c r="A33" s="54"/>
      <c r="F33" s="205"/>
      <c r="G33" s="205"/>
      <c r="H33" s="205"/>
      <c r="I33" s="206"/>
      <c r="J33" s="206"/>
      <c r="K33" s="206"/>
      <c r="M33" s="159">
        <f>1-M32</f>
        <v>0.42139218924136457</v>
      </c>
      <c r="N33" s="161" t="s">
        <v>82</v>
      </c>
      <c r="O33" s="161"/>
      <c r="P33" s="162"/>
      <c r="Q33" s="207"/>
      <c r="R33" s="208"/>
      <c r="S33" s="208"/>
      <c r="T33" s="163"/>
    </row>
    <row r="34" spans="1:21" s="13" customFormat="1" ht="12.75" hidden="1" customHeight="1" x14ac:dyDescent="0.2">
      <c r="E34" s="209"/>
      <c r="F34" s="210"/>
      <c r="G34" s="184" t="s">
        <v>83</v>
      </c>
      <c r="H34" s="304" t="s">
        <v>84</v>
      </c>
      <c r="I34" s="305">
        <f>ABS(I27)</f>
        <v>6349970.407786821</v>
      </c>
      <c r="J34" s="305">
        <f>ABS(K27)</f>
        <v>3430329.5189090613</v>
      </c>
      <c r="K34" s="305">
        <f>ABS(J27)</f>
        <v>69563462.185274079</v>
      </c>
      <c r="M34" s="32"/>
      <c r="N34" s="32"/>
      <c r="O34" s="32"/>
      <c r="P34" s="32"/>
      <c r="Q34" s="32"/>
      <c r="R34" s="32"/>
      <c r="S34" s="32"/>
      <c r="T34" s="32"/>
      <c r="U34" s="32"/>
    </row>
    <row r="35" spans="1:21" s="13" customFormat="1" ht="13.5" hidden="1" customHeight="1" x14ac:dyDescent="0.2">
      <c r="F35" s="211"/>
      <c r="G35" s="212"/>
      <c r="H35" s="213" t="s">
        <v>76</v>
      </c>
      <c r="I35" s="192">
        <f>ABS((1-(C22-I26))*I27)</f>
        <v>6349968.0845284527</v>
      </c>
      <c r="J35" s="192">
        <f>ABS((1-(C22-K26))*K27)</f>
        <v>3430328.7236453751</v>
      </c>
      <c r="K35" s="192">
        <f>ABS((1-(C22-J26))*J27)</f>
        <v>69563426.779221296</v>
      </c>
      <c r="M35" s="32"/>
      <c r="N35" s="32"/>
      <c r="O35" s="32"/>
      <c r="P35" s="32"/>
      <c r="Q35" s="32"/>
      <c r="R35" s="32"/>
      <c r="S35" s="32"/>
      <c r="T35" s="32"/>
      <c r="U35" s="32"/>
    </row>
    <row r="36" spans="1:21" s="13" customFormat="1" ht="12.75" hidden="1" customHeight="1" x14ac:dyDescent="0.2">
      <c r="E36" s="214"/>
      <c r="F36" s="215"/>
      <c r="G36" s="216"/>
      <c r="H36" s="217" t="s">
        <v>85</v>
      </c>
      <c r="I36" s="218">
        <f>I27*I26</f>
        <v>1</v>
      </c>
      <c r="J36" s="219">
        <f>K27*K26</f>
        <v>1</v>
      </c>
      <c r="K36" s="219">
        <f>J27*J26</f>
        <v>1</v>
      </c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2.75" hidden="1" customHeight="1" x14ac:dyDescent="0.2">
      <c r="A37" s="307" t="s">
        <v>86</v>
      </c>
      <c r="B37" s="13"/>
      <c r="C37" s="13"/>
      <c r="D37" s="13"/>
      <c r="E37" s="205"/>
      <c r="F37" s="220"/>
      <c r="G37" s="308"/>
      <c r="H37" s="221" t="s">
        <v>87</v>
      </c>
      <c r="I37" s="204">
        <f>ABS(C22*I27)</f>
        <v>3.3232583687774073</v>
      </c>
      <c r="J37" s="204">
        <f>ABS(C22*K27)</f>
        <v>1.795263686173926</v>
      </c>
      <c r="K37" s="204">
        <f>ABS(C22*J27)</f>
        <v>36.406052788034316</v>
      </c>
      <c r="M37" s="32"/>
      <c r="N37" s="32"/>
      <c r="O37" s="32"/>
      <c r="P37" s="32"/>
      <c r="Q37" s="32"/>
      <c r="R37" s="32"/>
      <c r="S37" s="32"/>
      <c r="T37" s="32"/>
      <c r="U37" s="32"/>
    </row>
    <row r="38" spans="1:21" s="18" customFormat="1" ht="12.75" hidden="1" customHeight="1" x14ac:dyDescent="0.2">
      <c r="A38" s="6"/>
      <c r="B38" s="222" t="s">
        <v>13</v>
      </c>
      <c r="C38" s="223" t="s">
        <v>14</v>
      </c>
      <c r="D38" s="32"/>
      <c r="E38" s="205"/>
      <c r="F38" s="205"/>
      <c r="G38" s="40"/>
      <c r="H38" s="224"/>
      <c r="I38" s="225"/>
      <c r="J38" s="225"/>
      <c r="K38" s="225"/>
      <c r="M38" s="13"/>
      <c r="N38" s="13"/>
      <c r="O38" s="13"/>
      <c r="P38" s="13"/>
      <c r="Q38" s="13"/>
    </row>
    <row r="39" spans="1:21" ht="12.75" hidden="1" customHeight="1" x14ac:dyDescent="0.2">
      <c r="A39" s="226" t="s">
        <v>88</v>
      </c>
      <c r="B39" s="227" t="s">
        <v>15</v>
      </c>
      <c r="C39" s="228" t="s">
        <v>16</v>
      </c>
      <c r="D39" s="229" t="s">
        <v>5</v>
      </c>
      <c r="M39" s="13"/>
      <c r="N39" s="13"/>
      <c r="O39" s="13"/>
      <c r="P39" s="13"/>
      <c r="Q39" s="13"/>
      <c r="T39" s="6"/>
      <c r="U39" s="6"/>
    </row>
    <row r="40" spans="1:21" ht="12.75" hidden="1" customHeight="1" x14ac:dyDescent="0.2">
      <c r="A40" s="230" t="s">
        <v>89</v>
      </c>
      <c r="B40" s="231">
        <f>E7*C9/E9</f>
        <v>64.737413233714705</v>
      </c>
      <c r="C40" s="231">
        <f>E7*D9/E9</f>
        <v>139394027.26258674</v>
      </c>
      <c r="D40" s="231">
        <f>E7</f>
        <v>139394092</v>
      </c>
      <c r="F40" s="232"/>
      <c r="G40" s="233" t="s">
        <v>90</v>
      </c>
      <c r="H40" s="234">
        <f>CHIINV(0.05,J41)</f>
        <v>3.8414588206941236</v>
      </c>
      <c r="M40" s="13"/>
      <c r="N40" s="235"/>
      <c r="O40" s="235"/>
      <c r="P40" s="235"/>
      <c r="Q40" s="13"/>
      <c r="T40" s="6"/>
      <c r="U40" s="6"/>
    </row>
    <row r="41" spans="1:21" ht="12.75" hidden="1" customHeight="1" x14ac:dyDescent="0.2">
      <c r="A41" s="236" t="s">
        <v>91</v>
      </c>
      <c r="B41" s="231">
        <f>E8*C9/E9</f>
        <v>108.2625867662853</v>
      </c>
      <c r="C41" s="231">
        <f>E8*D9/E9</f>
        <v>233113391.73741323</v>
      </c>
      <c r="D41" s="231">
        <f>E8</f>
        <v>233113500</v>
      </c>
      <c r="E41" s="18"/>
      <c r="F41" s="237"/>
      <c r="G41" s="237"/>
      <c r="H41" s="183"/>
      <c r="I41" s="238" t="s">
        <v>92</v>
      </c>
      <c r="J41" s="239">
        <f>(COUNT(B40:C40)-1)*(COUNT(B40:B41)-1)</f>
        <v>1</v>
      </c>
      <c r="N41" s="235"/>
      <c r="O41" s="235"/>
      <c r="P41" s="235"/>
      <c r="Q41" s="13"/>
      <c r="T41" s="6"/>
      <c r="U41" s="6"/>
    </row>
    <row r="42" spans="1:21" ht="12.75" hidden="1" customHeight="1" x14ac:dyDescent="0.2">
      <c r="A42" s="93" t="s">
        <v>93</v>
      </c>
      <c r="B42" s="231">
        <f>SUM(B40:B41)</f>
        <v>173</v>
      </c>
      <c r="C42" s="231">
        <f>SUM(C40:C41)</f>
        <v>372507419</v>
      </c>
      <c r="D42" s="240">
        <f>SUM(D40:D41)</f>
        <v>372507592</v>
      </c>
      <c r="E42" s="18"/>
      <c r="F42" s="18"/>
      <c r="G42" s="241" t="s">
        <v>94</v>
      </c>
      <c r="H42" s="32" t="s">
        <v>95</v>
      </c>
      <c r="N42" s="235"/>
      <c r="O42" s="242"/>
      <c r="P42" s="235"/>
      <c r="Q42" s="13"/>
      <c r="T42" s="6"/>
      <c r="U42" s="6"/>
    </row>
    <row r="43" spans="1:21" ht="12.75" hidden="1" customHeight="1" x14ac:dyDescent="0.2">
      <c r="A43" s="93"/>
      <c r="B43" s="243"/>
      <c r="C43" s="243"/>
      <c r="D43" s="244"/>
      <c r="E43" s="18"/>
      <c r="F43" s="18"/>
      <c r="G43" s="241" t="s">
        <v>96</v>
      </c>
      <c r="H43" s="32" t="s">
        <v>97</v>
      </c>
      <c r="N43" s="245"/>
      <c r="O43" s="245"/>
      <c r="P43" s="245"/>
      <c r="Q43" s="13"/>
      <c r="T43" s="6"/>
      <c r="U43" s="6"/>
    </row>
    <row r="44" spans="1:21" ht="26.25" hidden="1" customHeight="1" x14ac:dyDescent="0.2">
      <c r="A44" s="246"/>
      <c r="B44" s="389" t="s">
        <v>98</v>
      </c>
      <c r="C44" s="390"/>
      <c r="F44" s="93"/>
      <c r="G44" s="247"/>
      <c r="H44" s="101"/>
      <c r="N44" s="6"/>
      <c r="O44" s="6"/>
      <c r="T44" s="6"/>
      <c r="U44" s="6"/>
    </row>
    <row r="45" spans="1:21" ht="12.75" hidden="1" customHeight="1" x14ac:dyDescent="0.2">
      <c r="A45" s="246"/>
      <c r="B45" s="248">
        <f>(C7-B40)^2/B40</f>
        <v>2.915107554151668</v>
      </c>
      <c r="C45" s="248">
        <f>(D7-C40)^2/C40</f>
        <v>1.3538350724884627E-6</v>
      </c>
      <c r="E45" s="226"/>
      <c r="F45" s="249"/>
      <c r="I45" s="13"/>
      <c r="J45" s="13"/>
      <c r="K45" s="250"/>
      <c r="N45" s="6"/>
      <c r="O45" s="6"/>
      <c r="T45" s="6"/>
      <c r="U45" s="6"/>
    </row>
    <row r="46" spans="1:21" ht="12.75" hidden="1" customHeight="1" x14ac:dyDescent="0.2">
      <c r="A46" s="246"/>
      <c r="B46" s="248">
        <f>(C8-B41)^2/B41</f>
        <v>1.7431370152020906</v>
      </c>
      <c r="C46" s="248">
        <f>(D8-C41)^2/C41</f>
        <v>8.0954818072942751E-7</v>
      </c>
      <c r="D46" s="25"/>
      <c r="E46" s="251" t="s">
        <v>99</v>
      </c>
      <c r="F46" s="252">
        <f>B48-H40</f>
        <v>0.81678791204288803</v>
      </c>
      <c r="I46" s="13"/>
      <c r="J46" s="13"/>
      <c r="N46" s="6"/>
      <c r="O46" s="6"/>
      <c r="T46" s="6"/>
      <c r="U46" s="6"/>
    </row>
    <row r="47" spans="1:21" ht="12.75" hidden="1" customHeight="1" x14ac:dyDescent="0.2">
      <c r="A47" s="32" t="s">
        <v>100</v>
      </c>
      <c r="C47" s="253"/>
      <c r="F47" s="101" t="s">
        <v>101</v>
      </c>
      <c r="I47" s="13"/>
      <c r="J47" s="13"/>
      <c r="N47" s="6"/>
      <c r="O47" s="6"/>
      <c r="T47" s="6"/>
      <c r="U47" s="6"/>
    </row>
    <row r="48" spans="1:21" ht="13.5" hidden="1" customHeight="1" x14ac:dyDescent="0.2">
      <c r="A48" s="241" t="s">
        <v>102</v>
      </c>
      <c r="B48" s="254">
        <f>SUM(B45:C46)</f>
        <v>4.6582467327370116</v>
      </c>
      <c r="C48" s="32"/>
      <c r="F48" s="101" t="s">
        <v>103</v>
      </c>
      <c r="H48" s="255"/>
      <c r="I48" s="13"/>
      <c r="J48" s="13"/>
      <c r="K48" s="256"/>
      <c r="N48" s="6"/>
      <c r="O48" s="6"/>
      <c r="T48" s="6"/>
      <c r="U48" s="6"/>
    </row>
    <row r="49" spans="1:21" ht="12.75" hidden="1" customHeight="1" x14ac:dyDescent="0.2">
      <c r="A49" s="257" t="s">
        <v>104</v>
      </c>
      <c r="B49" s="258">
        <f>CHIDIST(B48,1)</f>
        <v>3.0904733565261275E-2</v>
      </c>
      <c r="D49" s="32"/>
      <c r="E49" s="32"/>
      <c r="F49" s="32"/>
      <c r="G49" s="259"/>
      <c r="H49" s="32"/>
      <c r="I49" s="13"/>
      <c r="J49" s="13"/>
      <c r="K49" s="32"/>
      <c r="N49" s="6"/>
      <c r="O49" s="6"/>
      <c r="T49" s="6"/>
      <c r="U49" s="6"/>
    </row>
    <row r="50" spans="1:21" s="13" customFormat="1" ht="12.75" hidden="1" customHeight="1" x14ac:dyDescent="0.2">
      <c r="D50" s="260"/>
      <c r="E50" s="260"/>
      <c r="H50" s="261"/>
    </row>
    <row r="51" spans="1:21" ht="12.75" hidden="1" customHeight="1" x14ac:dyDescent="0.2">
      <c r="I51" s="13"/>
      <c r="J51" s="13"/>
      <c r="N51" s="6"/>
      <c r="O51" s="6"/>
      <c r="T51" s="6"/>
      <c r="U51" s="6"/>
    </row>
    <row r="52" spans="1:21" ht="13.5" hidden="1" customHeight="1" thickBot="1" x14ac:dyDescent="0.25">
      <c r="F52" s="175"/>
      <c r="I52" s="13"/>
      <c r="J52" s="13"/>
      <c r="N52" s="6"/>
      <c r="O52" s="6"/>
      <c r="T52" s="6"/>
      <c r="U52" s="6"/>
    </row>
    <row r="53" spans="1:21" ht="13.5" hidden="1" customHeight="1" thickBot="1" x14ac:dyDescent="0.25">
      <c r="A53" s="262" t="s">
        <v>105</v>
      </c>
      <c r="B53" s="263"/>
      <c r="C53" s="263"/>
      <c r="D53" s="264" t="s">
        <v>106</v>
      </c>
      <c r="E53" s="264" t="s">
        <v>107</v>
      </c>
      <c r="F53" s="264" t="s">
        <v>108</v>
      </c>
      <c r="G53" s="265"/>
      <c r="I53" s="13"/>
      <c r="J53" s="13"/>
      <c r="N53" s="6"/>
      <c r="O53" s="6"/>
      <c r="T53" s="6"/>
      <c r="U53" s="6"/>
    </row>
    <row r="54" spans="1:21" ht="12.75" hidden="1" customHeight="1" x14ac:dyDescent="0.2">
      <c r="A54" s="266" t="s">
        <v>109</v>
      </c>
      <c r="B54" s="267">
        <f>ROUND(E7,0)</f>
        <v>139394092</v>
      </c>
      <c r="C54" s="267">
        <f>ROUND(E8,0)</f>
        <v>233113500</v>
      </c>
      <c r="D54" s="268">
        <f>ROUND(F14,2)</f>
        <v>0.7</v>
      </c>
      <c r="E54" s="269">
        <f>ROUND(I26,5)</f>
        <v>0</v>
      </c>
      <c r="F54" s="270">
        <f>ROUND(I27,0)</f>
        <v>6349970</v>
      </c>
      <c r="G54" s="271"/>
      <c r="I54" s="13"/>
      <c r="J54" s="13"/>
      <c r="N54" s="6"/>
      <c r="O54" s="6"/>
      <c r="T54" s="6"/>
      <c r="U54" s="6"/>
    </row>
    <row r="55" spans="1:21" ht="12.75" hidden="1" customHeight="1" x14ac:dyDescent="0.2">
      <c r="A55" s="272" t="s">
        <v>110</v>
      </c>
      <c r="B55" s="267">
        <f>ROUND(C7,0)</f>
        <v>51</v>
      </c>
      <c r="C55" s="267">
        <f>ROUND(C8,0)</f>
        <v>122</v>
      </c>
      <c r="D55" s="268">
        <f>ROUND(G14,2)</f>
        <v>0.5</v>
      </c>
      <c r="E55" s="269">
        <f>ROUND(K26,4)</f>
        <v>0</v>
      </c>
      <c r="F55" s="270">
        <f>ROUND(J27,0)</f>
        <v>69563462</v>
      </c>
      <c r="G55" s="271"/>
      <c r="I55" s="13"/>
      <c r="J55" s="13"/>
      <c r="N55" s="6"/>
      <c r="O55" s="6"/>
      <c r="T55" s="6"/>
      <c r="U55" s="6"/>
    </row>
    <row r="56" spans="1:21" s="18" customFormat="1" ht="12.75" hidden="1" customHeight="1" x14ac:dyDescent="0.2">
      <c r="A56" s="272" t="s">
        <v>111</v>
      </c>
      <c r="B56" s="269">
        <f>ROUND(C21,7)</f>
        <v>3.9999999999999998E-7</v>
      </c>
      <c r="C56" s="269">
        <f>ROUND(C22,6)</f>
        <v>9.9999999999999995E-7</v>
      </c>
      <c r="D56" s="268">
        <f>ROUND(H14,2)</f>
        <v>0.97</v>
      </c>
      <c r="E56" s="269">
        <f>ROUND(J26,4)</f>
        <v>0</v>
      </c>
      <c r="F56" s="270">
        <f>ROUND(K27,0)</f>
        <v>3430330</v>
      </c>
      <c r="G56" s="273">
        <f>ROUND(M32,4)</f>
        <v>0.5786</v>
      </c>
      <c r="I56" s="274"/>
      <c r="J56" s="13"/>
    </row>
    <row r="57" spans="1:21" ht="12.75" hidden="1" customHeight="1" x14ac:dyDescent="0.2">
      <c r="A57" s="272" t="s">
        <v>112</v>
      </c>
      <c r="B57" s="275" t="s">
        <v>113</v>
      </c>
      <c r="C57" s="275" t="s">
        <v>114</v>
      </c>
      <c r="D57" s="275" t="s">
        <v>26</v>
      </c>
      <c r="E57" s="275" t="s">
        <v>115</v>
      </c>
      <c r="F57" s="276" t="s">
        <v>116</v>
      </c>
      <c r="G57" s="277" t="s">
        <v>117</v>
      </c>
      <c r="I57" s="274"/>
      <c r="J57" s="13"/>
    </row>
    <row r="58" spans="1:21" ht="12.75" hidden="1" customHeight="1" x14ac:dyDescent="0.2">
      <c r="A58" s="278" t="s">
        <v>118</v>
      </c>
      <c r="B58" s="279" t="str">
        <f>CONCATENATE(B55,A59,B54," ",A54,B56*100,A57,A56)</f>
        <v>51/139394092 (0,00004%)</v>
      </c>
      <c r="C58" s="279" t="str">
        <f>CONCATENATE(C55,A59,C54," ",A54,C56*100,A57,A56)</f>
        <v>122/233113500 (0,0001%)</v>
      </c>
      <c r="D58" s="279" t="str">
        <f>CONCATENATE(D54," ",A54,D55,A55,D56,A56)</f>
        <v>0,7 (0,5-0,97)</v>
      </c>
      <c r="E58" s="279" t="str">
        <f>CONCATENATE(E54*100,A57," ",A54,E55*100,A57," ",A58," ",E56*100,A57,A56)</f>
        <v>0% (0% a 0%)</v>
      </c>
      <c r="F58" s="279" t="str">
        <f>CONCATENATE(F54," ",A54,F55," ",A58," ",F56,A56)</f>
        <v>6349970 (69563462 a 3430330)</v>
      </c>
      <c r="G58" s="277" t="str">
        <f>CONCATENATE(G56*100,A57)</f>
        <v>57,86%</v>
      </c>
      <c r="I58" s="13"/>
      <c r="J58" s="13"/>
      <c r="N58" s="6"/>
      <c r="O58" s="6"/>
      <c r="T58" s="6"/>
      <c r="U58" s="6"/>
    </row>
    <row r="59" spans="1:21" ht="13.5" hidden="1" customHeight="1" thickBot="1" x14ac:dyDescent="0.25">
      <c r="A59" s="280" t="s">
        <v>119</v>
      </c>
      <c r="B59" s="281"/>
      <c r="C59" s="281"/>
      <c r="D59" s="281"/>
      <c r="E59" s="281"/>
      <c r="F59" s="281"/>
      <c r="G59" s="282"/>
      <c r="I59" s="13"/>
      <c r="J59" s="13"/>
      <c r="N59" s="6"/>
      <c r="O59" s="6"/>
      <c r="T59" s="6"/>
      <c r="U59" s="6"/>
    </row>
    <row r="60" spans="1:21" x14ac:dyDescent="0.2">
      <c r="K60" s="13"/>
      <c r="N60" s="6"/>
      <c r="O60" s="6"/>
      <c r="T60" s="6"/>
      <c r="U60" s="6"/>
    </row>
    <row r="61" spans="1:21" ht="27" customHeight="1" x14ac:dyDescent="0.2">
      <c r="B61" s="283" t="s">
        <v>113</v>
      </c>
      <c r="C61" s="283" t="s">
        <v>114</v>
      </c>
      <c r="D61" s="284" t="s">
        <v>120</v>
      </c>
      <c r="E61" s="284" t="s">
        <v>121</v>
      </c>
      <c r="F61" s="284" t="s">
        <v>122</v>
      </c>
      <c r="G61" s="284" t="s">
        <v>123</v>
      </c>
      <c r="H61" s="285"/>
      <c r="I61" s="284" t="s">
        <v>124</v>
      </c>
      <c r="K61" s="286"/>
      <c r="N61" s="6"/>
      <c r="O61" s="6"/>
      <c r="T61" s="6"/>
      <c r="U61" s="6"/>
    </row>
    <row r="62" spans="1:21" ht="21" customHeight="1" x14ac:dyDescent="0.2">
      <c r="B62" s="287" t="str">
        <f t="shared" ref="B62:G62" si="0">B58</f>
        <v>51/139394092 (0,00004%)</v>
      </c>
      <c r="C62" s="287" t="str">
        <f t="shared" si="0"/>
        <v>122/233113500 (0,0001%)</v>
      </c>
      <c r="D62" s="287" t="str">
        <f t="shared" si="0"/>
        <v>0,7 (0,5-0,97)</v>
      </c>
      <c r="E62" s="287" t="str">
        <f t="shared" si="0"/>
        <v>0% (0% a 0%)</v>
      </c>
      <c r="F62" s="287" t="str">
        <f t="shared" si="0"/>
        <v>6349970 (69563462 a 3430330)</v>
      </c>
      <c r="G62" s="287" t="str">
        <f t="shared" si="0"/>
        <v>57,86%</v>
      </c>
      <c r="H62" s="288"/>
      <c r="I62" s="289">
        <f>B49</f>
        <v>3.0904733565261275E-2</v>
      </c>
      <c r="K62" s="290"/>
      <c r="N62" s="6"/>
      <c r="O62" s="6"/>
      <c r="T62" s="6"/>
      <c r="U62" s="6"/>
    </row>
    <row r="64" spans="1:21" x14ac:dyDescent="0.2">
      <c r="A64" s="50" t="s">
        <v>125</v>
      </c>
      <c r="B64" s="293">
        <f>SUM(R108:T108)</f>
        <v>51</v>
      </c>
      <c r="C64" s="295">
        <f>SUM(R116:T116)</f>
        <v>139394092</v>
      </c>
      <c r="E64" s="50" t="s">
        <v>141</v>
      </c>
      <c r="F64" s="293">
        <f>R104</f>
        <v>4</v>
      </c>
      <c r="G64" s="295">
        <f>R112</f>
        <v>1805601</v>
      </c>
    </row>
    <row r="65" spans="1:22" x14ac:dyDescent="0.2">
      <c r="A65" s="50" t="s">
        <v>159</v>
      </c>
      <c r="B65" s="294">
        <f>SUM(M108:Q108)</f>
        <v>122</v>
      </c>
      <c r="C65" s="296">
        <f>SUM(M116:Q116)</f>
        <v>233113500</v>
      </c>
      <c r="E65" s="50" t="s">
        <v>159</v>
      </c>
      <c r="F65" s="370">
        <f>SUM(M104:Q104)</f>
        <v>26</v>
      </c>
      <c r="G65" s="296">
        <f>SUM(M112:Q112)</f>
        <v>9796673</v>
      </c>
      <c r="Q65" s="229" t="s">
        <v>157</v>
      </c>
      <c r="R65" s="229" t="s">
        <v>158</v>
      </c>
    </row>
    <row r="66" spans="1:22" x14ac:dyDescent="0.2">
      <c r="Q66" s="361">
        <v>41852</v>
      </c>
      <c r="R66" s="361">
        <v>42278</v>
      </c>
    </row>
    <row r="68" spans="1:22" s="310" customFormat="1" ht="19.5" customHeight="1" x14ac:dyDescent="0.2">
      <c r="A68" s="358" t="s">
        <v>9</v>
      </c>
      <c r="B68" s="1">
        <v>1999</v>
      </c>
      <c r="C68" s="1">
        <v>2000</v>
      </c>
      <c r="D68" s="1">
        <v>2001</v>
      </c>
      <c r="E68" s="1">
        <v>2002</v>
      </c>
      <c r="F68" s="1">
        <v>2003</v>
      </c>
      <c r="G68" s="1">
        <v>2004</v>
      </c>
      <c r="H68" s="1">
        <v>2005</v>
      </c>
      <c r="I68" s="1">
        <v>2006</v>
      </c>
      <c r="J68" s="1">
        <v>2007</v>
      </c>
      <c r="K68" s="1">
        <v>2008</v>
      </c>
      <c r="L68" s="1">
        <v>2009</v>
      </c>
      <c r="M68" s="350">
        <v>2010</v>
      </c>
      <c r="N68" s="350">
        <v>2011</v>
      </c>
      <c r="O68" s="350">
        <v>2012</v>
      </c>
      <c r="P68" s="350">
        <v>2013</v>
      </c>
      <c r="Q68" s="366">
        <v>2014</v>
      </c>
      <c r="R68" s="351">
        <v>2015</v>
      </c>
      <c r="S68" s="349">
        <v>2016</v>
      </c>
      <c r="T68" s="349">
        <v>2017</v>
      </c>
      <c r="U68" s="309"/>
      <c r="V68" s="309"/>
    </row>
    <row r="69" spans="1:22" s="310" customFormat="1" x14ac:dyDescent="0.2">
      <c r="A69" s="297" t="s">
        <v>2</v>
      </c>
      <c r="B69" s="353">
        <v>93</v>
      </c>
      <c r="C69" s="353">
        <v>85</v>
      </c>
      <c r="D69" s="353">
        <v>75</v>
      </c>
      <c r="E69" s="353">
        <v>96</v>
      </c>
      <c r="F69" s="353">
        <v>99</v>
      </c>
      <c r="G69" s="353">
        <v>117</v>
      </c>
      <c r="H69" s="353">
        <v>107</v>
      </c>
      <c r="I69" s="353">
        <v>106</v>
      </c>
      <c r="J69" s="353">
        <v>108</v>
      </c>
      <c r="K69" s="353">
        <v>115</v>
      </c>
      <c r="L69" s="353">
        <v>96</v>
      </c>
      <c r="M69" s="353">
        <v>63</v>
      </c>
      <c r="N69" s="353">
        <v>68</v>
      </c>
      <c r="O69" s="353">
        <v>52</v>
      </c>
      <c r="P69" s="353">
        <v>47</v>
      </c>
      <c r="Q69" s="355">
        <v>44</v>
      </c>
      <c r="R69" s="353">
        <v>37</v>
      </c>
      <c r="S69" s="353">
        <v>29</v>
      </c>
      <c r="T69" s="353">
        <v>25</v>
      </c>
      <c r="U69" s="309"/>
      <c r="V69" s="309"/>
    </row>
    <row r="70" spans="1:22" s="310" customFormat="1" x14ac:dyDescent="0.2">
      <c r="A70" s="297" t="s">
        <v>3</v>
      </c>
      <c r="B70" s="353">
        <v>164</v>
      </c>
      <c r="C70" s="353">
        <v>155</v>
      </c>
      <c r="D70" s="353">
        <v>128</v>
      </c>
      <c r="E70" s="353">
        <v>119</v>
      </c>
      <c r="F70" s="353">
        <v>124</v>
      </c>
      <c r="G70" s="353">
        <v>130</v>
      </c>
      <c r="H70" s="353">
        <v>152</v>
      </c>
      <c r="I70" s="353">
        <v>140</v>
      </c>
      <c r="J70" s="353">
        <v>150</v>
      </c>
      <c r="K70" s="353">
        <v>118</v>
      </c>
      <c r="L70" s="353">
        <v>123</v>
      </c>
      <c r="M70" s="353">
        <v>89</v>
      </c>
      <c r="N70" s="353">
        <v>88</v>
      </c>
      <c r="O70" s="353">
        <v>56</v>
      </c>
      <c r="P70" s="353">
        <v>54</v>
      </c>
      <c r="Q70" s="355">
        <v>31</v>
      </c>
      <c r="R70" s="353">
        <v>43</v>
      </c>
      <c r="S70" s="353">
        <v>41</v>
      </c>
      <c r="T70" s="353">
        <v>34</v>
      </c>
      <c r="U70" s="309"/>
      <c r="V70" s="309"/>
    </row>
    <row r="71" spans="1:22" s="310" customFormat="1" x14ac:dyDescent="0.2">
      <c r="A71" s="297" t="s">
        <v>4</v>
      </c>
      <c r="B71" s="353">
        <v>77</v>
      </c>
      <c r="C71" s="353">
        <v>85</v>
      </c>
      <c r="D71" s="353">
        <v>60</v>
      </c>
      <c r="E71" s="353">
        <v>56</v>
      </c>
      <c r="F71" s="353">
        <v>65</v>
      </c>
      <c r="G71" s="353">
        <v>48</v>
      </c>
      <c r="H71" s="353">
        <v>38</v>
      </c>
      <c r="I71" s="353">
        <v>46</v>
      </c>
      <c r="J71" s="353">
        <v>47</v>
      </c>
      <c r="K71" s="353">
        <v>41</v>
      </c>
      <c r="L71" s="353">
        <v>42</v>
      </c>
      <c r="M71" s="353">
        <v>27</v>
      </c>
      <c r="N71" s="353">
        <v>39</v>
      </c>
      <c r="O71" s="353">
        <v>16</v>
      </c>
      <c r="P71" s="353">
        <v>17</v>
      </c>
      <c r="Q71" s="355">
        <v>12</v>
      </c>
      <c r="R71" s="353">
        <v>13</v>
      </c>
      <c r="S71" s="353">
        <v>14</v>
      </c>
      <c r="T71" s="353">
        <v>3</v>
      </c>
      <c r="U71" s="309"/>
      <c r="V71" s="309"/>
    </row>
    <row r="72" spans="1:22" s="310" customFormat="1" x14ac:dyDescent="0.2">
      <c r="A72" s="297" t="s">
        <v>0</v>
      </c>
      <c r="B72" s="353">
        <v>35</v>
      </c>
      <c r="C72" s="353">
        <v>48</v>
      </c>
      <c r="D72" s="353">
        <v>24</v>
      </c>
      <c r="E72" s="353">
        <v>35</v>
      </c>
      <c r="F72" s="353">
        <v>47</v>
      </c>
      <c r="G72" s="353">
        <v>19</v>
      </c>
      <c r="H72" s="353">
        <v>21</v>
      </c>
      <c r="I72" s="353">
        <v>17</v>
      </c>
      <c r="J72" s="353">
        <v>22</v>
      </c>
      <c r="K72" s="353">
        <v>17</v>
      </c>
      <c r="L72" s="353">
        <v>25</v>
      </c>
      <c r="M72" s="353">
        <v>12</v>
      </c>
      <c r="N72" s="353">
        <v>11</v>
      </c>
      <c r="O72" s="353">
        <v>12</v>
      </c>
      <c r="P72" s="353">
        <v>6</v>
      </c>
      <c r="Q72" s="355">
        <v>4</v>
      </c>
      <c r="R72" s="353">
        <v>11</v>
      </c>
      <c r="S72" s="353">
        <v>7</v>
      </c>
      <c r="T72" s="353">
        <v>7</v>
      </c>
      <c r="U72" s="309"/>
      <c r="V72" s="309"/>
    </row>
    <row r="73" spans="1:22" s="310" customFormat="1" x14ac:dyDescent="0.2">
      <c r="A73" s="297" t="s">
        <v>8</v>
      </c>
      <c r="B73" s="353">
        <v>186</v>
      </c>
      <c r="C73" s="353">
        <v>177</v>
      </c>
      <c r="D73" s="353">
        <v>166</v>
      </c>
      <c r="E73" s="353">
        <v>215</v>
      </c>
      <c r="F73" s="353">
        <v>200</v>
      </c>
      <c r="G73" s="353">
        <v>175</v>
      </c>
      <c r="H73" s="353">
        <v>182</v>
      </c>
      <c r="I73" s="353">
        <v>178</v>
      </c>
      <c r="J73" s="353">
        <v>196</v>
      </c>
      <c r="K73" s="353">
        <v>158</v>
      </c>
      <c r="L73" s="353">
        <v>140</v>
      </c>
      <c r="M73" s="353">
        <v>107</v>
      </c>
      <c r="N73" s="353">
        <v>111</v>
      </c>
      <c r="O73" s="353">
        <v>78</v>
      </c>
      <c r="P73" s="353">
        <v>71</v>
      </c>
      <c r="Q73" s="355">
        <v>52</v>
      </c>
      <c r="R73" s="353">
        <v>77</v>
      </c>
      <c r="S73" s="353">
        <v>53</v>
      </c>
      <c r="T73" s="353">
        <v>74</v>
      </c>
      <c r="U73" s="309"/>
      <c r="V73" s="309"/>
    </row>
    <row r="74" spans="1:22" s="310" customFormat="1" x14ac:dyDescent="0.2">
      <c r="A74" s="298" t="s">
        <v>1</v>
      </c>
      <c r="B74" s="356">
        <v>555</v>
      </c>
      <c r="C74" s="356">
        <v>550</v>
      </c>
      <c r="D74" s="356">
        <v>453</v>
      </c>
      <c r="E74" s="356">
        <v>521</v>
      </c>
      <c r="F74" s="356">
        <v>535</v>
      </c>
      <c r="G74" s="356">
        <v>489</v>
      </c>
      <c r="H74" s="356">
        <v>500</v>
      </c>
      <c r="I74" s="356">
        <v>487</v>
      </c>
      <c r="J74" s="356">
        <v>523</v>
      </c>
      <c r="K74" s="356">
        <v>449</v>
      </c>
      <c r="L74" s="356">
        <v>426</v>
      </c>
      <c r="M74" s="356">
        <v>298</v>
      </c>
      <c r="N74" s="356">
        <v>317</v>
      </c>
      <c r="O74" s="356">
        <v>214</v>
      </c>
      <c r="P74" s="356">
        <v>195</v>
      </c>
      <c r="Q74" s="357">
        <v>143</v>
      </c>
      <c r="R74" s="356">
        <v>181</v>
      </c>
      <c r="S74" s="356">
        <v>144</v>
      </c>
      <c r="T74" s="356">
        <v>143</v>
      </c>
      <c r="U74" s="309"/>
      <c r="V74" s="309"/>
    </row>
    <row r="75" spans="1:22" s="310" customFormat="1" x14ac:dyDescent="0.2">
      <c r="A75" s="299"/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2"/>
      <c r="R75" s="311"/>
      <c r="S75" s="311"/>
      <c r="T75" s="311"/>
      <c r="U75" s="309"/>
      <c r="V75" s="309"/>
    </row>
    <row r="76" spans="1:22" s="310" customFormat="1" ht="17.25" customHeight="1" x14ac:dyDescent="0.2">
      <c r="A76" s="299" t="s">
        <v>7</v>
      </c>
      <c r="B76" s="1">
        <v>1999</v>
      </c>
      <c r="C76" s="1">
        <v>2000</v>
      </c>
      <c r="D76" s="1">
        <v>2001</v>
      </c>
      <c r="E76" s="1">
        <v>2002</v>
      </c>
      <c r="F76" s="1">
        <v>2003</v>
      </c>
      <c r="G76" s="1">
        <v>2004</v>
      </c>
      <c r="H76" s="1">
        <v>2005</v>
      </c>
      <c r="I76" s="1">
        <v>2006</v>
      </c>
      <c r="J76" s="1">
        <v>2007</v>
      </c>
      <c r="K76" s="1">
        <v>2008</v>
      </c>
      <c r="L76" s="1">
        <v>2009</v>
      </c>
      <c r="M76" s="350">
        <v>2010</v>
      </c>
      <c r="N76" s="350">
        <v>2011</v>
      </c>
      <c r="O76" s="350">
        <v>2012</v>
      </c>
      <c r="P76" s="350">
        <v>2013</v>
      </c>
      <c r="Q76" s="366">
        <v>2014</v>
      </c>
      <c r="R76" s="351">
        <v>2015</v>
      </c>
      <c r="S76" s="349">
        <v>2016</v>
      </c>
      <c r="T76" s="349">
        <v>2017</v>
      </c>
      <c r="U76" s="309"/>
      <c r="V76" s="309"/>
    </row>
    <row r="77" spans="1:22" s="310" customFormat="1" x14ac:dyDescent="0.2">
      <c r="A77" s="300" t="s">
        <v>2</v>
      </c>
      <c r="B77" s="313">
        <v>368312</v>
      </c>
      <c r="C77" s="313">
        <v>384770</v>
      </c>
      <c r="D77" s="313">
        <v>399013</v>
      </c>
      <c r="E77" s="313">
        <v>409528</v>
      </c>
      <c r="F77" s="313">
        <v>429164</v>
      </c>
      <c r="G77" s="313">
        <v>442766</v>
      </c>
      <c r="H77" s="313">
        <v>456379</v>
      </c>
      <c r="I77" s="313">
        <v>472007</v>
      </c>
      <c r="J77" s="313">
        <v>482498</v>
      </c>
      <c r="K77" s="313">
        <v>503134</v>
      </c>
      <c r="L77" s="313">
        <v>503462</v>
      </c>
      <c r="M77" s="313">
        <v>479828</v>
      </c>
      <c r="N77" s="313">
        <v>474723</v>
      </c>
      <c r="O77" s="313">
        <v>461971</v>
      </c>
      <c r="P77" s="313">
        <v>433416</v>
      </c>
      <c r="Q77" s="314">
        <v>420421</v>
      </c>
      <c r="R77" s="313">
        <v>418022</v>
      </c>
      <c r="S77" s="313">
        <v>410065</v>
      </c>
      <c r="T77" s="313">
        <v>395975</v>
      </c>
      <c r="U77" s="309"/>
      <c r="V77" s="309"/>
    </row>
    <row r="78" spans="1:22" s="310" customFormat="1" x14ac:dyDescent="0.2">
      <c r="A78" s="300" t="s">
        <v>3</v>
      </c>
      <c r="B78" s="313">
        <v>1465101</v>
      </c>
      <c r="C78" s="313">
        <v>1473375</v>
      </c>
      <c r="D78" s="313">
        <v>1501018</v>
      </c>
      <c r="E78" s="313">
        <v>1564622</v>
      </c>
      <c r="F78" s="313">
        <v>1635141</v>
      </c>
      <c r="G78" s="313">
        <v>1696743</v>
      </c>
      <c r="H78" s="313">
        <v>1757023</v>
      </c>
      <c r="I78" s="313">
        <v>1815244</v>
      </c>
      <c r="J78" s="313">
        <v>1880027</v>
      </c>
      <c r="K78" s="313">
        <v>1935748</v>
      </c>
      <c r="L78" s="313">
        <v>1980245</v>
      </c>
      <c r="M78" s="313">
        <v>2008793</v>
      </c>
      <c r="N78" s="313">
        <v>2008179</v>
      </c>
      <c r="O78" s="313">
        <v>1985572</v>
      </c>
      <c r="P78" s="313">
        <v>1932195</v>
      </c>
      <c r="Q78" s="314">
        <v>1861934</v>
      </c>
      <c r="R78" s="313">
        <v>1805601</v>
      </c>
      <c r="S78" s="313">
        <v>1760520</v>
      </c>
      <c r="T78" s="313">
        <v>1725458</v>
      </c>
      <c r="U78" s="309"/>
      <c r="V78" s="309"/>
    </row>
    <row r="79" spans="1:22" s="310" customFormat="1" x14ac:dyDescent="0.2">
      <c r="A79" s="300" t="s">
        <v>4</v>
      </c>
      <c r="B79" s="313">
        <v>1989936</v>
      </c>
      <c r="C79" s="313">
        <v>1953984</v>
      </c>
      <c r="D79" s="313">
        <v>1919207</v>
      </c>
      <c r="E79" s="313">
        <v>1912858</v>
      </c>
      <c r="F79" s="313">
        <v>1929243</v>
      </c>
      <c r="G79" s="313">
        <v>1957878</v>
      </c>
      <c r="H79" s="313">
        <v>2007941</v>
      </c>
      <c r="I79" s="313">
        <v>2074424</v>
      </c>
      <c r="J79" s="313">
        <v>2147007</v>
      </c>
      <c r="K79" s="313">
        <v>2219848</v>
      </c>
      <c r="L79" s="313">
        <v>2281638</v>
      </c>
      <c r="M79" s="313">
        <v>2327163</v>
      </c>
      <c r="N79" s="313">
        <v>2372351</v>
      </c>
      <c r="O79" s="313">
        <v>2419645</v>
      </c>
      <c r="P79" s="313">
        <v>2458823</v>
      </c>
      <c r="Q79" s="314">
        <v>2480574</v>
      </c>
      <c r="R79" s="313">
        <v>2479581</v>
      </c>
      <c r="S79" s="313">
        <v>2465837</v>
      </c>
      <c r="T79" s="313">
        <v>2438468</v>
      </c>
      <c r="U79" s="309"/>
      <c r="V79" s="309"/>
    </row>
    <row r="80" spans="1:22" s="310" customFormat="1" x14ac:dyDescent="0.2">
      <c r="A80" s="300" t="s">
        <v>0</v>
      </c>
      <c r="B80" s="313">
        <v>2204368</v>
      </c>
      <c r="C80" s="313">
        <v>2152902</v>
      </c>
      <c r="D80" s="313">
        <v>2114107</v>
      </c>
      <c r="E80" s="313">
        <v>2108403</v>
      </c>
      <c r="F80" s="313">
        <v>2116781</v>
      </c>
      <c r="G80" s="313">
        <v>2105809</v>
      </c>
      <c r="H80" s="313">
        <v>2090754</v>
      </c>
      <c r="I80" s="313">
        <v>2083098</v>
      </c>
      <c r="J80" s="313">
        <v>2086603</v>
      </c>
      <c r="K80" s="313">
        <v>2099082</v>
      </c>
      <c r="L80" s="313">
        <v>2118187</v>
      </c>
      <c r="M80" s="313">
        <v>2148479</v>
      </c>
      <c r="N80" s="313">
        <v>2184750</v>
      </c>
      <c r="O80" s="313">
        <v>2214818</v>
      </c>
      <c r="P80" s="313">
        <v>2246157</v>
      </c>
      <c r="Q80" s="314">
        <v>2286834</v>
      </c>
      <c r="R80" s="313">
        <v>2325139</v>
      </c>
      <c r="S80" s="313">
        <v>2368767</v>
      </c>
      <c r="T80" s="313">
        <v>2419816</v>
      </c>
      <c r="U80" s="309"/>
      <c r="V80" s="309"/>
    </row>
    <row r="81" spans="1:22" s="310" customFormat="1" x14ac:dyDescent="0.2">
      <c r="A81" s="300" t="s">
        <v>8</v>
      </c>
      <c r="B81" s="313">
        <v>34341971</v>
      </c>
      <c r="C81" s="313">
        <v>34589383</v>
      </c>
      <c r="D81" s="313">
        <v>34832704</v>
      </c>
      <c r="E81" s="313">
        <v>35428102</v>
      </c>
      <c r="F81" s="313">
        <v>36085896</v>
      </c>
      <c r="G81" s="313">
        <v>36655973</v>
      </c>
      <c r="H81" s="313">
        <v>37350532</v>
      </c>
      <c r="I81" s="313">
        <v>37915746</v>
      </c>
      <c r="J81" s="313">
        <v>38639875</v>
      </c>
      <c r="K81" s="313">
        <v>39225368</v>
      </c>
      <c r="L81" s="313">
        <v>39484016</v>
      </c>
      <c r="M81" s="313">
        <v>39598216</v>
      </c>
      <c r="N81" s="313">
        <v>39696250</v>
      </c>
      <c r="O81" s="313">
        <v>39684403</v>
      </c>
      <c r="P81" s="313">
        <v>39522640</v>
      </c>
      <c r="Q81" s="314">
        <v>39405365</v>
      </c>
      <c r="R81" s="313">
        <v>39381823</v>
      </c>
      <c r="S81" s="313">
        <v>39444693</v>
      </c>
      <c r="T81" s="313">
        <v>39554327</v>
      </c>
      <c r="U81" s="309"/>
      <c r="V81" s="309"/>
    </row>
    <row r="82" spans="1:22" s="318" customFormat="1" x14ac:dyDescent="0.2">
      <c r="A82" s="299" t="s">
        <v>1</v>
      </c>
      <c r="B82" s="315">
        <v>40369688</v>
      </c>
      <c r="C82" s="315">
        <v>40554414</v>
      </c>
      <c r="D82" s="315">
        <v>40766049</v>
      </c>
      <c r="E82" s="315">
        <v>41423513</v>
      </c>
      <c r="F82" s="315">
        <v>42196225</v>
      </c>
      <c r="G82" s="315">
        <v>42859169</v>
      </c>
      <c r="H82" s="315">
        <v>43662629</v>
      </c>
      <c r="I82" s="315">
        <v>44360519</v>
      </c>
      <c r="J82" s="315">
        <v>45236010</v>
      </c>
      <c r="K82" s="315">
        <v>45983180</v>
      </c>
      <c r="L82" s="315">
        <v>46367548</v>
      </c>
      <c r="M82" s="315">
        <v>46562479</v>
      </c>
      <c r="N82" s="315">
        <v>46736253</v>
      </c>
      <c r="O82" s="315">
        <v>46766409</v>
      </c>
      <c r="P82" s="315">
        <v>46593231</v>
      </c>
      <c r="Q82" s="316">
        <v>46455128</v>
      </c>
      <c r="R82" s="315">
        <v>46410166</v>
      </c>
      <c r="S82" s="315">
        <v>46449882</v>
      </c>
      <c r="T82" s="315">
        <v>46534044</v>
      </c>
      <c r="U82" s="317"/>
      <c r="V82" s="317"/>
    </row>
    <row r="83" spans="1:22" ht="13.5" thickBot="1" x14ac:dyDescent="0.25">
      <c r="T83" s="6"/>
    </row>
    <row r="84" spans="1:22" ht="25.5" x14ac:dyDescent="0.2">
      <c r="N84" s="375"/>
      <c r="O84" s="376"/>
      <c r="P84" s="376"/>
      <c r="Q84" s="376"/>
      <c r="R84" s="377" t="s">
        <v>212</v>
      </c>
      <c r="T84" s="6"/>
    </row>
    <row r="85" spans="1:22" ht="30" customHeight="1" x14ac:dyDescent="0.2">
      <c r="N85" s="391" t="s">
        <v>210</v>
      </c>
      <c r="O85" s="392"/>
      <c r="P85" s="392"/>
      <c r="Q85" s="392"/>
      <c r="R85" s="378">
        <v>6.9999999999999994E-5</v>
      </c>
      <c r="T85" s="374">
        <f>R85*100000</f>
        <v>6.9999999999999991</v>
      </c>
    </row>
    <row r="86" spans="1:22" ht="24" customHeight="1" x14ac:dyDescent="0.2">
      <c r="B86" s="320"/>
      <c r="C86" s="320"/>
      <c r="N86" s="381" t="s">
        <v>211</v>
      </c>
      <c r="O86" s="382"/>
      <c r="P86" s="382"/>
      <c r="Q86" s="382"/>
      <c r="R86" s="378">
        <f>R69/R77</f>
        <v>8.8512087880542167E-5</v>
      </c>
      <c r="S86" s="374"/>
      <c r="T86" s="374">
        <f>R86*100000</f>
        <v>8.8512087880542172</v>
      </c>
    </row>
    <row r="87" spans="1:22" ht="19.5" customHeight="1" thickBot="1" x14ac:dyDescent="0.25">
      <c r="A87" s="354" t="s">
        <v>134</v>
      </c>
      <c r="B87" s="352" t="s">
        <v>125</v>
      </c>
      <c r="C87" s="352" t="s">
        <v>159</v>
      </c>
      <c r="D87" s="284" t="s">
        <v>120</v>
      </c>
      <c r="E87" s="284" t="s">
        <v>121</v>
      </c>
      <c r="F87" s="284" t="s">
        <v>122</v>
      </c>
      <c r="G87" s="284" t="s">
        <v>123</v>
      </c>
      <c r="I87" s="284" t="s">
        <v>133</v>
      </c>
      <c r="N87" s="383" t="s">
        <v>209</v>
      </c>
      <c r="O87" s="384"/>
      <c r="P87" s="384"/>
      <c r="Q87" s="384"/>
      <c r="R87" s="379">
        <f>R86-R85</f>
        <v>1.8512087880542173E-5</v>
      </c>
      <c r="S87" s="360"/>
      <c r="T87" s="374">
        <f>R87*100000</f>
        <v>1.8512087880542174</v>
      </c>
    </row>
    <row r="88" spans="1:22" x14ac:dyDescent="0.2">
      <c r="A88" s="297" t="s">
        <v>2</v>
      </c>
      <c r="B88" s="321" t="s">
        <v>142</v>
      </c>
      <c r="C88" s="321" t="s">
        <v>161</v>
      </c>
      <c r="D88" s="321" t="s">
        <v>162</v>
      </c>
      <c r="E88" s="321" t="s">
        <v>163</v>
      </c>
      <c r="F88" s="368" t="s">
        <v>164</v>
      </c>
      <c r="G88" s="322">
        <v>0.98140000000000005</v>
      </c>
      <c r="I88" s="319">
        <v>5.2548282795718414E-5</v>
      </c>
    </row>
    <row r="89" spans="1:22" x14ac:dyDescent="0.2">
      <c r="A89" s="297" t="s">
        <v>3</v>
      </c>
      <c r="B89" s="321" t="s">
        <v>143</v>
      </c>
      <c r="C89" s="321" t="s">
        <v>165</v>
      </c>
      <c r="D89" s="321" t="s">
        <v>166</v>
      </c>
      <c r="E89" s="321" t="s">
        <v>127</v>
      </c>
      <c r="F89" s="368" t="s">
        <v>167</v>
      </c>
      <c r="G89" s="322">
        <v>0.93869999999999998</v>
      </c>
      <c r="I89" s="319">
        <v>4.5912537732247617E-4</v>
      </c>
    </row>
    <row r="90" spans="1:22" x14ac:dyDescent="0.2">
      <c r="A90" s="300" t="s">
        <v>4</v>
      </c>
      <c r="B90" s="321" t="s">
        <v>144</v>
      </c>
      <c r="C90" s="321" t="s">
        <v>168</v>
      </c>
      <c r="D90" s="321" t="s">
        <v>169</v>
      </c>
      <c r="E90" s="321" t="s">
        <v>127</v>
      </c>
      <c r="F90" s="368" t="s">
        <v>170</v>
      </c>
      <c r="G90" s="322">
        <v>0.98329999999999995</v>
      </c>
      <c r="I90" s="319">
        <v>4.3831991557406076E-5</v>
      </c>
    </row>
    <row r="91" spans="1:22" x14ac:dyDescent="0.2">
      <c r="A91" s="300" t="s">
        <v>0</v>
      </c>
      <c r="B91" s="321" t="s">
        <v>145</v>
      </c>
      <c r="C91" s="321" t="s">
        <v>171</v>
      </c>
      <c r="D91" s="321" t="s">
        <v>172</v>
      </c>
      <c r="E91" s="321" t="s">
        <v>126</v>
      </c>
      <c r="F91" s="321" t="s">
        <v>173</v>
      </c>
      <c r="G91" s="322">
        <v>8.3799999999999999E-2</v>
      </c>
      <c r="I91" s="319">
        <v>0.5618451135942133</v>
      </c>
    </row>
    <row r="92" spans="1:22" x14ac:dyDescent="0.2">
      <c r="A92" s="300" t="s">
        <v>8</v>
      </c>
      <c r="B92" s="321" t="s">
        <v>146</v>
      </c>
      <c r="C92" s="321" t="s">
        <v>174</v>
      </c>
      <c r="D92" s="321" t="s">
        <v>175</v>
      </c>
      <c r="E92" s="321" t="s">
        <v>126</v>
      </c>
      <c r="F92" s="368" t="s">
        <v>176</v>
      </c>
      <c r="G92" s="322">
        <v>0.67569999999999997</v>
      </c>
      <c r="I92" s="319">
        <v>1.571058375637115E-2</v>
      </c>
    </row>
    <row r="93" spans="1:22" ht="15.75" customHeight="1" x14ac:dyDescent="0.2">
      <c r="A93" s="299" t="s">
        <v>1</v>
      </c>
      <c r="B93" s="291" t="s">
        <v>147</v>
      </c>
      <c r="C93" s="291" t="s">
        <v>177</v>
      </c>
      <c r="D93" s="291" t="s">
        <v>178</v>
      </c>
      <c r="E93" s="291" t="s">
        <v>126</v>
      </c>
      <c r="F93" s="368" t="s">
        <v>179</v>
      </c>
      <c r="G93" s="369">
        <v>1</v>
      </c>
      <c r="I93" s="319">
        <v>1.9777060469871023E-13</v>
      </c>
    </row>
    <row r="95" spans="1:22" x14ac:dyDescent="0.2">
      <c r="A95" s="354" t="s">
        <v>134</v>
      </c>
      <c r="B95" s="352" t="s">
        <v>141</v>
      </c>
      <c r="C95" s="352" t="s">
        <v>159</v>
      </c>
      <c r="D95" s="284" t="s">
        <v>120</v>
      </c>
      <c r="E95" s="284" t="s">
        <v>121</v>
      </c>
      <c r="F95" s="284" t="s">
        <v>122</v>
      </c>
      <c r="G95" s="284" t="s">
        <v>123</v>
      </c>
      <c r="I95" s="284" t="s">
        <v>133</v>
      </c>
    </row>
    <row r="96" spans="1:22" x14ac:dyDescent="0.2">
      <c r="A96" s="297" t="s">
        <v>2</v>
      </c>
      <c r="B96" s="321" t="s">
        <v>148</v>
      </c>
      <c r="C96" s="321" t="s">
        <v>161</v>
      </c>
      <c r="D96" s="321" t="s">
        <v>180</v>
      </c>
      <c r="E96" s="321" t="s">
        <v>149</v>
      </c>
      <c r="F96" s="321" t="s">
        <v>181</v>
      </c>
      <c r="G96" s="322" t="s">
        <v>182</v>
      </c>
      <c r="I96" s="319">
        <v>7.5497598181717071E-2</v>
      </c>
    </row>
    <row r="97" spans="1:22" x14ac:dyDescent="0.2">
      <c r="A97" s="297" t="s">
        <v>3</v>
      </c>
      <c r="B97" s="321" t="s">
        <v>150</v>
      </c>
      <c r="C97" s="321" t="s">
        <v>165</v>
      </c>
      <c r="D97" s="321" t="s">
        <v>183</v>
      </c>
      <c r="E97" s="321" t="s">
        <v>127</v>
      </c>
      <c r="F97" s="321" t="s">
        <v>184</v>
      </c>
      <c r="G97" s="322" t="s">
        <v>185</v>
      </c>
      <c r="I97" s="319">
        <v>5.565553757410497E-2</v>
      </c>
    </row>
    <row r="102" spans="1:22" s="310" customFormat="1" x14ac:dyDescent="0.2">
      <c r="A102" s="323" t="s">
        <v>135</v>
      </c>
      <c r="B102" s="1">
        <v>1999</v>
      </c>
      <c r="C102" s="1">
        <v>2000</v>
      </c>
      <c r="D102" s="1">
        <v>2001</v>
      </c>
      <c r="E102" s="1">
        <v>2002</v>
      </c>
      <c r="F102" s="1">
        <v>2003</v>
      </c>
      <c r="G102" s="1">
        <v>2004</v>
      </c>
      <c r="H102" s="1">
        <v>2005</v>
      </c>
      <c r="I102" s="1">
        <v>2006</v>
      </c>
      <c r="J102" s="1">
        <v>2007</v>
      </c>
      <c r="K102" s="1">
        <v>2008</v>
      </c>
      <c r="L102" s="1">
        <v>2009</v>
      </c>
      <c r="M102" s="350">
        <v>2010</v>
      </c>
      <c r="N102" s="350">
        <v>2011</v>
      </c>
      <c r="O102" s="350">
        <v>2012</v>
      </c>
      <c r="P102" s="350">
        <v>2013</v>
      </c>
      <c r="Q102" s="366">
        <v>2014</v>
      </c>
      <c r="R102" s="351">
        <v>2015</v>
      </c>
      <c r="S102" s="349">
        <v>2016</v>
      </c>
      <c r="T102" s="349">
        <v>2017</v>
      </c>
      <c r="U102" s="309"/>
      <c r="V102" s="309"/>
    </row>
    <row r="103" spans="1:22" s="310" customFormat="1" x14ac:dyDescent="0.2">
      <c r="A103" s="297" t="s">
        <v>2</v>
      </c>
      <c r="B103" s="324">
        <v>8</v>
      </c>
      <c r="C103" s="324">
        <v>8</v>
      </c>
      <c r="D103" s="324">
        <v>1</v>
      </c>
      <c r="E103" s="324">
        <v>8</v>
      </c>
      <c r="F103" s="324">
        <v>5</v>
      </c>
      <c r="G103" s="324">
        <v>16</v>
      </c>
      <c r="H103" s="324">
        <v>11</v>
      </c>
      <c r="I103" s="324">
        <v>15</v>
      </c>
      <c r="J103" s="324">
        <v>9</v>
      </c>
      <c r="K103" s="324">
        <v>11</v>
      </c>
      <c r="L103" s="324">
        <v>9</v>
      </c>
      <c r="M103" s="324">
        <v>4</v>
      </c>
      <c r="N103" s="324">
        <v>5</v>
      </c>
      <c r="O103" s="324">
        <v>6</v>
      </c>
      <c r="P103" s="324">
        <v>4</v>
      </c>
      <c r="Q103" s="325">
        <v>5</v>
      </c>
      <c r="R103" s="324">
        <v>3</v>
      </c>
      <c r="S103" s="324">
        <v>3</v>
      </c>
      <c r="T103" s="324">
        <v>0</v>
      </c>
      <c r="U103" s="309"/>
      <c r="V103" s="309"/>
    </row>
    <row r="104" spans="1:22" s="310" customFormat="1" x14ac:dyDescent="0.2">
      <c r="A104" s="297" t="s">
        <v>3</v>
      </c>
      <c r="B104" s="324">
        <v>10</v>
      </c>
      <c r="C104" s="324">
        <v>11</v>
      </c>
      <c r="D104" s="324">
        <v>13</v>
      </c>
      <c r="E104" s="324">
        <v>9</v>
      </c>
      <c r="F104" s="324">
        <v>13</v>
      </c>
      <c r="G104" s="324">
        <v>10</v>
      </c>
      <c r="H104" s="324">
        <v>15</v>
      </c>
      <c r="I104" s="324">
        <v>16</v>
      </c>
      <c r="J104" s="324">
        <v>20</v>
      </c>
      <c r="K104" s="324">
        <v>14</v>
      </c>
      <c r="L104" s="324">
        <v>22</v>
      </c>
      <c r="M104" s="324">
        <v>7</v>
      </c>
      <c r="N104" s="324">
        <v>5</v>
      </c>
      <c r="O104" s="324">
        <v>6</v>
      </c>
      <c r="P104" s="324">
        <v>7</v>
      </c>
      <c r="Q104" s="325">
        <v>1</v>
      </c>
      <c r="R104" s="324">
        <v>4</v>
      </c>
      <c r="S104" s="324">
        <v>3</v>
      </c>
      <c r="T104" s="324">
        <v>3</v>
      </c>
      <c r="U104" s="309"/>
      <c r="V104" s="309"/>
    </row>
    <row r="105" spans="1:22" s="310" customFormat="1" x14ac:dyDescent="0.2">
      <c r="A105" s="297" t="s">
        <v>4</v>
      </c>
      <c r="B105" s="324">
        <v>10</v>
      </c>
      <c r="C105" s="324">
        <v>6</v>
      </c>
      <c r="D105" s="324">
        <v>3</v>
      </c>
      <c r="E105" s="324">
        <v>8</v>
      </c>
      <c r="F105" s="324">
        <v>2</v>
      </c>
      <c r="G105" s="324">
        <v>3</v>
      </c>
      <c r="H105" s="324">
        <v>3</v>
      </c>
      <c r="I105" s="324">
        <v>3</v>
      </c>
      <c r="J105" s="324">
        <v>2</v>
      </c>
      <c r="K105" s="324">
        <v>3</v>
      </c>
      <c r="L105" s="324">
        <v>4</v>
      </c>
      <c r="M105" s="324">
        <v>0</v>
      </c>
      <c r="N105" s="324">
        <v>1</v>
      </c>
      <c r="O105" s="324">
        <v>1</v>
      </c>
      <c r="P105" s="324">
        <v>2</v>
      </c>
      <c r="Q105" s="325">
        <v>1</v>
      </c>
      <c r="R105" s="324">
        <v>0</v>
      </c>
      <c r="S105" s="324">
        <v>1</v>
      </c>
      <c r="T105" s="324">
        <v>0</v>
      </c>
      <c r="U105" s="309"/>
      <c r="V105" s="309"/>
    </row>
    <row r="106" spans="1:22" s="310" customFormat="1" x14ac:dyDescent="0.2">
      <c r="A106" s="297" t="s">
        <v>0</v>
      </c>
      <c r="B106" s="324">
        <v>4</v>
      </c>
      <c r="C106" s="324">
        <v>4</v>
      </c>
      <c r="D106" s="324">
        <v>2</v>
      </c>
      <c r="E106" s="324">
        <v>3</v>
      </c>
      <c r="F106" s="324">
        <v>7</v>
      </c>
      <c r="G106" s="324">
        <v>2</v>
      </c>
      <c r="H106" s="324">
        <v>1</v>
      </c>
      <c r="I106" s="324">
        <v>3</v>
      </c>
      <c r="J106" s="324">
        <v>1</v>
      </c>
      <c r="K106" s="324">
        <v>2</v>
      </c>
      <c r="L106" s="324">
        <v>0</v>
      </c>
      <c r="M106" s="324">
        <v>0</v>
      </c>
      <c r="N106" s="324">
        <v>0</v>
      </c>
      <c r="O106" s="324">
        <v>0</v>
      </c>
      <c r="P106" s="324">
        <v>1</v>
      </c>
      <c r="Q106" s="325">
        <v>0</v>
      </c>
      <c r="R106" s="324">
        <v>0</v>
      </c>
      <c r="S106" s="324">
        <v>0</v>
      </c>
      <c r="T106" s="324">
        <v>0</v>
      </c>
      <c r="U106" s="309"/>
      <c r="V106" s="309"/>
    </row>
    <row r="107" spans="1:22" s="310" customFormat="1" x14ac:dyDescent="0.2">
      <c r="A107" s="297" t="s">
        <v>8</v>
      </c>
      <c r="B107" s="324">
        <v>44</v>
      </c>
      <c r="C107" s="324">
        <v>35</v>
      </c>
      <c r="D107" s="324">
        <v>20</v>
      </c>
      <c r="E107" s="324">
        <v>43</v>
      </c>
      <c r="F107" s="324">
        <v>25</v>
      </c>
      <c r="G107" s="324">
        <v>31</v>
      </c>
      <c r="H107" s="324">
        <v>40</v>
      </c>
      <c r="I107" s="324">
        <v>32</v>
      </c>
      <c r="J107" s="324">
        <v>35</v>
      </c>
      <c r="K107" s="324">
        <v>37</v>
      </c>
      <c r="L107" s="324">
        <v>24</v>
      </c>
      <c r="M107" s="324">
        <v>13</v>
      </c>
      <c r="N107" s="324">
        <v>23</v>
      </c>
      <c r="O107" s="324">
        <v>8</v>
      </c>
      <c r="P107" s="324">
        <v>11</v>
      </c>
      <c r="Q107" s="325">
        <v>11</v>
      </c>
      <c r="R107" s="324">
        <v>17</v>
      </c>
      <c r="S107" s="324">
        <v>12</v>
      </c>
      <c r="T107" s="324">
        <v>5</v>
      </c>
      <c r="U107" s="309"/>
      <c r="V107" s="309"/>
    </row>
    <row r="108" spans="1:22" s="310" customFormat="1" x14ac:dyDescent="0.2">
      <c r="A108" s="298" t="s">
        <v>1</v>
      </c>
      <c r="B108" s="326">
        <v>76</v>
      </c>
      <c r="C108" s="326">
        <v>64</v>
      </c>
      <c r="D108" s="326">
        <v>39</v>
      </c>
      <c r="E108" s="326">
        <v>71</v>
      </c>
      <c r="F108" s="326">
        <v>52</v>
      </c>
      <c r="G108" s="326">
        <v>62</v>
      </c>
      <c r="H108" s="326">
        <v>70</v>
      </c>
      <c r="I108" s="326">
        <v>69</v>
      </c>
      <c r="J108" s="326">
        <v>67</v>
      </c>
      <c r="K108" s="326">
        <v>67</v>
      </c>
      <c r="L108" s="326">
        <v>59</v>
      </c>
      <c r="M108" s="326">
        <v>24</v>
      </c>
      <c r="N108" s="326">
        <v>34</v>
      </c>
      <c r="O108" s="326">
        <v>21</v>
      </c>
      <c r="P108" s="326">
        <v>25</v>
      </c>
      <c r="Q108" s="327">
        <v>18</v>
      </c>
      <c r="R108" s="326">
        <v>24</v>
      </c>
      <c r="S108" s="326">
        <v>19</v>
      </c>
      <c r="T108" s="326">
        <v>8</v>
      </c>
      <c r="U108" s="309"/>
      <c r="V108" s="309"/>
    </row>
    <row r="109" spans="1:22" s="310" customFormat="1" x14ac:dyDescent="0.2">
      <c r="A109" s="300"/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28"/>
      <c r="R109" s="309"/>
      <c r="S109" s="309"/>
      <c r="T109" s="309"/>
      <c r="U109" s="309"/>
      <c r="V109" s="309"/>
    </row>
    <row r="110" spans="1:22" s="310" customFormat="1" ht="15" customHeight="1" x14ac:dyDescent="0.2">
      <c r="A110" s="299" t="s">
        <v>7</v>
      </c>
      <c r="B110" s="1">
        <v>1999</v>
      </c>
      <c r="C110" s="1">
        <v>2000</v>
      </c>
      <c r="D110" s="1">
        <v>2001</v>
      </c>
      <c r="E110" s="1">
        <v>2002</v>
      </c>
      <c r="F110" s="1">
        <v>2003</v>
      </c>
      <c r="G110" s="1">
        <v>2004</v>
      </c>
      <c r="H110" s="1">
        <v>2005</v>
      </c>
      <c r="I110" s="1">
        <v>2006</v>
      </c>
      <c r="J110" s="1">
        <v>2007</v>
      </c>
      <c r="K110" s="1">
        <v>2008</v>
      </c>
      <c r="L110" s="1">
        <v>2009</v>
      </c>
      <c r="M110" s="350">
        <v>2010</v>
      </c>
      <c r="N110" s="350">
        <v>2011</v>
      </c>
      <c r="O110" s="350">
        <v>2012</v>
      </c>
      <c r="P110" s="350">
        <v>2013</v>
      </c>
      <c r="Q110" s="366">
        <v>2014</v>
      </c>
      <c r="R110" s="351">
        <v>2015</v>
      </c>
      <c r="S110" s="349">
        <v>2016</v>
      </c>
      <c r="T110" s="349">
        <v>2017</v>
      </c>
      <c r="U110" s="309"/>
      <c r="V110" s="309"/>
    </row>
    <row r="111" spans="1:22" s="310" customFormat="1" x14ac:dyDescent="0.2">
      <c r="A111" s="300" t="s">
        <v>2</v>
      </c>
      <c r="B111" s="313">
        <v>368312</v>
      </c>
      <c r="C111" s="313">
        <v>384770</v>
      </c>
      <c r="D111" s="313">
        <v>399013</v>
      </c>
      <c r="E111" s="313">
        <v>409528</v>
      </c>
      <c r="F111" s="313">
        <v>429164</v>
      </c>
      <c r="G111" s="313">
        <v>442766</v>
      </c>
      <c r="H111" s="313">
        <v>456379</v>
      </c>
      <c r="I111" s="313">
        <v>472007</v>
      </c>
      <c r="J111" s="313">
        <v>482498</v>
      </c>
      <c r="K111" s="313">
        <v>503134</v>
      </c>
      <c r="L111" s="313">
        <v>503462</v>
      </c>
      <c r="M111" s="313">
        <v>479828</v>
      </c>
      <c r="N111" s="313">
        <v>474723</v>
      </c>
      <c r="O111" s="313">
        <v>461971</v>
      </c>
      <c r="P111" s="313">
        <v>433416</v>
      </c>
      <c r="Q111" s="314">
        <v>420421</v>
      </c>
      <c r="R111" s="313">
        <v>418022</v>
      </c>
      <c r="S111" s="313">
        <v>410065</v>
      </c>
      <c r="T111" s="313">
        <v>395975</v>
      </c>
      <c r="U111" s="309"/>
      <c r="V111" s="309"/>
    </row>
    <row r="112" spans="1:22" s="310" customFormat="1" x14ac:dyDescent="0.2">
      <c r="A112" s="300" t="s">
        <v>3</v>
      </c>
      <c r="B112" s="313">
        <v>1465101</v>
      </c>
      <c r="C112" s="313">
        <v>1473375</v>
      </c>
      <c r="D112" s="313">
        <v>1501018</v>
      </c>
      <c r="E112" s="313">
        <v>1564622</v>
      </c>
      <c r="F112" s="313">
        <v>1635141</v>
      </c>
      <c r="G112" s="313">
        <v>1696743</v>
      </c>
      <c r="H112" s="313">
        <v>1757023</v>
      </c>
      <c r="I112" s="313">
        <v>1815244</v>
      </c>
      <c r="J112" s="313">
        <v>1880027</v>
      </c>
      <c r="K112" s="313">
        <v>1935748</v>
      </c>
      <c r="L112" s="313">
        <v>1980245</v>
      </c>
      <c r="M112" s="313">
        <v>2008793</v>
      </c>
      <c r="N112" s="313">
        <v>2008179</v>
      </c>
      <c r="O112" s="313">
        <v>1985572</v>
      </c>
      <c r="P112" s="313">
        <v>1932195</v>
      </c>
      <c r="Q112" s="314">
        <v>1861934</v>
      </c>
      <c r="R112" s="313">
        <v>1805601</v>
      </c>
      <c r="S112" s="313">
        <v>1760520</v>
      </c>
      <c r="T112" s="313">
        <v>1725458</v>
      </c>
      <c r="U112" s="309"/>
      <c r="V112" s="309"/>
    </row>
    <row r="113" spans="1:22" s="310" customFormat="1" x14ac:dyDescent="0.2">
      <c r="A113" s="300" t="s">
        <v>4</v>
      </c>
      <c r="B113" s="313">
        <v>1989936</v>
      </c>
      <c r="C113" s="313">
        <v>1953984</v>
      </c>
      <c r="D113" s="313">
        <v>1919207</v>
      </c>
      <c r="E113" s="313">
        <v>1912858</v>
      </c>
      <c r="F113" s="313">
        <v>1929243</v>
      </c>
      <c r="G113" s="313">
        <v>1957878</v>
      </c>
      <c r="H113" s="313">
        <v>2007941</v>
      </c>
      <c r="I113" s="313">
        <v>2074424</v>
      </c>
      <c r="J113" s="313">
        <v>2147007</v>
      </c>
      <c r="K113" s="313">
        <v>2219848</v>
      </c>
      <c r="L113" s="313">
        <v>2281638</v>
      </c>
      <c r="M113" s="313">
        <v>2327163</v>
      </c>
      <c r="N113" s="313">
        <v>2372351</v>
      </c>
      <c r="O113" s="313">
        <v>2419645</v>
      </c>
      <c r="P113" s="313">
        <v>2458823</v>
      </c>
      <c r="Q113" s="314">
        <v>2480574</v>
      </c>
      <c r="R113" s="313">
        <v>2479581</v>
      </c>
      <c r="S113" s="313">
        <v>2465837</v>
      </c>
      <c r="T113" s="313">
        <v>2438468</v>
      </c>
      <c r="U113" s="309"/>
      <c r="V113" s="309"/>
    </row>
    <row r="114" spans="1:22" s="310" customFormat="1" x14ac:dyDescent="0.2">
      <c r="A114" s="300" t="s">
        <v>0</v>
      </c>
      <c r="B114" s="313">
        <v>2204368</v>
      </c>
      <c r="C114" s="313">
        <v>2152902</v>
      </c>
      <c r="D114" s="313">
        <v>2114107</v>
      </c>
      <c r="E114" s="313">
        <v>2108403</v>
      </c>
      <c r="F114" s="313">
        <v>2116781</v>
      </c>
      <c r="G114" s="313">
        <v>2105809</v>
      </c>
      <c r="H114" s="313">
        <v>2090754</v>
      </c>
      <c r="I114" s="313">
        <v>2083098</v>
      </c>
      <c r="J114" s="313">
        <v>2086603</v>
      </c>
      <c r="K114" s="313">
        <v>2099082</v>
      </c>
      <c r="L114" s="313">
        <v>2118187</v>
      </c>
      <c r="M114" s="313">
        <v>2148479</v>
      </c>
      <c r="N114" s="313">
        <v>2184750</v>
      </c>
      <c r="O114" s="313">
        <v>2214818</v>
      </c>
      <c r="P114" s="313">
        <v>2246157</v>
      </c>
      <c r="Q114" s="314">
        <v>2286834</v>
      </c>
      <c r="R114" s="313">
        <v>2325139</v>
      </c>
      <c r="S114" s="313">
        <v>2368767</v>
      </c>
      <c r="T114" s="313">
        <v>2419816</v>
      </c>
      <c r="U114" s="309"/>
      <c r="V114" s="309"/>
    </row>
    <row r="115" spans="1:22" s="310" customFormat="1" x14ac:dyDescent="0.2">
      <c r="A115" s="300" t="s">
        <v>8</v>
      </c>
      <c r="B115" s="313">
        <v>34341971</v>
      </c>
      <c r="C115" s="313">
        <v>34589383</v>
      </c>
      <c r="D115" s="313">
        <v>34832704</v>
      </c>
      <c r="E115" s="313">
        <v>35428102</v>
      </c>
      <c r="F115" s="313">
        <v>36085896</v>
      </c>
      <c r="G115" s="313">
        <v>36655973</v>
      </c>
      <c r="H115" s="313">
        <v>37350532</v>
      </c>
      <c r="I115" s="313">
        <v>37915746</v>
      </c>
      <c r="J115" s="313">
        <v>38639875</v>
      </c>
      <c r="K115" s="313">
        <v>39225368</v>
      </c>
      <c r="L115" s="313">
        <v>39484016</v>
      </c>
      <c r="M115" s="313">
        <v>39598216</v>
      </c>
      <c r="N115" s="313">
        <v>39696250</v>
      </c>
      <c r="O115" s="313">
        <v>39684403</v>
      </c>
      <c r="P115" s="313">
        <v>39522640</v>
      </c>
      <c r="Q115" s="314">
        <v>39405365</v>
      </c>
      <c r="R115" s="313">
        <v>39381823</v>
      </c>
      <c r="S115" s="313">
        <v>39444693</v>
      </c>
      <c r="T115" s="313">
        <v>39554327</v>
      </c>
      <c r="U115" s="309"/>
      <c r="V115" s="309"/>
    </row>
    <row r="116" spans="1:22" s="318" customFormat="1" x14ac:dyDescent="0.2">
      <c r="A116" s="299" t="s">
        <v>1</v>
      </c>
      <c r="B116" s="315">
        <v>40369688</v>
      </c>
      <c r="C116" s="315">
        <v>40554414</v>
      </c>
      <c r="D116" s="315">
        <v>40766049</v>
      </c>
      <c r="E116" s="315">
        <v>41423513</v>
      </c>
      <c r="F116" s="315">
        <v>42196225</v>
      </c>
      <c r="G116" s="315">
        <v>42859169</v>
      </c>
      <c r="H116" s="315">
        <v>43662629</v>
      </c>
      <c r="I116" s="315">
        <v>44360519</v>
      </c>
      <c r="J116" s="315">
        <v>45236010</v>
      </c>
      <c r="K116" s="315">
        <v>45983180</v>
      </c>
      <c r="L116" s="315">
        <v>46367548</v>
      </c>
      <c r="M116" s="315">
        <v>46562479</v>
      </c>
      <c r="N116" s="315">
        <v>46736253</v>
      </c>
      <c r="O116" s="315">
        <v>46766409</v>
      </c>
      <c r="P116" s="315">
        <v>46593231</v>
      </c>
      <c r="Q116" s="316">
        <v>46455128</v>
      </c>
      <c r="R116" s="315">
        <v>46410166</v>
      </c>
      <c r="S116" s="315">
        <v>46449882</v>
      </c>
      <c r="T116" s="315">
        <v>46534044</v>
      </c>
      <c r="U116" s="317"/>
      <c r="V116" s="317"/>
    </row>
    <row r="120" spans="1:22" x14ac:dyDescent="0.2">
      <c r="A120" s="323" t="s">
        <v>136</v>
      </c>
      <c r="B120" s="330" t="s">
        <v>137</v>
      </c>
      <c r="C120" s="330" t="s">
        <v>160</v>
      </c>
      <c r="D120" s="284" t="s">
        <v>120</v>
      </c>
      <c r="E120" s="284" t="s">
        <v>121</v>
      </c>
      <c r="F120" s="284" t="s">
        <v>122</v>
      </c>
      <c r="G120" s="284" t="s">
        <v>123</v>
      </c>
      <c r="I120" s="284" t="s">
        <v>133</v>
      </c>
    </row>
    <row r="121" spans="1:22" x14ac:dyDescent="0.2">
      <c r="A121" s="297" t="s">
        <v>2</v>
      </c>
      <c r="B121" s="321" t="s">
        <v>154</v>
      </c>
      <c r="C121" s="321" t="s">
        <v>186</v>
      </c>
      <c r="D121" s="321" t="s">
        <v>192</v>
      </c>
      <c r="E121" s="321" t="s">
        <v>127</v>
      </c>
      <c r="F121" s="321" t="s">
        <v>193</v>
      </c>
      <c r="G121" s="322">
        <v>0.4073</v>
      </c>
      <c r="I121" s="289">
        <v>8.4433889827363467E-2</v>
      </c>
    </row>
    <row r="122" spans="1:22" x14ac:dyDescent="0.2">
      <c r="A122" s="297" t="s">
        <v>3</v>
      </c>
      <c r="B122" s="321" t="s">
        <v>138</v>
      </c>
      <c r="C122" s="321" t="s">
        <v>189</v>
      </c>
      <c r="D122" s="321" t="s">
        <v>194</v>
      </c>
      <c r="E122" s="321" t="s">
        <v>126</v>
      </c>
      <c r="F122" s="321" t="s">
        <v>195</v>
      </c>
      <c r="G122" s="322">
        <v>0.14849999999999999</v>
      </c>
      <c r="I122" s="289">
        <v>0.3591423821466122</v>
      </c>
    </row>
    <row r="123" spans="1:22" x14ac:dyDescent="0.2">
      <c r="A123" s="300" t="s">
        <v>4</v>
      </c>
      <c r="B123" s="321" t="s">
        <v>139</v>
      </c>
      <c r="C123" s="321" t="s">
        <v>196</v>
      </c>
      <c r="D123" s="321" t="s">
        <v>197</v>
      </c>
      <c r="E123" s="321" t="s">
        <v>126</v>
      </c>
      <c r="F123" s="321" t="s">
        <v>198</v>
      </c>
      <c r="G123" s="322">
        <v>0.18820000000000001</v>
      </c>
      <c r="I123" s="289">
        <v>0.28210630160551609</v>
      </c>
    </row>
    <row r="124" spans="1:22" x14ac:dyDescent="0.2">
      <c r="A124" s="300" t="s">
        <v>0</v>
      </c>
      <c r="B124" s="321" t="s">
        <v>140</v>
      </c>
      <c r="C124" s="321" t="s">
        <v>199</v>
      </c>
      <c r="D124" s="359" t="s">
        <v>201</v>
      </c>
      <c r="E124" s="321" t="s">
        <v>126</v>
      </c>
      <c r="F124" s="321" t="s">
        <v>200</v>
      </c>
      <c r="G124" s="322">
        <v>0.12330000000000001</v>
      </c>
      <c r="I124" s="289">
        <v>0.42299740410047171</v>
      </c>
    </row>
    <row r="125" spans="1:22" x14ac:dyDescent="0.2">
      <c r="A125" s="300" t="s">
        <v>8</v>
      </c>
      <c r="B125" s="321" t="s">
        <v>155</v>
      </c>
      <c r="C125" s="321" t="s">
        <v>202</v>
      </c>
      <c r="D125" s="321" t="s">
        <v>203</v>
      </c>
      <c r="E125" s="321" t="s">
        <v>126</v>
      </c>
      <c r="F125" s="321" t="s">
        <v>204</v>
      </c>
      <c r="G125" s="322">
        <v>0.10539999999999999</v>
      </c>
      <c r="I125" s="289">
        <v>0.47869629491594939</v>
      </c>
    </row>
    <row r="126" spans="1:22" x14ac:dyDescent="0.2">
      <c r="A126" s="299" t="s">
        <v>1</v>
      </c>
      <c r="B126" s="291" t="s">
        <v>156</v>
      </c>
      <c r="C126" s="291" t="s">
        <v>205</v>
      </c>
      <c r="D126" s="291" t="s">
        <v>206</v>
      </c>
      <c r="E126" s="291" t="s">
        <v>126</v>
      </c>
      <c r="F126" s="371" t="s">
        <v>207</v>
      </c>
      <c r="G126" s="292">
        <v>0.5786</v>
      </c>
      <c r="I126" s="331">
        <v>3.0904733565261275E-2</v>
      </c>
    </row>
    <row r="128" spans="1:22" x14ac:dyDescent="0.2">
      <c r="A128" s="323" t="s">
        <v>136</v>
      </c>
      <c r="B128" s="330" t="s">
        <v>151</v>
      </c>
      <c r="C128" s="330" t="s">
        <v>160</v>
      </c>
      <c r="D128" s="284" t="s">
        <v>120</v>
      </c>
      <c r="E128" s="284" t="s">
        <v>121</v>
      </c>
      <c r="F128" s="284" t="s">
        <v>122</v>
      </c>
      <c r="G128" s="284" t="s">
        <v>123</v>
      </c>
      <c r="I128" s="284" t="s">
        <v>133</v>
      </c>
    </row>
    <row r="129" spans="1:9" x14ac:dyDescent="0.2">
      <c r="A129" s="297" t="s">
        <v>2</v>
      </c>
      <c r="B129" s="321" t="s">
        <v>152</v>
      </c>
      <c r="C129" s="321" t="s">
        <v>186</v>
      </c>
      <c r="D129" s="321" t="s">
        <v>187</v>
      </c>
      <c r="E129" s="321" t="s">
        <v>126</v>
      </c>
      <c r="F129" s="321" t="s">
        <v>188</v>
      </c>
      <c r="G129" s="322">
        <v>9.2799999999999994E-2</v>
      </c>
      <c r="I129" s="289"/>
    </row>
    <row r="130" spans="1:9" x14ac:dyDescent="0.2">
      <c r="A130" s="297" t="s">
        <v>3</v>
      </c>
      <c r="B130" s="321" t="s">
        <v>153</v>
      </c>
      <c r="C130" s="321" t="s">
        <v>189</v>
      </c>
      <c r="D130" s="321" t="s">
        <v>190</v>
      </c>
      <c r="E130" s="321" t="s">
        <v>126</v>
      </c>
      <c r="F130" s="321" t="s">
        <v>191</v>
      </c>
      <c r="G130" s="322">
        <v>5.2299999999999999E-2</v>
      </c>
      <c r="I130" s="289">
        <v>0.73625614964435504</v>
      </c>
    </row>
  </sheetData>
  <mergeCells count="6">
    <mergeCell ref="N86:Q86"/>
    <mergeCell ref="N87:Q87"/>
    <mergeCell ref="A2:I2"/>
    <mergeCell ref="A3:I3"/>
    <mergeCell ref="B44:C44"/>
    <mergeCell ref="N85:Q85"/>
  </mergeCells>
  <pageMargins left="0.7" right="0.7" top="0.75" bottom="0.75" header="0.3" footer="0.3"/>
  <pageSetup paperSize="9" orientation="portrait" horizontalDpi="300" verticalDpi="300" r:id="rId1"/>
  <ignoredErrors>
    <ignoredError sqref="B64:G65" formulaRange="1"/>
    <ignoredError sqref="G96:G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Tend Hosp+Def MenB</vt:lpstr>
      <vt:lpstr>IncAcu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2019-04-15T19:45:27Z</dcterms:created>
  <dcterms:modified xsi:type="dcterms:W3CDTF">2019-05-15T13:32:38Z</dcterms:modified>
</cp:coreProperties>
</file>