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74" activeTab="0"/>
  </bookViews>
  <sheets>
    <sheet name="VerAG, m17,5, 7,3y" sheetId="1" r:id="rId1"/>
    <sheet name="VerAG m22,5, 7,3y" sheetId="2" r:id="rId2"/>
    <sheet name="VerAG m27,5, 7,3y" sheetId="3" r:id="rId3"/>
    <sheet name="VerAG m34,5, 7,7y" sheetId="4" r:id="rId4"/>
    <sheet name="CIN2, m17,5, 8y" sheetId="5" r:id="rId5"/>
    <sheet name="CIN2, m22,5, 7y" sheetId="6" r:id="rId6"/>
    <sheet name="CIN2, m27,5, 8y" sheetId="7" r:id="rId7"/>
    <sheet name="CIN2, m35, 8y" sheetId="8" r:id="rId8"/>
  </sheets>
  <definedNames/>
  <calcPr fullCalcOnLoad="1"/>
</workbook>
</file>

<file path=xl/sharedStrings.xml><?xml version="1.0" encoding="utf-8"?>
<sst xmlns="http://schemas.openxmlformats.org/spreadsheetml/2006/main" count="1056" uniqueCount="344">
  <si>
    <t>a</t>
  </si>
  <si>
    <t>Total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</si>
  <si>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</si>
  <si>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</si>
  <si>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</si>
  <si>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</si>
  <si>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</si>
  <si>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</si>
  <si>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</si>
  <si>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</si>
  <si>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/</t>
  </si>
  <si>
    <t>% RA control</t>
  </si>
  <si>
    <t>Estimación puntual</t>
  </si>
  <si>
    <t>RR (IC 95%) obtenido en el metaanálisis</t>
  </si>
  <si>
    <t>Intervención</t>
  </si>
  <si>
    <t>Control</t>
  </si>
  <si>
    <t>Variable buscada</t>
  </si>
  <si>
    <t>Nº pacientes grupo intervención</t>
  </si>
  <si>
    <t>Nº pacientes grupo control</t>
  </si>
  <si>
    <t>Si evento</t>
  </si>
  <si>
    <t>No evento</t>
  </si>
  <si>
    <t>LI IC 95%</t>
  </si>
  <si>
    <t>LS IC 95%</t>
  </si>
  <si>
    <t>Años de seguimiento</t>
  </si>
  <si>
    <t>Nº personas-año</t>
  </si>
  <si>
    <t>Eventos / 100 personas-año</t>
  </si>
  <si>
    <t>Media de edad (años)</t>
  </si>
  <si>
    <t>Ambos grupos combinados</t>
  </si>
  <si>
    <t>Puntuación ordinal de importancia o aversión al riesgo</t>
  </si>
  <si>
    <t>Estudios individuales</t>
  </si>
  <si>
    <t>Diseño</t>
  </si>
  <si>
    <t>Heteroge-neidad</t>
  </si>
  <si>
    <t xml:space="preserve">Años de seguimiento (media o mediana) </t>
  </si>
  <si>
    <t>Edad media, años</t>
  </si>
  <si>
    <t>Peso de los estudios (modelo efectos aleatorios)</t>
  </si>
  <si>
    <t>Cálculo por incidencias acumuladas</t>
  </si>
  <si>
    <t>RR (IC (95%)</t>
  </si>
  <si>
    <t>Validez de la evidencia</t>
  </si>
  <si>
    <t>ECA</t>
  </si>
  <si>
    <t>Total estudios:</t>
  </si>
  <si>
    <t>METAANÁLISIS</t>
  </si>
  <si>
    <t xml:space="preserve">Aplicando al </t>
  </si>
  <si>
    <t xml:space="preserve">  de eventos/año en el control, para una edad media de </t>
  </si>
  <si>
    <t>años de edad</t>
  </si>
  <si>
    <t xml:space="preserve"> por año</t>
  </si>
  <si>
    <t xml:space="preserve">de eventos estimados en el control en </t>
  </si>
  <si>
    <t>años de seguimiento</t>
  </si>
  <si>
    <t xml:space="preserve">Intervalo de predicción al 95%: </t>
  </si>
  <si>
    <t>En años</t>
  </si>
  <si>
    <t>Ambos</t>
  </si>
  <si>
    <t>Pob MA /1000</t>
  </si>
  <si>
    <t xml:space="preserve">% RA control = </t>
  </si>
  <si>
    <t>Riesgo basal control en 1 año</t>
  </si>
  <si>
    <t>nº de años</t>
  </si>
  <si>
    <t>% RA Vit D + Caerv</t>
  </si>
  <si>
    <t>%Ev en nº de años</t>
  </si>
  <si>
    <t>% RA Interv</t>
  </si>
  <si>
    <t>2017-Nygard, VerrAG, Muj 17,5y, Seg 5y</t>
  </si>
  <si>
    <t>Personas en el Grupo antes de la vacunación VPH</t>
  </si>
  <si>
    <t>Personas en el Grupo después de la vacunación VPH</t>
  </si>
  <si>
    <r>
      <t>I</t>
    </r>
    <r>
      <rPr>
        <b/>
        <i/>
        <vertAlign val="superscript"/>
        <sz val="14"/>
        <color indexed="10"/>
        <rFont val="Calibri"/>
        <family val="2"/>
      </rPr>
      <t xml:space="preserve">2 </t>
    </r>
    <r>
      <rPr>
        <b/>
        <sz val="14"/>
        <color indexed="10"/>
        <rFont val="Calibri"/>
        <family val="2"/>
      </rPr>
      <t>= 88%</t>
    </r>
  </si>
  <si>
    <t>0,49 (0,42-0,58)</t>
  </si>
  <si>
    <t>0,72% (0,6% a 0,82%)</t>
  </si>
  <si>
    <t>139 (122 a 167)</t>
  </si>
  <si>
    <t>en 8,4 años</t>
  </si>
  <si>
    <t>0,09% (0,07% a 0,1%)</t>
  </si>
  <si>
    <t>1169 (1023 a 1406)</t>
  </si>
  <si>
    <t>1,73 (1,02-2,93)</t>
  </si>
  <si>
    <t>-0,29% (-0,58% a 0,13%)</t>
  </si>
  <si>
    <t>-340 (759 a -173)</t>
  </si>
  <si>
    <t>0,51 (0,39-0,66)</t>
  </si>
  <si>
    <t>0,61% (0,39% a 0,84%)</t>
  </si>
  <si>
    <t>163 (118 a 258)</t>
  </si>
  <si>
    <t>0,49 (0,39-0,62)</t>
  </si>
  <si>
    <t>0,42% (0,28% a 0,55%)</t>
  </si>
  <si>
    <t>240 (183 a 358)</t>
  </si>
  <si>
    <t>0,44 (0,41-0,46)</t>
  </si>
  <si>
    <t>0,83% (0,77% a 0,9%)</t>
  </si>
  <si>
    <t>120 (112 a 130)</t>
  </si>
  <si>
    <t>0,41 (0,38-0,43)</t>
  </si>
  <si>
    <t>0,92% (0,86% a 0,99%)</t>
  </si>
  <si>
    <t>108 (102 a 116)</t>
  </si>
  <si>
    <t>Nº Eventos / total pacientes; Grupo Intervención</t>
  </si>
  <si>
    <t xml:space="preserve"> % Eventos/ año, Grupo Intervención</t>
  </si>
  <si>
    <t xml:space="preserve"> % Eventos, Grupo Intervención</t>
  </si>
  <si>
    <t>control</t>
  </si>
  <si>
    <t>Nº Eventos / total pacientes; Grupo control</t>
  </si>
  <si>
    <t xml:space="preserve"> % Eventos/ año, Grupo control</t>
  </si>
  <si>
    <t xml:space="preserve"> % Eventos, Grupo control</t>
  </si>
  <si>
    <t xml:space="preserve">ECAs que informan de: </t>
  </si>
  <si>
    <t>Si aplicamos el Modelo de efectos aleatorios</t>
  </si>
  <si>
    <t>Guerra 2016, 17,5, 6y</t>
  </si>
  <si>
    <t>Cocchio2017, 17,5, 7y</t>
  </si>
  <si>
    <t>Herweijer 2018, 17,5, 6y</t>
  </si>
  <si>
    <t>Flagg 2018, 17,5, 8y</t>
  </si>
  <si>
    <t>Dominiak 2015, 17,5, 6y</t>
  </si>
  <si>
    <t>Oliphant 2017, 17,5, 5y</t>
  </si>
  <si>
    <t>Harrison 2014, 17,5, 8y</t>
  </si>
  <si>
    <t>Callander 2016, 17,5, 8y</t>
  </si>
  <si>
    <r>
      <t>I</t>
    </r>
    <r>
      <rPr>
        <b/>
        <i/>
        <vertAlign val="superscript"/>
        <sz val="14"/>
        <color indexed="10"/>
        <rFont val="Calibri"/>
        <family val="2"/>
      </rPr>
      <t xml:space="preserve">2 </t>
    </r>
    <r>
      <rPr>
        <b/>
        <sz val="14"/>
        <color indexed="10"/>
        <rFont val="Calibri"/>
        <family val="2"/>
      </rPr>
      <t>= 99%</t>
    </r>
  </si>
  <si>
    <t>0,91 (0,86-0,97)</t>
  </si>
  <si>
    <t>0,02% (0,01% a 0,03%)</t>
  </si>
  <si>
    <t>6207 (3739 a 17860)</t>
  </si>
  <si>
    <t>0,44 (0,28-0,69)</t>
  </si>
  <si>
    <t>0,01% (0% a 0,02%)</t>
  </si>
  <si>
    <t>8935 (5864 a 20272)</t>
  </si>
  <si>
    <t>0,61 (0,57-0,65)</t>
  </si>
  <si>
    <t>0,25% (0,21% a 0,28%)</t>
  </si>
  <si>
    <t>404 (357 a 466)</t>
  </si>
  <si>
    <t>0,51 (0,49-0,53)</t>
  </si>
  <si>
    <t>0,13% (0,12% a 0,14%)</t>
  </si>
  <si>
    <t>778 (727 a 837)</t>
  </si>
  <si>
    <t>0,36 (0,23-0,56)</t>
  </si>
  <si>
    <t>0,05% (0,03% a 0,08%)</t>
  </si>
  <si>
    <t>1867 (1305 a 3713)</t>
  </si>
  <si>
    <t>0,17 (0,11-0,25)</t>
  </si>
  <si>
    <t>19,4% (16,72% a 22,3%)</t>
  </si>
  <si>
    <t>5 (4 a 6)</t>
  </si>
  <si>
    <t>0,18 (0,07-0,46)</t>
  </si>
  <si>
    <t>0,28% (0,11% a 0,41%)</t>
  </si>
  <si>
    <t>361 (242 a 910)</t>
  </si>
  <si>
    <t>0,07 (0,05-0,09)</t>
  </si>
  <si>
    <t>8,49% (7,78% a 9,16%)</t>
  </si>
  <si>
    <t>12 (11 a 13)</t>
  </si>
  <si>
    <t>0,33 (0,24-0,46)</t>
  </si>
  <si>
    <t>0,33 (0,12-0,96)</t>
  </si>
  <si>
    <t>en 7,3 años</t>
  </si>
  <si>
    <t>0,03% (0,02% a 0,03%)</t>
  </si>
  <si>
    <t>3916 (3436 a 4858)</t>
  </si>
  <si>
    <t>0,19% (0,15% a 0,21%)</t>
  </si>
  <si>
    <t>536 (471 a 666)</t>
  </si>
  <si>
    <t>Guerra 2016, 22,5, 6y</t>
  </si>
  <si>
    <t>Herweijer 2018, 22,5, 6y</t>
  </si>
  <si>
    <t>Flagg 2018, 22,5, 8y</t>
  </si>
  <si>
    <t>Dominiak 2015, 22,5, 6y</t>
  </si>
  <si>
    <t>Oliphant 2017, 22,5, 5y</t>
  </si>
  <si>
    <t>Harrison 2014, 22,5, 8y</t>
  </si>
  <si>
    <t>Cocchio2017, 22,5, 7y</t>
  </si>
  <si>
    <t>Callander 2016, 22,5, 8y</t>
  </si>
  <si>
    <t>0,89 (0,84-0,95)</t>
  </si>
  <si>
    <t>0,04% (0,02% a 0,06%)</t>
  </si>
  <si>
    <t>2676 (1748 a 5656)</t>
  </si>
  <si>
    <t>0,61 (0,49-0,76)</t>
  </si>
  <si>
    <t>0,03% (0,01% a 0,04%)</t>
  </si>
  <si>
    <t>3912 (2743 a 6921)</t>
  </si>
  <si>
    <t>0,71 (0,68-0,74)</t>
  </si>
  <si>
    <t>0,31% (0,26% a 0,35%)</t>
  </si>
  <si>
    <t>323 (283 a 378)</t>
  </si>
  <si>
    <t>0,76 (0,73-0,78)</t>
  </si>
  <si>
    <t>0,11% (0,1% a 0,13%)</t>
  </si>
  <si>
    <t>875 (775 a 1008)</t>
  </si>
  <si>
    <t>0,39 (0,31-0,49)</t>
  </si>
  <si>
    <t>14,1% (11,17% a 17,14%)</t>
  </si>
  <si>
    <t>7 (6 a 9)</t>
  </si>
  <si>
    <t>0,22 (0,12-0,39)</t>
  </si>
  <si>
    <t>0,43% (0,26% a 0,58%)</t>
  </si>
  <si>
    <t>232 (172 a 384)</t>
  </si>
  <si>
    <t>0,12 (0,1-0,14)</t>
  </si>
  <si>
    <t>13,35% (12,46% a 14,21%)</t>
  </si>
  <si>
    <t>7 (7 a 8)</t>
  </si>
  <si>
    <t>0,45 (0,34-0,59)</t>
  </si>
  <si>
    <t>Guerra 2016, 27,5, 6y</t>
  </si>
  <si>
    <t>Cocchio2017, 27,5, 7y</t>
  </si>
  <si>
    <t>Herweijer 2018, 27,5, 6y</t>
  </si>
  <si>
    <t>Flagg 2018, 27,5, 8y</t>
  </si>
  <si>
    <t>Dominiak 2015, 27,5, 6y</t>
  </si>
  <si>
    <t>Oliphant 2017, 27,5, 5y</t>
  </si>
  <si>
    <t>Harrison 2014, 27,5, 8y</t>
  </si>
  <si>
    <t>Callander 2016, 27,5, 8y</t>
  </si>
  <si>
    <t>0,89 (0,83-0,95)</t>
  </si>
  <si>
    <t>0,03% (0,01% a 0,05%)</t>
  </si>
  <si>
    <t>3284 (2071 a 7828)</t>
  </si>
  <si>
    <t>0,72 (0,59-0,88)</t>
  </si>
  <si>
    <t>6434 (3974 a 16794)</t>
  </si>
  <si>
    <t>0,79 (0,74-0,84)</t>
  </si>
  <si>
    <t>0,13% (0,09% a 0,16%)</t>
  </si>
  <si>
    <t>793 (625 a 1094)</t>
  </si>
  <si>
    <t>1,21 (1,16-1,26)</t>
  </si>
  <si>
    <t>-0,06% (-0,07% a -0,05%)</t>
  </si>
  <si>
    <t>-1705 (-2123 a -1419)</t>
  </si>
  <si>
    <t>0,96 (0,79-1,16)</t>
  </si>
  <si>
    <t>0,01% (-0,03% a 0,04%)</t>
  </si>
  <si>
    <t>12579 (2313 a -3506)</t>
  </si>
  <si>
    <t>0,62 (0,47-0,81)</t>
  </si>
  <si>
    <t>5,99% (2,82% a 9,31%)</t>
  </si>
  <si>
    <t>17 (11 a 35)</t>
  </si>
  <si>
    <t>0,25 (0,13-0,49)</t>
  </si>
  <si>
    <t>0,26% (0,12% a 0,38%)</t>
  </si>
  <si>
    <t>383 (265 a 810)</t>
  </si>
  <si>
    <t>0,32 (0,27-0,38)</t>
  </si>
  <si>
    <t>6,62% (5,72% a 7,5%)</t>
  </si>
  <si>
    <t>15 (13 a 17)</t>
  </si>
  <si>
    <t>Cocchio 2017, 34,5, 7y</t>
  </si>
  <si>
    <t>Herweijer 2018, 34,5, 6y</t>
  </si>
  <si>
    <t>Flagg 2018, 34,5, 6y</t>
  </si>
  <si>
    <t>Dominiak 2015, 34,5, 6y</t>
  </si>
  <si>
    <t>Oliphant 2017, 34,5, 5y</t>
  </si>
  <si>
    <t>Callander 2016, 34,5, 8y</t>
  </si>
  <si>
    <t>Harrison 2014,34,5 8y</t>
  </si>
  <si>
    <t>0,08 (0,07-0,1)</t>
  </si>
  <si>
    <t>0,21% (0,19% a 0,24%)</t>
  </si>
  <si>
    <t>470 (423 a 534)</t>
  </si>
  <si>
    <t>1,06 (0,99-1,13)</t>
  </si>
  <si>
    <t>-0,01% (-0,03% a 0%)</t>
  </si>
  <si>
    <t>-7529 (100937 a -3588)</t>
  </si>
  <si>
    <t>1,54 (1,49-1,59)</t>
  </si>
  <si>
    <t>-0,08% (-0,08% a -0,07%)</t>
  </si>
  <si>
    <t>-1327 (-1424 a -1242)</t>
  </si>
  <si>
    <t>0,98 (0,83-1,15)</t>
  </si>
  <si>
    <t>0% (-0,02% a 0,02%)</t>
  </si>
  <si>
    <t>44796 (5079 a -6436)</t>
  </si>
  <si>
    <t>0,74 (0,52-1,04)</t>
  </si>
  <si>
    <t>2,53% (-0,11% a 5,39%)</t>
  </si>
  <si>
    <t>39 (19 a -877)</t>
  </si>
  <si>
    <t>0,6 (0,34-1,05)</t>
  </si>
  <si>
    <t>0,05% (-0,01% a 0,11%)</t>
  </si>
  <si>
    <t>1914 (918 a -9860)</t>
  </si>
  <si>
    <t>0,75 (0,65-0,86)</t>
  </si>
  <si>
    <t>1,7% (0,86% a 2,54%)</t>
  </si>
  <si>
    <t>59 (39 a 116)</t>
  </si>
  <si>
    <t>0,64 (0,37-1,10)</t>
  </si>
  <si>
    <t>Nygard 2017, 22,5, 5y</t>
  </si>
  <si>
    <t>Bernard 2017, 22,5, 8y</t>
  </si>
  <si>
    <t>Niccolai 2017, 22,5, 8y</t>
  </si>
  <si>
    <t>Gargano 2018, 22,5, 9y</t>
  </si>
  <si>
    <t>Flagg 2016, 22,5, 8y</t>
  </si>
  <si>
    <t>Pollock 2014, 22,5, 6y</t>
  </si>
  <si>
    <t>Brotherton 2011, 22,5, 9y</t>
  </si>
  <si>
    <t>Nygard 2017, 27,5, 5y</t>
  </si>
  <si>
    <t>Bernard 2017, 27,5, 8y</t>
  </si>
  <si>
    <t>Niccolai 2017, 27,5, 8y</t>
  </si>
  <si>
    <t>Gargano 2018, 27,5, 9y</t>
  </si>
  <si>
    <t>Flagg 2016, 27,5, 8y</t>
  </si>
  <si>
    <t>Brotherton 2018, 27,5, 9y</t>
  </si>
  <si>
    <t>Nygard 2017,35, 5y</t>
  </si>
  <si>
    <t>Niccolai 2017, 35, 8y</t>
  </si>
  <si>
    <t>Gargano 2018, 35, 9y</t>
  </si>
  <si>
    <t>Flagg 2016, 35, 8y</t>
  </si>
  <si>
    <t>Brotherton 2018, 35, 9y</t>
  </si>
  <si>
    <t>0,69 (0,53-0,89)</t>
  </si>
  <si>
    <t>1,03 (0,97-1,1)</t>
  </si>
  <si>
    <t>-0,01% (-0,03% a 0,01%)</t>
  </si>
  <si>
    <t>-12651 (10225 a -3936)</t>
  </si>
  <si>
    <t>0,98 (0,7-1,35)</t>
  </si>
  <si>
    <t>0% (-0,01% a 0,01%)</t>
  </si>
  <si>
    <t>200118 (13796 a -15907)</t>
  </si>
  <si>
    <t>0,85 (0,81-0,89)</t>
  </si>
  <si>
    <t>0,16% (0,12% a 0,21%)</t>
  </si>
  <si>
    <t>615 (483 a 853)</t>
  </si>
  <si>
    <t>1,45 (1,39-1,52)</t>
  </si>
  <si>
    <t>-0,13% (-0,14% a -0,11%)</t>
  </si>
  <si>
    <t>-787 (-872 a -716)</t>
  </si>
  <si>
    <t>0,56 (0,42-0,76)</t>
  </si>
  <si>
    <t>0,05% (0,02% a 0,08%)</t>
  </si>
  <si>
    <t>1909 (1253 a 4634)</t>
  </si>
  <si>
    <t>0,46 (0,37-0,57)</t>
  </si>
  <si>
    <t>11,18% (8,39% a 14,07%)</t>
  </si>
  <si>
    <t>9 (7 a 12)</t>
  </si>
  <si>
    <t>0,5 (0,29-0,84)</t>
  </si>
  <si>
    <t>0,38% (0,08% a 0,67%)</t>
  </si>
  <si>
    <t>262 (150 a 1297)</t>
  </si>
  <si>
    <t>0,69 (0,57-0,84)</t>
  </si>
  <si>
    <t>1,55 (1,44-1,66)</t>
  </si>
  <si>
    <t>-0,41% (-0,48% a -0,33%)</t>
  </si>
  <si>
    <t>-246 (-299 a -210)</t>
  </si>
  <si>
    <t>1,39 (1,24-1,56)</t>
  </si>
  <si>
    <t>-0,48% (-0,64% a -0,33%)</t>
  </si>
  <si>
    <t>-207 (-299 a -156)</t>
  </si>
  <si>
    <t>0,96 (0,86-1,07)</t>
  </si>
  <si>
    <t>0,04% (-0,06% a 0,13%)</t>
  </si>
  <si>
    <t>2710 (755 a -1614)</t>
  </si>
  <si>
    <t>1,24 (1,15-1,34)</t>
  </si>
  <si>
    <t>-0,24% (-0,32% a -0,16%)</t>
  </si>
  <si>
    <t>-423 (-637 a -313)</t>
  </si>
  <si>
    <t>1 (0,97-1,03)</t>
  </si>
  <si>
    <t>0% (-0,05% a 0,04%)</t>
  </si>
  <si>
    <t>-39711 (2493 a -2170)</t>
  </si>
  <si>
    <t>1,1 (1,08-1,12)</t>
  </si>
  <si>
    <t>-0,22% (-0,26% a -0,17%)</t>
  </si>
  <si>
    <t>-460 (-574 a -383)</t>
  </si>
  <si>
    <t>1,19 (1,06 - 1,32)</t>
  </si>
  <si>
    <t>1,23 (1,13-1,34)</t>
  </si>
  <si>
    <t>CAMBIOS en diagnóstico de verrugas AG, mujeres 15 a 19 años, seguimiento 5 a 8 años</t>
  </si>
  <si>
    <t>0,01%</t>
  </si>
  <si>
    <t>0,04%</t>
  </si>
  <si>
    <t xml:space="preserve">Tabla 1.a:  </t>
  </si>
  <si>
    <t>CAMBIOS en diagnóstico de verrugas AG, mujeres 20 a 24 años, seguimiento 5 a 8 años</t>
  </si>
  <si>
    <t>0,03%</t>
  </si>
  <si>
    <t>0,04% (0,03% a 0,05%)</t>
  </si>
  <si>
    <t>2548 (2123 a 3418)</t>
  </si>
  <si>
    <t>0,29% (0,22% a 0,35%)</t>
  </si>
  <si>
    <t>344 (287 a 462)</t>
  </si>
  <si>
    <t>en 7,4 años</t>
  </si>
  <si>
    <t>0,45 (0,17-1,17)</t>
  </si>
  <si>
    <t>CAMBIOS en diagnóstico de verrugas AG, mujeres 25 a 29 años, seguimiento 5 a 8 años</t>
  </si>
  <si>
    <t>7514 (4956 a 21175)</t>
  </si>
  <si>
    <t>0,22%</t>
  </si>
  <si>
    <t>0,31%</t>
  </si>
  <si>
    <t>0,1% (0,03% a 0,15%)</t>
  </si>
  <si>
    <t>1027 (677 a 2894)</t>
  </si>
  <si>
    <r>
      <t>I</t>
    </r>
    <r>
      <rPr>
        <b/>
        <i/>
        <vertAlign val="superscript"/>
        <sz val="14"/>
        <color indexed="10"/>
        <rFont val="Calibri"/>
        <family val="2"/>
      </rPr>
      <t xml:space="preserve">2 </t>
    </r>
    <r>
      <rPr>
        <b/>
        <sz val="14"/>
        <color indexed="10"/>
        <rFont val="Calibri"/>
        <family val="2"/>
      </rPr>
      <t>= 98%</t>
    </r>
  </si>
  <si>
    <r>
      <rPr>
        <b/>
        <sz val="14"/>
        <color indexed="60"/>
        <rFont val="Calibri"/>
        <family val="2"/>
      </rPr>
      <t>Tabla 3.a:</t>
    </r>
    <r>
      <rPr>
        <b/>
        <sz val="14"/>
        <rFont val="Calibri"/>
        <family val="2"/>
      </rPr>
      <t xml:space="preserve">  </t>
    </r>
  </si>
  <si>
    <r>
      <rPr>
        <b/>
        <sz val="14"/>
        <color indexed="60"/>
        <rFont val="Calibri"/>
        <family val="2"/>
      </rPr>
      <t>Tabla 2.a:</t>
    </r>
    <r>
      <rPr>
        <b/>
        <sz val="14"/>
        <rFont val="Calibri"/>
        <family val="2"/>
      </rPr>
      <t xml:space="preserve">  </t>
    </r>
  </si>
  <si>
    <t>CAMBIOS en diagnóstico de verrugas AG, mujeres 30 a 39 años, seguimiento 5 a 8 años</t>
  </si>
  <si>
    <t>0,02%</t>
  </si>
  <si>
    <t>0,01% (0% a 0,01%)</t>
  </si>
  <si>
    <t>12635 (7220 a -45486)</t>
  </si>
  <si>
    <t>0,06% (-0,02% a 0,11%)</t>
  </si>
  <si>
    <t>1650 (943 a -5941)</t>
  </si>
  <si>
    <t>0,64 (0,10-4,08)</t>
  </si>
  <si>
    <t>en 7,7 años</t>
  </si>
  <si>
    <r>
      <rPr>
        <b/>
        <sz val="14"/>
        <color indexed="60"/>
        <rFont val="Calibri"/>
        <family val="2"/>
      </rPr>
      <t>Tabla 4.a:</t>
    </r>
    <r>
      <rPr>
        <b/>
        <sz val="14"/>
        <rFont val="Calibri"/>
        <family val="2"/>
      </rPr>
      <t xml:space="preserve">  </t>
    </r>
  </si>
  <si>
    <t>CAMBIOS en CIN2+, mujeres 15 a 19 años, seguimiento 5 a 8 años</t>
  </si>
  <si>
    <t>CAMBIOS en CIN2+, mujeres 20 a 24 años, seguimiento 5 a 8 años</t>
  </si>
  <si>
    <t>CAMBIOS en CIN2+, mujeres 25 a 29 años, seguimiento 5 a 8 años</t>
  </si>
  <si>
    <t>CAMBIOS en CIN2+, mujeres 30 a 39 años, seguimiento 5 a 8 años</t>
  </si>
  <si>
    <t>0,49 (0,31-0,79)</t>
  </si>
  <si>
    <t>0,08% (0,04% a 0,1%)</t>
  </si>
  <si>
    <t>1325 (955 a 2567)</t>
  </si>
  <si>
    <t>0,62% (0,32% a 0,87%)</t>
  </si>
  <si>
    <t>160 (116 a 311)</t>
  </si>
  <si>
    <t>en 8,3 años</t>
  </si>
  <si>
    <t>0,69 (0,36-1,35)</t>
  </si>
  <si>
    <t>1,19 (1,06-1,32)</t>
  </si>
  <si>
    <t>-0,05% (-0,09% a -0,02%)</t>
  </si>
  <si>
    <t>-1882 (-5960 a -1117)</t>
  </si>
  <si>
    <t>-0,32% (-0,54% a -0,1%)</t>
  </si>
  <si>
    <t>-313 (-991 a -186)</t>
  </si>
  <si>
    <t>1,19 (0,82-1,71)</t>
  </si>
  <si>
    <t>en 8,2 años</t>
  </si>
  <si>
    <r>
      <rPr>
        <b/>
        <sz val="14"/>
        <color indexed="60"/>
        <rFont val="Calibri"/>
        <family val="2"/>
      </rPr>
      <t>Tabla 10.a:</t>
    </r>
    <r>
      <rPr>
        <b/>
        <sz val="14"/>
        <rFont val="Calibri"/>
        <family val="2"/>
      </rPr>
      <t xml:space="preserve">  </t>
    </r>
  </si>
  <si>
    <r>
      <rPr>
        <b/>
        <sz val="14"/>
        <color indexed="60"/>
        <rFont val="Calibri"/>
        <family val="2"/>
      </rPr>
      <t>Tabla 11.a:</t>
    </r>
    <r>
      <rPr>
        <b/>
        <sz val="14"/>
        <rFont val="Calibri"/>
        <family val="2"/>
      </rPr>
      <t xml:space="preserve">  </t>
    </r>
  </si>
  <si>
    <r>
      <rPr>
        <b/>
        <sz val="14"/>
        <color indexed="60"/>
        <rFont val="Calibri"/>
        <family val="2"/>
      </rPr>
      <t>Tabla 12.a:</t>
    </r>
    <r>
      <rPr>
        <b/>
        <sz val="14"/>
        <rFont val="Calibri"/>
        <family val="2"/>
      </rPr>
      <t xml:space="preserve">  </t>
    </r>
  </si>
  <si>
    <t>-0,03% (-0,04% a -0,02%)</t>
  </si>
  <si>
    <t>-3706 (-6556 a -2507)</t>
  </si>
  <si>
    <t>-0,22% (-0,33% a -0,12%)</t>
  </si>
  <si>
    <t>-455 (-804 a -308)</t>
  </si>
  <si>
    <t>1,23 (0,92-1,65)</t>
  </si>
  <si>
    <r>
      <rPr>
        <b/>
        <sz val="14"/>
        <color indexed="60"/>
        <rFont val="Calibri"/>
        <family val="2"/>
      </rPr>
      <t>Tabla 13.a:</t>
    </r>
    <r>
      <rPr>
        <b/>
        <sz val="14"/>
        <rFont val="Calibri"/>
        <family val="2"/>
      </rPr>
      <t xml:space="preserve">  </t>
    </r>
  </si>
  <si>
    <t>2017-Bernard, VerrAG, Muj 17,5y, Seg 8y</t>
  </si>
  <si>
    <t>2018-Gargano, VerrAG, Muj 17,5y, Seg 9y</t>
  </si>
  <si>
    <t>2016-Flagg, VerrAG, Muj 17,5y, Seg 8y</t>
  </si>
  <si>
    <t>2018-Brotherton, Verr, Muj 17,5y, Seg 9y</t>
  </si>
  <si>
    <r>
      <rPr>
        <b/>
        <sz val="10"/>
        <rFont val="Calibri"/>
        <family val="2"/>
      </rPr>
      <t xml:space="preserve">CIN2+: </t>
    </r>
    <r>
      <rPr>
        <sz val="10"/>
        <rFont val="Calibri"/>
        <family val="2"/>
      </rPr>
      <t>Neoplasia Intrepitelial Cervical, nivel 2 o moderada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</si>
</sst>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\ _€_-;\-* #,##0.00\ _€_-;_-* \-??\ _€_-;_-@_-"/>
    <numFmt numFmtId="196" formatCode="_-* #,##0\ _€_-;\-* #,##0\ _€_-;_-* &quot;-&quot;?\ _€_-;_-@_-"/>
    <numFmt numFmtId="197" formatCode="[$-C0A]dddd\,\ dd&quot; de &quot;mmmm&quot; de &quot;yyyy"/>
    <numFmt numFmtId="198" formatCode="#,##0.00_ ;\-#,##0.00\ "/>
    <numFmt numFmtId="199" formatCode="_-* #,##0.00000\ _€_-;\-* #,##0.00000\ _€_-;_-* &quot;-&quot;???\ _€_-;_-@_-"/>
    <numFmt numFmtId="200" formatCode="[$-C0A]dddd\,\ d&quot; de &quot;mmmm&quot; de &quot;yyyy"/>
    <numFmt numFmtId="201" formatCode="_-* #,##0.0000000\ _€_-;\-* #,##0.0000000\ _€_-;_-* &quot;-&quot;??\ _€_-;_-@_-"/>
    <numFmt numFmtId="202" formatCode="0.000000000"/>
    <numFmt numFmtId="203" formatCode="0.0000000000"/>
    <numFmt numFmtId="204" formatCode="0.00000000000"/>
    <numFmt numFmtId="205" formatCode="0.000000000000"/>
    <numFmt numFmtId="206" formatCode="_-* #,##0.00\ _€_-;\-* #,##0.00\ _€_-;_-* &quot;-&quot;???\ _€_-;_-@_-"/>
    <numFmt numFmtId="207" formatCode="_-* #,##0.00000000\ _€_-;\-* #,##0.00000000\ _€_-;_-* &quot;-&quot;??\ _€_-;_-@_-"/>
    <numFmt numFmtId="208" formatCode="_-* #,##0.000000000\ _€_-;\-* #,##0.000000000\ _€_-;_-* &quot;-&quot;??\ _€_-;_-@_-"/>
    <numFmt numFmtId="209" formatCode="_-* #,##0.0000000000\ _€_-;\-* #,##0.0000000000\ _€_-;_-* &quot;-&quot;??\ _€_-;_-@_-"/>
    <numFmt numFmtId="210" formatCode="_-* #,##0.00000000000\ _€_-;\-* #,##0.00000000000\ _€_-;_-* &quot;-&quot;??\ _€_-;_-@_-"/>
    <numFmt numFmtId="211" formatCode="_-* #,##0.00000000\ _€_-;\-* #,##0.00000000\ _€_-;_-* &quot;-&quot;????????\ _€_-;_-@_-"/>
    <numFmt numFmtId="212" formatCode="0.00000000000000000000000000000000000000000000000000000000000000000000000000000000000000000"/>
    <numFmt numFmtId="213" formatCode="#,##0.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vertAlign val="superscript"/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b/>
      <sz val="10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62"/>
      <name val="Courier"/>
      <family val="2"/>
    </font>
    <font>
      <b/>
      <sz val="11"/>
      <color indexed="62"/>
      <name val="Courier"/>
      <family val="2"/>
    </font>
    <font>
      <sz val="11"/>
      <color indexed="62"/>
      <name val="Courier"/>
      <family val="2"/>
    </font>
    <font>
      <sz val="11"/>
      <color indexed="14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62"/>
      <name val="Cambria"/>
      <family val="2"/>
    </font>
    <font>
      <b/>
      <sz val="13"/>
      <color indexed="62"/>
      <name val="Courier"/>
      <family val="2"/>
    </font>
    <font>
      <b/>
      <sz val="11"/>
      <color indexed="8"/>
      <name val="Courier"/>
      <family val="2"/>
    </font>
    <font>
      <sz val="11"/>
      <name val="Calibri"/>
      <family val="2"/>
    </font>
    <font>
      <sz val="10"/>
      <color indexed="62"/>
      <name val="Calibri"/>
      <family val="2"/>
    </font>
    <font>
      <sz val="11"/>
      <color indexed="8"/>
      <name val="Calibri"/>
      <family val="2"/>
    </font>
    <font>
      <b/>
      <sz val="10"/>
      <color indexed="62"/>
      <name val="Calibri"/>
      <family val="2"/>
    </font>
    <font>
      <b/>
      <i/>
      <sz val="14"/>
      <color indexed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color indexed="17"/>
      <name val="Calibri"/>
      <family val="2"/>
    </font>
    <font>
      <b/>
      <sz val="14"/>
      <color indexed="53"/>
      <name val="Calibri"/>
      <family val="2"/>
    </font>
    <font>
      <sz val="10"/>
      <color indexed="53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39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sz val="10"/>
      <color rgb="FF7030A0"/>
      <name val="Calibri"/>
      <family val="2"/>
    </font>
    <font>
      <sz val="11"/>
      <color rgb="FF000000"/>
      <name val="Calibri"/>
      <family val="2"/>
    </font>
    <font>
      <b/>
      <sz val="10"/>
      <color rgb="FF7030A0"/>
      <name val="Calibri"/>
      <family val="2"/>
    </font>
    <font>
      <b/>
      <i/>
      <sz val="14"/>
      <color rgb="FFFF0000"/>
      <name val="Calibri"/>
      <family val="2"/>
    </font>
    <font>
      <sz val="10"/>
      <color rgb="FFFF0000"/>
      <name val="Calibri"/>
      <family val="2"/>
    </font>
    <font>
      <sz val="10"/>
      <color rgb="FF009900"/>
      <name val="Calibri"/>
      <family val="2"/>
    </font>
    <font>
      <sz val="12"/>
      <color rgb="FF009900"/>
      <name val="Calibri"/>
      <family val="2"/>
    </font>
    <font>
      <b/>
      <sz val="14"/>
      <color rgb="FF993300"/>
      <name val="Calibri"/>
      <family val="2"/>
    </font>
    <font>
      <b/>
      <sz val="14"/>
      <color rgb="FFFF6600"/>
      <name val="Calibri"/>
      <family val="2"/>
    </font>
    <font>
      <sz val="10"/>
      <color rgb="FFFF6600"/>
      <name val="Calibri"/>
      <family val="2"/>
    </font>
    <font>
      <sz val="12"/>
      <color rgb="FFFF0000"/>
      <name val="Calibri"/>
      <family val="2"/>
    </font>
    <font>
      <b/>
      <sz val="14"/>
      <color rgb="FF0000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6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2" fontId="3" fillId="33" borderId="0" xfId="0" applyNumberFormat="1" applyFont="1" applyFill="1" applyBorder="1" applyAlignment="1">
      <alignment horizontal="center"/>
    </xf>
    <xf numFmtId="10" fontId="3" fillId="33" borderId="0" xfId="6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6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/>
    </xf>
    <xf numFmtId="2" fontId="3" fillId="35" borderId="15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167" fontId="4" fillId="0" borderId="15" xfId="60" applyNumberFormat="1" applyFont="1" applyBorder="1" applyAlignment="1">
      <alignment horizontal="center" vertical="center"/>
    </xf>
    <xf numFmtId="43" fontId="3" fillId="0" borderId="0" xfId="0" applyNumberFormat="1" applyFont="1" applyFill="1" applyAlignment="1">
      <alignment/>
    </xf>
    <xf numFmtId="1" fontId="3" fillId="35" borderId="15" xfId="0" applyNumberFormat="1" applyFont="1" applyFill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1" fontId="3" fillId="35" borderId="15" xfId="49" applyNumberFormat="1" applyFont="1" applyFill="1" applyBorder="1" applyAlignment="1">
      <alignment horizontal="center"/>
    </xf>
    <xf numFmtId="0" fontId="66" fillId="34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distributed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49" fontId="3" fillId="0" borderId="16" xfId="0" applyNumberFormat="1" applyFont="1" applyBorder="1" applyAlignment="1">
      <alignment/>
    </xf>
    <xf numFmtId="165" fontId="3" fillId="0" borderId="11" xfId="49" applyNumberFormat="1" applyFont="1" applyBorder="1" applyAlignment="1">
      <alignment horizontal="center"/>
    </xf>
    <xf numFmtId="166" fontId="3" fillId="0" borderId="11" xfId="49" applyNumberFormat="1" applyFont="1" applyBorder="1" applyAlignment="1">
      <alignment horizontal="center"/>
    </xf>
    <xf numFmtId="10" fontId="3" fillId="0" borderId="17" xfId="6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right" vertical="center"/>
    </xf>
    <xf numFmtId="10" fontId="9" fillId="36" borderId="11" xfId="0" applyNumberFormat="1" applyFont="1" applyFill="1" applyBorder="1" applyAlignment="1">
      <alignment horizontal="center" vertical="center"/>
    </xf>
    <xf numFmtId="10" fontId="9" fillId="37" borderId="11" xfId="0" applyNumberFormat="1" applyFont="1" applyFill="1" applyBorder="1" applyAlignment="1">
      <alignment horizontal="center" vertical="center"/>
    </xf>
    <xf numFmtId="10" fontId="9" fillId="38" borderId="11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right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7" borderId="12" xfId="0" applyNumberFormat="1" applyFont="1" applyFill="1" applyBorder="1" applyAlignment="1">
      <alignment horizontal="center" vertical="center"/>
    </xf>
    <xf numFmtId="1" fontId="9" fillId="38" borderId="11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/>
    </xf>
    <xf numFmtId="165" fontId="3" fillId="33" borderId="0" xfId="0" applyNumberFormat="1" applyFont="1" applyFill="1" applyBorder="1" applyAlignment="1">
      <alignment horizontal="center"/>
    </xf>
    <xf numFmtId="10" fontId="3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43" fontId="9" fillId="0" borderId="0" xfId="49" applyFont="1" applyAlignment="1">
      <alignment horizontal="right"/>
    </xf>
    <xf numFmtId="174" fontId="9" fillId="0" borderId="0" xfId="60" applyNumberFormat="1" applyFont="1" applyAlignment="1">
      <alignment/>
    </xf>
    <xf numFmtId="10" fontId="67" fillId="0" borderId="0" xfId="60" applyNumberFormat="1" applyFont="1" applyAlignment="1">
      <alignment horizontal="right" vertical="center"/>
    </xf>
    <xf numFmtId="0" fontId="9" fillId="0" borderId="14" xfId="46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0" xfId="49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7" fillId="34" borderId="22" xfId="0" applyFont="1" applyFill="1" applyBorder="1" applyAlignment="1">
      <alignment horizontal="center" vertical="distributed" wrapText="1"/>
    </xf>
    <xf numFmtId="0" fontId="27" fillId="34" borderId="0" xfId="0" applyFont="1" applyFill="1" applyBorder="1" applyAlignment="1">
      <alignment horizontal="center"/>
    </xf>
    <xf numFmtId="2" fontId="27" fillId="34" borderId="14" xfId="0" applyNumberFormat="1" applyFont="1" applyFill="1" applyBorder="1" applyAlignment="1">
      <alignment horizontal="center" vertical="distributed"/>
    </xf>
    <xf numFmtId="11" fontId="27" fillId="34" borderId="14" xfId="0" applyNumberFormat="1" applyFont="1" applyFill="1" applyBorder="1" applyAlignment="1">
      <alignment horizontal="center" vertical="distributed"/>
    </xf>
    <xf numFmtId="172" fontId="3" fillId="0" borderId="0" xfId="0" applyNumberFormat="1" applyFont="1" applyFill="1" applyAlignment="1">
      <alignment horizontal="center" vertical="center"/>
    </xf>
    <xf numFmtId="0" fontId="68" fillId="34" borderId="15" xfId="0" applyFont="1" applyFill="1" applyBorder="1" applyAlignment="1">
      <alignment horizontal="center" vertical="distributed" wrapText="1"/>
    </xf>
    <xf numFmtId="10" fontId="3" fillId="34" borderId="0" xfId="60" applyNumberFormat="1" applyFont="1" applyFill="1" applyAlignment="1">
      <alignment/>
    </xf>
    <xf numFmtId="43" fontId="9" fillId="34" borderId="0" xfId="49" applyFont="1" applyFill="1" applyBorder="1" applyAlignment="1">
      <alignment horizontal="center" vertical="distributed"/>
    </xf>
    <xf numFmtId="10" fontId="32" fillId="34" borderId="11" xfId="0" applyNumberFormat="1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3" fillId="34" borderId="0" xfId="0" applyFont="1" applyFill="1" applyBorder="1" applyAlignment="1">
      <alignment horizontal="center" vertical="distributed" wrapText="1"/>
    </xf>
    <xf numFmtId="0" fontId="33" fillId="34" borderId="0" xfId="0" applyFont="1" applyFill="1" applyBorder="1" applyAlignment="1">
      <alignment horizontal="center" vertical="distributed" wrapText="1"/>
    </xf>
    <xf numFmtId="0" fontId="3" fillId="34" borderId="0" xfId="0" applyFont="1" applyFill="1" applyAlignment="1">
      <alignment horizontal="center" vertical="center"/>
    </xf>
    <xf numFmtId="0" fontId="9" fillId="34" borderId="0" xfId="0" applyFont="1" applyFill="1" applyBorder="1" applyAlignment="1">
      <alignment horizontal="center" vertical="distributed" wrapText="1"/>
    </xf>
    <xf numFmtId="10" fontId="9" fillId="34" borderId="0" xfId="60" applyNumberFormat="1" applyFont="1" applyFill="1" applyBorder="1" applyAlignment="1">
      <alignment horizontal="center" vertical="distributed" wrapText="1"/>
    </xf>
    <xf numFmtId="10" fontId="3" fillId="34" borderId="0" xfId="60" applyNumberFormat="1" applyFont="1" applyFill="1" applyBorder="1" applyAlignment="1">
      <alignment horizontal="center" vertical="distributed" wrapText="1"/>
    </xf>
    <xf numFmtId="167" fontId="4" fillId="34" borderId="0" xfId="0" applyNumberFormat="1" applyFont="1" applyFill="1" applyBorder="1" applyAlignment="1">
      <alignment horizontal="center" vertical="distributed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distributed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24" xfId="0" applyFont="1" applyFill="1" applyBorder="1" applyAlignment="1">
      <alignment horizontal="center" vertical="distributed" wrapText="1"/>
    </xf>
    <xf numFmtId="0" fontId="34" fillId="34" borderId="24" xfId="0" applyFont="1" applyFill="1" applyBorder="1" applyAlignment="1">
      <alignment horizontal="center" vertical="distributed"/>
    </xf>
    <xf numFmtId="0" fontId="34" fillId="34" borderId="25" xfId="0" applyFont="1" applyFill="1" applyBorder="1" applyAlignment="1">
      <alignment horizontal="center" vertical="distributed" wrapText="1"/>
    </xf>
    <xf numFmtId="0" fontId="3" fillId="34" borderId="26" xfId="0" applyFont="1" applyFill="1" applyBorder="1" applyAlignment="1">
      <alignment horizontal="right" vertical="center"/>
    </xf>
    <xf numFmtId="10" fontId="35" fillId="34" borderId="27" xfId="0" applyNumberFormat="1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vertical="center"/>
    </xf>
    <xf numFmtId="172" fontId="35" fillId="34" borderId="27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vertical="center"/>
    </xf>
    <xf numFmtId="10" fontId="36" fillId="34" borderId="29" xfId="0" applyNumberFormat="1" applyFont="1" applyFill="1" applyBorder="1" applyAlignment="1">
      <alignment horizontal="center" vertical="center"/>
    </xf>
    <xf numFmtId="10" fontId="36" fillId="34" borderId="30" xfId="0" applyNumberFormat="1" applyFont="1" applyFill="1" applyBorder="1" applyAlignment="1">
      <alignment horizontal="center" vertical="center"/>
    </xf>
    <xf numFmtId="0" fontId="37" fillId="34" borderId="30" xfId="0" applyFont="1" applyFill="1" applyBorder="1" applyAlignment="1">
      <alignment horizontal="center" vertical="distributed"/>
    </xf>
    <xf numFmtId="0" fontId="35" fillId="34" borderId="31" xfId="0" applyFont="1" applyFill="1" applyBorder="1" applyAlignment="1">
      <alignment horizontal="center" vertical="center"/>
    </xf>
    <xf numFmtId="43" fontId="37" fillId="34" borderId="32" xfId="49" applyFont="1" applyFill="1" applyBorder="1" applyAlignment="1">
      <alignment horizontal="center" vertical="distributed"/>
    </xf>
    <xf numFmtId="43" fontId="35" fillId="34" borderId="33" xfId="49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right" vertical="center"/>
    </xf>
    <xf numFmtId="10" fontId="35" fillId="34" borderId="0" xfId="0" applyNumberFormat="1" applyFont="1" applyFill="1" applyBorder="1" applyAlignment="1">
      <alignment horizontal="center" vertical="center"/>
    </xf>
    <xf numFmtId="167" fontId="3" fillId="34" borderId="0" xfId="60" applyNumberFormat="1" applyFont="1" applyFill="1" applyBorder="1" applyAlignment="1">
      <alignment horizontal="left" vertical="center"/>
    </xf>
    <xf numFmtId="2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172" fontId="35" fillId="34" borderId="0" xfId="0" applyNumberFormat="1" applyFont="1" applyFill="1" applyBorder="1" applyAlignment="1">
      <alignment horizontal="center" vertical="center"/>
    </xf>
    <xf numFmtId="10" fontId="36" fillId="34" borderId="0" xfId="0" applyNumberFormat="1" applyFont="1" applyFill="1" applyBorder="1" applyAlignment="1">
      <alignment horizontal="center" vertical="center"/>
    </xf>
    <xf numFmtId="43" fontId="7" fillId="34" borderId="0" xfId="49" applyFont="1" applyFill="1" applyBorder="1" applyAlignment="1">
      <alignment horizontal="center" vertical="distributed"/>
    </xf>
    <xf numFmtId="43" fontId="37" fillId="34" borderId="0" xfId="49" applyFont="1" applyFill="1" applyBorder="1" applyAlignment="1">
      <alignment horizontal="center" vertical="distributed"/>
    </xf>
    <xf numFmtId="43" fontId="35" fillId="34" borderId="0" xfId="49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vertical="center"/>
    </xf>
    <xf numFmtId="10" fontId="36" fillId="34" borderId="16" xfId="60" applyNumberFormat="1" applyFont="1" applyFill="1" applyBorder="1" applyAlignment="1">
      <alignment horizontal="center" vertical="center"/>
    </xf>
    <xf numFmtId="10" fontId="7" fillId="34" borderId="16" xfId="60" applyNumberFormat="1" applyFont="1" applyFill="1" applyBorder="1" applyAlignment="1">
      <alignment horizontal="right" vertical="center"/>
    </xf>
    <xf numFmtId="43" fontId="37" fillId="34" borderId="0" xfId="49" applyFont="1" applyFill="1" applyAlignment="1">
      <alignment/>
    </xf>
    <xf numFmtId="43" fontId="3" fillId="34" borderId="0" xfId="49" applyFont="1" applyFill="1" applyAlignment="1">
      <alignment/>
    </xf>
    <xf numFmtId="0" fontId="7" fillId="34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172" fontId="35" fillId="0" borderId="0" xfId="0" applyNumberFormat="1" applyFont="1" applyFill="1" applyBorder="1" applyAlignment="1">
      <alignment horizontal="center" vertical="center"/>
    </xf>
    <xf numFmtId="43" fontId="7" fillId="34" borderId="11" xfId="49" applyFont="1" applyFill="1" applyBorder="1" applyAlignment="1">
      <alignment horizontal="center" vertical="distributed"/>
    </xf>
    <xf numFmtId="43" fontId="7" fillId="34" borderId="30" xfId="49" applyFont="1" applyFill="1" applyBorder="1" applyAlignment="1">
      <alignment horizontal="center" vertical="distributed"/>
    </xf>
    <xf numFmtId="165" fontId="7" fillId="34" borderId="32" xfId="49" applyNumberFormat="1" applyFont="1" applyFill="1" applyBorder="1" applyAlignment="1">
      <alignment horizontal="center" vertical="distributed"/>
    </xf>
    <xf numFmtId="43" fontId="7" fillId="34" borderId="17" xfId="49" applyFont="1" applyFill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70" fillId="0" borderId="15" xfId="0" applyNumberFormat="1" applyFont="1" applyFill="1" applyBorder="1" applyAlignment="1">
      <alignment horizontal="center" vertical="center"/>
    </xf>
    <xf numFmtId="167" fontId="40" fillId="34" borderId="15" xfId="0" applyNumberFormat="1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10" fontId="3" fillId="33" borderId="35" xfId="60" applyNumberFormat="1" applyFont="1" applyFill="1" applyBorder="1" applyAlignment="1">
      <alignment horizontal="center"/>
    </xf>
    <xf numFmtId="1" fontId="3" fillId="33" borderId="36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distributed"/>
    </xf>
    <xf numFmtId="0" fontId="67" fillId="0" borderId="15" xfId="46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 vertical="center" wrapText="1"/>
      <protection/>
    </xf>
    <xf numFmtId="0" fontId="67" fillId="0" borderId="14" xfId="46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3" fontId="3" fillId="0" borderId="15" xfId="49" applyNumberFormat="1" applyFont="1" applyFill="1" applyBorder="1" applyAlignment="1">
      <alignment horizontal="center" vertical="center"/>
    </xf>
    <xf numFmtId="10" fontId="3" fillId="0" borderId="15" xfId="6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distributed"/>
    </xf>
    <xf numFmtId="3" fontId="9" fillId="0" borderId="15" xfId="49" applyNumberFormat="1" applyFont="1" applyFill="1" applyBorder="1" applyAlignment="1">
      <alignment horizontal="center" vertical="distributed"/>
    </xf>
    <xf numFmtId="3" fontId="3" fillId="0" borderId="15" xfId="49" applyNumberFormat="1" applyFont="1" applyFill="1" applyBorder="1" applyAlignment="1">
      <alignment horizontal="center" vertical="distributed"/>
    </xf>
    <xf numFmtId="213" fontId="67" fillId="33" borderId="15" xfId="46" applyNumberFormat="1" applyFont="1" applyFill="1" applyBorder="1" applyAlignment="1" applyProtection="1">
      <alignment horizontal="center" vertical="center"/>
      <protection/>
    </xf>
    <xf numFmtId="3" fontId="9" fillId="0" borderId="15" xfId="49" applyNumberFormat="1" applyFont="1" applyFill="1" applyBorder="1" applyAlignment="1">
      <alignment horizontal="center" vertical="center"/>
    </xf>
    <xf numFmtId="10" fontId="9" fillId="0" borderId="15" xfId="60" applyNumberFormat="1" applyFont="1" applyFill="1" applyBorder="1" applyAlignment="1">
      <alignment horizontal="center" vertical="center"/>
    </xf>
    <xf numFmtId="172" fontId="9" fillId="39" borderId="15" xfId="0" applyNumberFormat="1" applyFont="1" applyFill="1" applyBorder="1" applyAlignment="1">
      <alignment horizontal="center" vertical="center"/>
    </xf>
    <xf numFmtId="164" fontId="9" fillId="0" borderId="0" xfId="49" applyNumberFormat="1" applyFont="1" applyFill="1" applyBorder="1" applyAlignment="1">
      <alignment vertical="center"/>
    </xf>
    <xf numFmtId="172" fontId="27" fillId="34" borderId="15" xfId="0" applyNumberFormat="1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distributed" wrapText="1"/>
    </xf>
    <xf numFmtId="10" fontId="27" fillId="34" borderId="15" xfId="60" applyNumberFormat="1" applyFont="1" applyFill="1" applyBorder="1" applyAlignment="1">
      <alignment horizontal="center" vertical="distributed" wrapText="1"/>
    </xf>
    <xf numFmtId="167" fontId="27" fillId="34" borderId="15" xfId="60" applyNumberFormat="1" applyFont="1" applyFill="1" applyBorder="1" applyAlignment="1">
      <alignment horizontal="center" vertical="distributed" wrapText="1"/>
    </xf>
    <xf numFmtId="0" fontId="27" fillId="34" borderId="15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distributed"/>
    </xf>
    <xf numFmtId="11" fontId="3" fillId="34" borderId="14" xfId="0" applyNumberFormat="1" applyFont="1" applyFill="1" applyBorder="1" applyAlignment="1">
      <alignment horizontal="center" vertical="distributed"/>
    </xf>
    <xf numFmtId="0" fontId="3" fillId="34" borderId="15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right" vertical="distributed"/>
    </xf>
    <xf numFmtId="0" fontId="34" fillId="34" borderId="15" xfId="0" applyFont="1" applyFill="1" applyBorder="1" applyAlignment="1">
      <alignment horizontal="center" vertical="distributed"/>
    </xf>
    <xf numFmtId="0" fontId="27" fillId="34" borderId="38" xfId="0" applyFont="1" applyFill="1" applyBorder="1" applyAlignment="1">
      <alignment horizontal="left" vertical="distributed" wrapText="1"/>
    </xf>
    <xf numFmtId="172" fontId="7" fillId="34" borderId="15" xfId="0" applyNumberFormat="1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distributed" wrapText="1"/>
    </xf>
    <xf numFmtId="10" fontId="7" fillId="34" borderId="15" xfId="60" applyNumberFormat="1" applyFont="1" applyFill="1" applyBorder="1" applyAlignment="1">
      <alignment horizontal="center" vertical="distributed" wrapText="1"/>
    </xf>
    <xf numFmtId="167" fontId="41" fillId="34" borderId="37" xfId="0" applyNumberFormat="1" applyFont="1" applyFill="1" applyBorder="1" applyAlignment="1">
      <alignment horizontal="center" vertical="distributed"/>
    </xf>
    <xf numFmtId="172" fontId="3" fillId="39" borderId="0" xfId="0" applyNumberFormat="1" applyFont="1" applyFill="1" applyAlignment="1">
      <alignment horizontal="center" vertical="center"/>
    </xf>
    <xf numFmtId="0" fontId="34" fillId="34" borderId="24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right" vertical="center"/>
    </xf>
    <xf numFmtId="10" fontId="35" fillId="34" borderId="40" xfId="0" applyNumberFormat="1" applyFont="1" applyFill="1" applyBorder="1" applyAlignment="1">
      <alignment horizontal="center" vertical="center"/>
    </xf>
    <xf numFmtId="167" fontId="3" fillId="34" borderId="40" xfId="60" applyNumberFormat="1" applyFont="1" applyFill="1" applyBorder="1" applyAlignment="1">
      <alignment horizontal="left" vertical="center"/>
    </xf>
    <xf numFmtId="2" fontId="3" fillId="34" borderId="40" xfId="0" applyNumberFormat="1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172" fontId="35" fillId="34" borderId="40" xfId="0" applyNumberFormat="1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vertical="center"/>
    </xf>
    <xf numFmtId="10" fontId="36" fillId="34" borderId="41" xfId="0" applyNumberFormat="1" applyFont="1" applyFill="1" applyBorder="1" applyAlignment="1">
      <alignment horizontal="center" vertical="center"/>
    </xf>
    <xf numFmtId="10" fontId="36" fillId="34" borderId="32" xfId="0" applyNumberFormat="1" applyFont="1" applyFill="1" applyBorder="1" applyAlignment="1">
      <alignment horizontal="center" vertical="center"/>
    </xf>
    <xf numFmtId="165" fontId="7" fillId="34" borderId="32" xfId="49" applyNumberFormat="1" applyFont="1" applyFill="1" applyBorder="1" applyAlignment="1">
      <alignment horizontal="center" vertical="distributed"/>
    </xf>
    <xf numFmtId="43" fontId="37" fillId="34" borderId="32" xfId="49" applyFont="1" applyFill="1" applyBorder="1" applyAlignment="1">
      <alignment horizontal="center" vertical="distributed"/>
    </xf>
    <xf numFmtId="43" fontId="35" fillId="34" borderId="33" xfId="49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distributed"/>
    </xf>
    <xf numFmtId="0" fontId="7" fillId="34" borderId="17" xfId="0" applyFont="1" applyFill="1" applyBorder="1" applyAlignment="1">
      <alignment vertical="distributed"/>
    </xf>
    <xf numFmtId="43" fontId="7" fillId="0" borderId="16" xfId="0" applyNumberFormat="1" applyFont="1" applyFill="1" applyBorder="1" applyAlignment="1">
      <alignment horizontal="left" vertical="center"/>
    </xf>
    <xf numFmtId="10" fontId="9" fillId="0" borderId="0" xfId="6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right" vertical="center"/>
    </xf>
    <xf numFmtId="180" fontId="3" fillId="0" borderId="0" xfId="60" applyNumberFormat="1" applyFont="1" applyAlignment="1">
      <alignment horizontal="left" vertical="center"/>
    </xf>
    <xf numFmtId="213" fontId="65" fillId="32" borderId="15" xfId="46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 horizontal="center" vertical="distributed"/>
    </xf>
    <xf numFmtId="0" fontId="3" fillId="0" borderId="43" xfId="0" applyFont="1" applyBorder="1" applyAlignment="1">
      <alignment horizontal="center" vertical="distributed"/>
    </xf>
    <xf numFmtId="0" fontId="3" fillId="0" borderId="44" xfId="0" applyFont="1" applyBorder="1" applyAlignment="1">
      <alignment horizontal="center" vertical="distributed"/>
    </xf>
    <xf numFmtId="0" fontId="9" fillId="0" borderId="45" xfId="0" applyFont="1" applyFill="1" applyBorder="1" applyAlignment="1">
      <alignment horizontal="center" vertical="distributed"/>
    </xf>
    <xf numFmtId="0" fontId="9" fillId="0" borderId="46" xfId="0" applyFont="1" applyFill="1" applyBorder="1" applyAlignment="1">
      <alignment horizontal="center" vertical="distributed"/>
    </xf>
    <xf numFmtId="0" fontId="9" fillId="0" borderId="47" xfId="0" applyFont="1" applyFill="1" applyBorder="1" applyAlignment="1">
      <alignment horizontal="center" vertical="distributed"/>
    </xf>
    <xf numFmtId="43" fontId="3" fillId="35" borderId="0" xfId="0" applyNumberFormat="1" applyFont="1" applyFill="1" applyAlignment="1">
      <alignment horizontal="left" vertical="center"/>
    </xf>
    <xf numFmtId="43" fontId="3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10" fontId="3" fillId="35" borderId="17" xfId="60" applyNumberFormat="1" applyFont="1" applyFill="1" applyBorder="1" applyAlignment="1">
      <alignment horizontal="center" vertical="distributed"/>
    </xf>
    <xf numFmtId="2" fontId="3" fillId="35" borderId="12" xfId="0" applyNumberFormat="1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distributed" wrapText="1"/>
    </xf>
    <xf numFmtId="0" fontId="32" fillId="35" borderId="43" xfId="0" applyFont="1" applyFill="1" applyBorder="1" applyAlignment="1">
      <alignment horizontal="center" vertical="distributed"/>
    </xf>
    <xf numFmtId="0" fontId="32" fillId="35" borderId="43" xfId="0" applyFont="1" applyFill="1" applyBorder="1" applyAlignment="1">
      <alignment horizontal="center" vertical="distributed" wrapText="1"/>
    </xf>
    <xf numFmtId="0" fontId="32" fillId="35" borderId="44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center"/>
    </xf>
    <xf numFmtId="10" fontId="36" fillId="35" borderId="16" xfId="60" applyNumberFormat="1" applyFont="1" applyFill="1" applyBorder="1" applyAlignment="1">
      <alignment horizontal="center" vertical="center"/>
    </xf>
    <xf numFmtId="10" fontId="7" fillId="35" borderId="16" xfId="6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72" fontId="3" fillId="35" borderId="0" xfId="0" applyNumberFormat="1" applyFont="1" applyFill="1" applyAlignment="1">
      <alignment horizontal="center"/>
    </xf>
    <xf numFmtId="0" fontId="71" fillId="0" borderId="30" xfId="0" applyFont="1" applyFill="1" applyBorder="1" applyAlignment="1">
      <alignment horizontal="center" vertical="distributed"/>
    </xf>
    <xf numFmtId="43" fontId="71" fillId="0" borderId="32" xfId="49" applyFont="1" applyFill="1" applyBorder="1" applyAlignment="1">
      <alignment horizontal="center" vertical="distributed"/>
    </xf>
    <xf numFmtId="0" fontId="3" fillId="32" borderId="15" xfId="0" applyFont="1" applyFill="1" applyBorder="1" applyAlignment="1">
      <alignment horizontal="center" vertical="center"/>
    </xf>
    <xf numFmtId="2" fontId="3" fillId="7" borderId="15" xfId="0" applyNumberFormat="1" applyFont="1" applyFill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distributed"/>
    </xf>
    <xf numFmtId="0" fontId="3" fillId="34" borderId="14" xfId="0" applyFont="1" applyFill="1" applyBorder="1" applyAlignment="1">
      <alignment horizontal="center" vertical="distributed"/>
    </xf>
    <xf numFmtId="167" fontId="4" fillId="0" borderId="15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/>
    </xf>
    <xf numFmtId="2" fontId="3" fillId="35" borderId="15" xfId="51" applyNumberFormat="1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3" fontId="3" fillId="35" borderId="15" xfId="49" applyNumberFormat="1" applyFont="1" applyFill="1" applyBorder="1" applyAlignment="1">
      <alignment horizontal="center"/>
    </xf>
    <xf numFmtId="0" fontId="72" fillId="34" borderId="12" xfId="0" applyFont="1" applyFill="1" applyBorder="1" applyAlignment="1">
      <alignment horizontal="left" vertical="distributed"/>
    </xf>
    <xf numFmtId="172" fontId="70" fillId="0" borderId="15" xfId="0" applyNumberFormat="1" applyFont="1" applyFill="1" applyBorder="1" applyAlignment="1">
      <alignment horizontal="center" vertical="center"/>
    </xf>
    <xf numFmtId="172" fontId="69" fillId="0" borderId="15" xfId="0" applyNumberFormat="1" applyFont="1" applyFill="1" applyBorder="1" applyAlignment="1">
      <alignment horizontal="center" vertical="center"/>
    </xf>
    <xf numFmtId="0" fontId="71" fillId="34" borderId="30" xfId="0" applyFont="1" applyFill="1" applyBorder="1" applyAlignment="1">
      <alignment horizontal="center" vertical="distributed"/>
    </xf>
    <xf numFmtId="43" fontId="71" fillId="34" borderId="32" xfId="49" applyFont="1" applyFill="1" applyBorder="1" applyAlignment="1">
      <alignment horizontal="center" vertical="distributed"/>
    </xf>
    <xf numFmtId="43" fontId="73" fillId="34" borderId="17" xfId="49" applyFont="1" applyFill="1" applyBorder="1" applyAlignment="1">
      <alignment horizontal="center" vertical="center"/>
    </xf>
    <xf numFmtId="0" fontId="32" fillId="35" borderId="48" xfId="0" applyFont="1" applyFill="1" applyBorder="1" applyAlignment="1">
      <alignment horizontal="center" vertical="distributed" wrapText="1"/>
    </xf>
    <xf numFmtId="0" fontId="32" fillId="35" borderId="49" xfId="0" applyFont="1" applyFill="1" applyBorder="1" applyAlignment="1">
      <alignment horizontal="center" vertical="distributed"/>
    </xf>
    <xf numFmtId="0" fontId="32" fillId="35" borderId="49" xfId="0" applyFont="1" applyFill="1" applyBorder="1" applyAlignment="1">
      <alignment horizontal="center" vertical="distributed" wrapText="1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distributed"/>
    </xf>
    <xf numFmtId="0" fontId="27" fillId="34" borderId="30" xfId="0" applyFont="1" applyFill="1" applyBorder="1" applyAlignment="1">
      <alignment horizontal="center" vertical="distributed"/>
    </xf>
    <xf numFmtId="1" fontId="74" fillId="0" borderId="15" xfId="0" applyNumberFormat="1" applyFont="1" applyFill="1" applyBorder="1" applyAlignment="1">
      <alignment horizontal="center" vertical="center"/>
    </xf>
    <xf numFmtId="172" fontId="74" fillId="0" borderId="15" xfId="0" applyNumberFormat="1" applyFont="1" applyFill="1" applyBorder="1" applyAlignment="1">
      <alignment horizontal="center" vertical="center"/>
    </xf>
    <xf numFmtId="10" fontId="3" fillId="35" borderId="17" xfId="60" applyNumberFormat="1" applyFont="1" applyFill="1" applyBorder="1" applyAlignment="1">
      <alignment horizontal="center" vertical="center"/>
    </xf>
    <xf numFmtId="43" fontId="73" fillId="34" borderId="30" xfId="49" applyFont="1" applyFill="1" applyBorder="1" applyAlignment="1">
      <alignment horizontal="center" vertical="distributed"/>
    </xf>
    <xf numFmtId="165" fontId="73" fillId="34" borderId="32" xfId="49" applyNumberFormat="1" applyFont="1" applyFill="1" applyBorder="1" applyAlignment="1">
      <alignment horizontal="center" vertical="distributed"/>
    </xf>
    <xf numFmtId="172" fontId="9" fillId="0" borderId="0" xfId="0" applyNumberFormat="1" applyFont="1" applyAlignment="1">
      <alignment horizontal="right" vertical="center"/>
    </xf>
    <xf numFmtId="180" fontId="40" fillId="34" borderId="15" xfId="0" applyNumberFormat="1" applyFont="1" applyFill="1" applyBorder="1" applyAlignment="1">
      <alignment horizontal="center" vertical="center" wrapText="1"/>
    </xf>
    <xf numFmtId="9" fontId="36" fillId="34" borderId="41" xfId="0" applyNumberFormat="1" applyFont="1" applyFill="1" applyBorder="1" applyAlignment="1">
      <alignment horizontal="center" vertical="center"/>
    </xf>
    <xf numFmtId="3" fontId="3" fillId="35" borderId="15" xfId="51" applyNumberFormat="1" applyFont="1" applyFill="1" applyBorder="1" applyAlignment="1">
      <alignment horizontal="center"/>
    </xf>
    <xf numFmtId="0" fontId="75" fillId="34" borderId="30" xfId="0" applyFont="1" applyFill="1" applyBorder="1" applyAlignment="1">
      <alignment horizontal="center" vertical="distributed"/>
    </xf>
    <xf numFmtId="43" fontId="75" fillId="34" borderId="32" xfId="49" applyFont="1" applyFill="1" applyBorder="1" applyAlignment="1">
      <alignment horizontal="center" vertical="distributed"/>
    </xf>
    <xf numFmtId="0" fontId="32" fillId="35" borderId="24" xfId="0" applyFont="1" applyFill="1" applyBorder="1" applyAlignment="1">
      <alignment horizontal="center" vertical="center" wrapText="1"/>
    </xf>
    <xf numFmtId="0" fontId="32" fillId="35" borderId="5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distributed"/>
    </xf>
    <xf numFmtId="0" fontId="9" fillId="0" borderId="16" xfId="0" applyFont="1" applyBorder="1" applyAlignment="1">
      <alignment horizontal="center" vertical="distributed"/>
    </xf>
    <xf numFmtId="0" fontId="9" fillId="0" borderId="17" xfId="0" applyFont="1" applyBorder="1" applyAlignment="1">
      <alignment horizontal="center" vertical="distributed"/>
    </xf>
    <xf numFmtId="2" fontId="3" fillId="13" borderId="15" xfId="0" applyNumberFormat="1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24" xfId="0" applyFont="1" applyFill="1" applyBorder="1" applyAlignment="1">
      <alignment horizontal="center" vertical="center" wrapText="1"/>
    </xf>
    <xf numFmtId="0" fontId="32" fillId="34" borderId="50" xfId="0" applyFont="1" applyFill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horizontal="center" vertical="center"/>
    </xf>
    <xf numFmtId="1" fontId="46" fillId="34" borderId="52" xfId="49" applyNumberFormat="1" applyFont="1" applyFill="1" applyBorder="1" applyAlignment="1">
      <alignment horizontal="center" vertical="center" wrapText="1"/>
    </xf>
    <xf numFmtId="1" fontId="46" fillId="34" borderId="49" xfId="49" applyNumberFormat="1" applyFont="1" applyFill="1" applyBorder="1" applyAlignment="1">
      <alignment horizontal="center" vertical="center" wrapText="1"/>
    </xf>
    <xf numFmtId="1" fontId="46" fillId="34" borderId="14" xfId="49" applyNumberFormat="1" applyFont="1" applyFill="1" applyBorder="1" applyAlignment="1">
      <alignment horizontal="center" vertical="center" wrapText="1"/>
    </xf>
    <xf numFmtId="0" fontId="76" fillId="34" borderId="23" xfId="0" applyFont="1" applyFill="1" applyBorder="1" applyAlignment="1">
      <alignment horizontal="left" vertical="center"/>
    </xf>
    <xf numFmtId="0" fontId="76" fillId="34" borderId="27" xfId="0" applyFont="1" applyFill="1" applyBorder="1" applyAlignment="1">
      <alignment horizontal="left" vertical="center"/>
    </xf>
    <xf numFmtId="0" fontId="76" fillId="34" borderId="25" xfId="0" applyFont="1" applyFill="1" applyBorder="1" applyAlignment="1">
      <alignment horizontal="left" vertical="center"/>
    </xf>
    <xf numFmtId="0" fontId="35" fillId="34" borderId="23" xfId="0" applyFont="1" applyFill="1" applyBorder="1" applyAlignment="1">
      <alignment horizontal="left" vertical="center" wrapText="1"/>
    </xf>
    <xf numFmtId="0" fontId="35" fillId="34" borderId="18" xfId="0" applyFont="1" applyFill="1" applyBorder="1" applyAlignment="1">
      <alignment horizontal="left" vertical="center" wrapText="1"/>
    </xf>
    <xf numFmtId="0" fontId="32" fillId="34" borderId="24" xfId="0" applyFont="1" applyFill="1" applyBorder="1" applyAlignment="1">
      <alignment horizontal="center" vertical="distributed" wrapText="1"/>
    </xf>
    <xf numFmtId="0" fontId="32" fillId="34" borderId="50" xfId="0" applyFont="1" applyFill="1" applyBorder="1" applyAlignment="1">
      <alignment horizontal="center" vertical="distributed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 wrapText="1"/>
    </xf>
    <xf numFmtId="2" fontId="3" fillId="34" borderId="37" xfId="0" applyNumberFormat="1" applyFont="1" applyFill="1" applyBorder="1" applyAlignment="1">
      <alignment horizontal="center" vertical="center"/>
    </xf>
    <xf numFmtId="2" fontId="3" fillId="34" borderId="51" xfId="0" applyNumberFormat="1" applyFont="1" applyFill="1" applyBorder="1" applyAlignment="1">
      <alignment horizontal="center" vertical="center"/>
    </xf>
    <xf numFmtId="2" fontId="3" fillId="34" borderId="38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Currency" xfId="55"/>
    <cellStyle name="Currency [0]" xfId="56"/>
    <cellStyle name="Neutral" xfId="57"/>
    <cellStyle name="Normal 2" xfId="58"/>
    <cellStyle name="Notas" xfId="59"/>
    <cellStyle name="Percent" xfId="60"/>
    <cellStyle name="Porcentaje 2" xfId="61"/>
    <cellStyle name="Porcentaje 3" xfId="62"/>
    <cellStyle name="Porcentaje 4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PageLayoutView="0" workbookViewId="0" topLeftCell="A1">
      <selection activeCell="A1" sqref="A1"/>
    </sheetView>
  </sheetViews>
  <sheetFormatPr defaultColWidth="16.00390625" defaultRowHeight="12.75"/>
  <cols>
    <col min="1" max="1" width="23.14062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6.140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0.421875" style="2" customWidth="1"/>
    <col min="15" max="15" width="16.7109375" style="2" customWidth="1"/>
    <col min="16" max="16" width="16.00390625" style="2" customWidth="1"/>
    <col min="17" max="17" width="13.8515625" style="2" hidden="1" customWidth="1"/>
    <col min="18" max="18" width="0" style="2" hidden="1" customWidth="1"/>
    <col min="19" max="19" width="34.8515625" style="2" customWidth="1"/>
    <col min="20" max="16384" width="16.00390625" style="2" customWidth="1"/>
  </cols>
  <sheetData>
    <row r="1" spans="19:28" ht="15">
      <c r="S1" s="9"/>
      <c r="T1" s="18"/>
      <c r="U1" s="18"/>
      <c r="V1" s="18"/>
      <c r="W1" s="18"/>
      <c r="X1" s="18"/>
      <c r="Y1" s="18"/>
      <c r="Z1" s="18"/>
      <c r="AA1" s="18"/>
      <c r="AB1" s="18"/>
    </row>
    <row r="2" spans="1:28" ht="20.25" customHeight="1" hidden="1">
      <c r="A2" s="210" t="s">
        <v>89</v>
      </c>
      <c r="B2" s="196" t="str">
        <f>A4</f>
        <v>CAMBIOS en diagnóstico de verrugas AG, mujeres 15 a 19 años, seguimiento 5 a 8 años</v>
      </c>
      <c r="C2" s="197"/>
      <c r="D2" s="198"/>
      <c r="E2" s="198"/>
      <c r="F2" s="198"/>
      <c r="G2" s="198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5.5" hidden="1">
      <c r="A3" s="21" t="s">
        <v>16</v>
      </c>
      <c r="B3" s="264" t="s">
        <v>17</v>
      </c>
      <c r="C3" s="264"/>
      <c r="D3" s="264"/>
      <c r="E3" s="258" t="s">
        <v>18</v>
      </c>
      <c r="F3" s="258"/>
      <c r="G3" s="258"/>
      <c r="H3" s="136" t="s">
        <v>23</v>
      </c>
      <c r="I3" s="252" t="s">
        <v>24</v>
      </c>
      <c r="J3" s="253"/>
      <c r="K3" s="254"/>
      <c r="L3" s="252" t="s">
        <v>25</v>
      </c>
      <c r="M3" s="254"/>
      <c r="N3" s="137" t="s">
        <v>26</v>
      </c>
      <c r="O3" s="17"/>
      <c r="T3" s="18"/>
      <c r="U3" s="18"/>
      <c r="W3" s="18"/>
      <c r="X3" s="18"/>
      <c r="Y3" s="18"/>
      <c r="Z3" s="18"/>
      <c r="AA3" s="18"/>
      <c r="AB3" s="18"/>
    </row>
    <row r="4" spans="1:28" ht="51" hidden="1">
      <c r="A4" s="22" t="s">
        <v>282</v>
      </c>
      <c r="B4" s="216" t="s">
        <v>19</v>
      </c>
      <c r="C4" s="216" t="s">
        <v>20</v>
      </c>
      <c r="D4" s="216" t="s">
        <v>1</v>
      </c>
      <c r="E4" s="215" t="s">
        <v>19</v>
      </c>
      <c r="F4" s="215" t="s">
        <v>20</v>
      </c>
      <c r="G4" s="215" t="s">
        <v>1</v>
      </c>
      <c r="H4" s="138" t="s">
        <v>27</v>
      </c>
      <c r="I4" s="60" t="s">
        <v>14</v>
      </c>
      <c r="J4" s="61" t="s">
        <v>15</v>
      </c>
      <c r="K4" s="60" t="s">
        <v>1</v>
      </c>
      <c r="L4" s="139" t="s">
        <v>14</v>
      </c>
      <c r="M4" s="140" t="s">
        <v>85</v>
      </c>
      <c r="N4" s="59" t="s">
        <v>27</v>
      </c>
      <c r="O4" s="17"/>
      <c r="P4" s="2" t="s">
        <v>10</v>
      </c>
      <c r="Q4" s="2" t="s">
        <v>10</v>
      </c>
      <c r="T4" s="18"/>
      <c r="U4" s="18"/>
      <c r="W4" s="18"/>
      <c r="X4" s="18"/>
      <c r="Y4" s="18"/>
      <c r="Z4" s="18"/>
      <c r="AA4" s="18"/>
      <c r="AB4" s="18"/>
    </row>
    <row r="5" spans="1:28" ht="12.75" hidden="1">
      <c r="A5" s="25" t="s">
        <v>91</v>
      </c>
      <c r="B5" s="30">
        <v>1745</v>
      </c>
      <c r="C5" s="31">
        <f>D5-B5</f>
        <v>1015498</v>
      </c>
      <c r="D5" s="32">
        <v>1017243</v>
      </c>
      <c r="E5" s="30">
        <v>2871</v>
      </c>
      <c r="F5" s="31">
        <f>G5-E5</f>
        <v>1527084</v>
      </c>
      <c r="G5" s="32">
        <v>1529955</v>
      </c>
      <c r="H5" s="189">
        <v>6</v>
      </c>
      <c r="I5" s="142">
        <f aca="true" t="shared" si="0" ref="I5:I12">D5*H5</f>
        <v>6103458</v>
      </c>
      <c r="J5" s="142">
        <f aca="true" t="shared" si="1" ref="J5:J12">G5*H5</f>
        <v>9179730</v>
      </c>
      <c r="K5" s="142">
        <f>I5+J5</f>
        <v>15283188</v>
      </c>
      <c r="L5" s="143">
        <f aca="true" t="shared" si="2" ref="L5:L13">B5/I5</f>
        <v>0.00028590349929498985</v>
      </c>
      <c r="M5" s="143">
        <f aca="true" t="shared" si="3" ref="M5:M13">E5/J5</f>
        <v>0.0003127542966950008</v>
      </c>
      <c r="N5" s="214">
        <v>17.5</v>
      </c>
      <c r="O5" s="63">
        <f>N5*(D5+G5)</f>
        <v>44575965</v>
      </c>
      <c r="P5" s="64" t="str">
        <f aca="true" t="shared" si="4" ref="P5:P13">CONCATENATE(B5," ",$P$4," ",D5)</f>
        <v>1745 / 1017243</v>
      </c>
      <c r="Q5" s="64" t="str">
        <f aca="true" t="shared" si="5" ref="Q5:Q13">CONCATENATE(E5," ",$Q$4," ",G5)</f>
        <v>2871 / 1529955</v>
      </c>
      <c r="T5" s="18"/>
      <c r="U5" s="18"/>
      <c r="W5" s="18"/>
      <c r="X5" s="18"/>
      <c r="Y5" s="18"/>
      <c r="Z5" s="18"/>
      <c r="AA5" s="18"/>
      <c r="AB5" s="18"/>
    </row>
    <row r="6" spans="1:28" ht="12.75" hidden="1">
      <c r="A6" s="25" t="s">
        <v>92</v>
      </c>
      <c r="B6" s="30">
        <v>29</v>
      </c>
      <c r="C6" s="31">
        <f aca="true" t="shared" si="6" ref="C6:C12">D6-B6</f>
        <v>327235</v>
      </c>
      <c r="D6" s="32">
        <v>327264</v>
      </c>
      <c r="E6" s="30">
        <v>62</v>
      </c>
      <c r="F6" s="31">
        <f aca="true" t="shared" si="7" ref="F6:F12">G6-E6</f>
        <v>309123</v>
      </c>
      <c r="G6" s="32">
        <v>309185</v>
      </c>
      <c r="H6" s="189">
        <v>7</v>
      </c>
      <c r="I6" s="142">
        <f t="shared" si="0"/>
        <v>2290848</v>
      </c>
      <c r="J6" s="142">
        <f t="shared" si="1"/>
        <v>2164295</v>
      </c>
      <c r="K6" s="142">
        <f aca="true" t="shared" si="8" ref="K6:K12">I6+J6</f>
        <v>4455143</v>
      </c>
      <c r="L6" s="143">
        <f t="shared" si="2"/>
        <v>1.2659067733869729E-05</v>
      </c>
      <c r="M6" s="143">
        <f t="shared" si="3"/>
        <v>2.8646741779655732E-05</v>
      </c>
      <c r="N6" s="214">
        <v>17.5</v>
      </c>
      <c r="O6" s="63">
        <f aca="true" t="shared" si="9" ref="O6:O12">N6*(D6+G6)</f>
        <v>11137857.5</v>
      </c>
      <c r="P6" s="64" t="str">
        <f t="shared" si="4"/>
        <v>29 / 327264</v>
      </c>
      <c r="Q6" s="64" t="str">
        <f t="shared" si="5"/>
        <v>62 / 309185</v>
      </c>
      <c r="T6" s="18"/>
      <c r="U6" s="18"/>
      <c r="W6" s="18"/>
      <c r="X6" s="18"/>
      <c r="Y6" s="18"/>
      <c r="Z6" s="18"/>
      <c r="AA6" s="18"/>
      <c r="AB6" s="18"/>
    </row>
    <row r="7" spans="1:28" ht="12.75" hidden="1">
      <c r="A7" s="25" t="s">
        <v>93</v>
      </c>
      <c r="B7" s="30">
        <v>2207</v>
      </c>
      <c r="C7" s="31">
        <f t="shared" si="6"/>
        <v>572535</v>
      </c>
      <c r="D7" s="32">
        <v>574742</v>
      </c>
      <c r="E7" s="30">
        <v>1872</v>
      </c>
      <c r="F7" s="31">
        <f t="shared" si="7"/>
        <v>294549</v>
      </c>
      <c r="G7" s="32">
        <v>296421</v>
      </c>
      <c r="H7" s="189">
        <v>6</v>
      </c>
      <c r="I7" s="142">
        <f t="shared" si="0"/>
        <v>3448452</v>
      </c>
      <c r="J7" s="142">
        <f t="shared" si="1"/>
        <v>1778526</v>
      </c>
      <c r="K7" s="142">
        <f t="shared" si="8"/>
        <v>5226978</v>
      </c>
      <c r="L7" s="143">
        <f t="shared" si="2"/>
        <v>0.0006399973089374595</v>
      </c>
      <c r="M7" s="143">
        <f t="shared" si="3"/>
        <v>0.0010525570050704909</v>
      </c>
      <c r="N7" s="214">
        <v>17.5</v>
      </c>
      <c r="O7" s="63">
        <f t="shared" si="9"/>
        <v>15245352.5</v>
      </c>
      <c r="P7" s="64" t="str">
        <f t="shared" si="4"/>
        <v>2207 / 574742</v>
      </c>
      <c r="Q7" s="64" t="str">
        <f t="shared" si="5"/>
        <v>1872 / 296421</v>
      </c>
      <c r="T7" s="18"/>
      <c r="U7" s="18"/>
      <c r="W7" s="18"/>
      <c r="X7" s="18"/>
      <c r="Y7" s="18"/>
      <c r="Z7" s="18"/>
      <c r="AA7" s="18"/>
      <c r="AB7" s="18"/>
    </row>
    <row r="8" spans="1:28" ht="12.75" hidden="1">
      <c r="A8" s="25" t="s">
        <v>94</v>
      </c>
      <c r="B8" s="30">
        <v>7378</v>
      </c>
      <c r="C8" s="31">
        <f t="shared" si="6"/>
        <v>5500369</v>
      </c>
      <c r="D8" s="32">
        <v>5507747</v>
      </c>
      <c r="E8" s="30">
        <v>3666</v>
      </c>
      <c r="F8" s="31">
        <f t="shared" si="7"/>
        <v>1392688</v>
      </c>
      <c r="G8" s="32">
        <v>1396354</v>
      </c>
      <c r="H8" s="189">
        <v>8</v>
      </c>
      <c r="I8" s="142">
        <f t="shared" si="0"/>
        <v>44061976</v>
      </c>
      <c r="J8" s="142">
        <f t="shared" si="1"/>
        <v>11170832</v>
      </c>
      <c r="K8" s="142">
        <f t="shared" si="8"/>
        <v>55232808</v>
      </c>
      <c r="L8" s="143">
        <f t="shared" si="2"/>
        <v>0.00016744596293184855</v>
      </c>
      <c r="M8" s="143">
        <f t="shared" si="3"/>
        <v>0.000328176092881891</v>
      </c>
      <c r="N8" s="214">
        <v>17.5</v>
      </c>
      <c r="O8" s="63">
        <f t="shared" si="9"/>
        <v>120821767.5</v>
      </c>
      <c r="P8" s="64" t="str">
        <f t="shared" si="4"/>
        <v>7378 / 5507747</v>
      </c>
      <c r="Q8" s="64" t="str">
        <f t="shared" si="5"/>
        <v>3666 / 1396354</v>
      </c>
      <c r="T8" s="18"/>
      <c r="U8" s="18"/>
      <c r="W8" s="18"/>
      <c r="X8" s="18"/>
      <c r="Y8" s="18"/>
      <c r="Z8" s="18"/>
      <c r="AA8" s="18"/>
      <c r="AB8" s="18"/>
    </row>
    <row r="9" spans="1:28" ht="12.75" hidden="1">
      <c r="A9" s="25" t="s">
        <v>95</v>
      </c>
      <c r="B9" s="30">
        <v>30</v>
      </c>
      <c r="C9" s="31">
        <f t="shared" si="6"/>
        <v>100976</v>
      </c>
      <c r="D9" s="32">
        <v>101006</v>
      </c>
      <c r="E9" s="30">
        <v>55</v>
      </c>
      <c r="F9" s="31">
        <f t="shared" si="7"/>
        <v>66012</v>
      </c>
      <c r="G9" s="32">
        <v>66067</v>
      </c>
      <c r="H9" s="189">
        <v>6</v>
      </c>
      <c r="I9" s="142">
        <f t="shared" si="0"/>
        <v>606036</v>
      </c>
      <c r="J9" s="142">
        <f t="shared" si="1"/>
        <v>396402</v>
      </c>
      <c r="K9" s="142">
        <f t="shared" si="8"/>
        <v>1002438</v>
      </c>
      <c r="L9" s="143">
        <f t="shared" si="2"/>
        <v>4.950200978159713E-05</v>
      </c>
      <c r="M9" s="143">
        <f t="shared" si="3"/>
        <v>0.00013874803860727242</v>
      </c>
      <c r="N9" s="214">
        <v>17.5</v>
      </c>
      <c r="O9" s="63">
        <f t="shared" si="9"/>
        <v>2923777.5</v>
      </c>
      <c r="P9" s="64" t="str">
        <f t="shared" si="4"/>
        <v>30 / 101006</v>
      </c>
      <c r="Q9" s="64" t="str">
        <f t="shared" si="5"/>
        <v>55 / 66067</v>
      </c>
      <c r="T9" s="18"/>
      <c r="U9" s="18"/>
      <c r="W9" s="18"/>
      <c r="X9" s="18"/>
      <c r="Y9" s="18"/>
      <c r="Z9" s="18"/>
      <c r="AA9" s="18"/>
      <c r="AB9" s="18"/>
    </row>
    <row r="10" spans="1:28" ht="12.75" hidden="1">
      <c r="A10" s="25" t="s">
        <v>96</v>
      </c>
      <c r="B10" s="30">
        <v>22</v>
      </c>
      <c r="C10" s="31">
        <f t="shared" si="6"/>
        <v>552</v>
      </c>
      <c r="D10" s="32">
        <v>574</v>
      </c>
      <c r="E10" s="30">
        <v>308</v>
      </c>
      <c r="F10" s="31">
        <f t="shared" si="7"/>
        <v>1018</v>
      </c>
      <c r="G10" s="32">
        <v>1326</v>
      </c>
      <c r="H10" s="189">
        <v>5</v>
      </c>
      <c r="I10" s="142">
        <f t="shared" si="0"/>
        <v>2870</v>
      </c>
      <c r="J10" s="142">
        <f t="shared" si="1"/>
        <v>6630</v>
      </c>
      <c r="K10" s="142">
        <f t="shared" si="8"/>
        <v>9500</v>
      </c>
      <c r="L10" s="143">
        <f t="shared" si="2"/>
        <v>0.007665505226480836</v>
      </c>
      <c r="M10" s="143">
        <f t="shared" si="3"/>
        <v>0.04645550527903469</v>
      </c>
      <c r="N10" s="214">
        <v>17.5</v>
      </c>
      <c r="O10" s="63">
        <f t="shared" si="9"/>
        <v>33250</v>
      </c>
      <c r="P10" s="64" t="str">
        <f t="shared" si="4"/>
        <v>22 / 574</v>
      </c>
      <c r="Q10" s="64" t="str">
        <f t="shared" si="5"/>
        <v>308 / 1326</v>
      </c>
      <c r="T10" s="18"/>
      <c r="U10" s="18"/>
      <c r="W10" s="18"/>
      <c r="X10" s="18"/>
      <c r="Y10" s="18"/>
      <c r="Z10" s="18"/>
      <c r="AA10" s="18"/>
      <c r="AB10" s="18"/>
    </row>
    <row r="11" spans="1:28" ht="12.75" hidden="1">
      <c r="A11" s="25" t="s">
        <v>97</v>
      </c>
      <c r="B11" s="30">
        <v>5</v>
      </c>
      <c r="C11" s="31">
        <f t="shared" si="6"/>
        <v>8462</v>
      </c>
      <c r="D11" s="32">
        <v>8467</v>
      </c>
      <c r="E11" s="30">
        <v>24</v>
      </c>
      <c r="F11" s="31">
        <f t="shared" si="7"/>
        <v>7121</v>
      </c>
      <c r="G11" s="32">
        <v>7145</v>
      </c>
      <c r="H11" s="189">
        <v>8</v>
      </c>
      <c r="I11" s="142">
        <f t="shared" si="0"/>
        <v>67736</v>
      </c>
      <c r="J11" s="142">
        <f t="shared" si="1"/>
        <v>57160</v>
      </c>
      <c r="K11" s="142">
        <f t="shared" si="8"/>
        <v>124896</v>
      </c>
      <c r="L11" s="143">
        <f t="shared" si="2"/>
        <v>7.381599149639779E-05</v>
      </c>
      <c r="M11" s="143">
        <f t="shared" si="3"/>
        <v>0.0004198740377886634</v>
      </c>
      <c r="N11" s="214">
        <v>17.5</v>
      </c>
      <c r="O11" s="63">
        <f t="shared" si="9"/>
        <v>273210</v>
      </c>
      <c r="P11" s="64" t="str">
        <f t="shared" si="4"/>
        <v>5 / 8467</v>
      </c>
      <c r="Q11" s="64" t="str">
        <f t="shared" si="5"/>
        <v>24 / 7145</v>
      </c>
      <c r="T11" s="18"/>
      <c r="U11" s="18"/>
      <c r="W11" s="18"/>
      <c r="X11" s="18"/>
      <c r="Y11" s="18"/>
      <c r="Z11" s="18"/>
      <c r="AA11" s="18"/>
      <c r="AB11" s="18"/>
    </row>
    <row r="12" spans="1:28" ht="12.75" hidden="1">
      <c r="A12" s="25" t="s">
        <v>98</v>
      </c>
      <c r="B12" s="30">
        <v>55</v>
      </c>
      <c r="C12" s="31">
        <f t="shared" si="6"/>
        <v>8993</v>
      </c>
      <c r="D12" s="32">
        <v>9048</v>
      </c>
      <c r="E12" s="30">
        <v>647</v>
      </c>
      <c r="F12" s="31">
        <f t="shared" si="7"/>
        <v>6466</v>
      </c>
      <c r="G12" s="32">
        <v>7113</v>
      </c>
      <c r="H12" s="189">
        <v>8</v>
      </c>
      <c r="I12" s="142">
        <f t="shared" si="0"/>
        <v>72384</v>
      </c>
      <c r="J12" s="142">
        <f t="shared" si="1"/>
        <v>56904</v>
      </c>
      <c r="K12" s="142">
        <f t="shared" si="8"/>
        <v>129288</v>
      </c>
      <c r="L12" s="143">
        <f t="shared" si="2"/>
        <v>0.0007598364279398762</v>
      </c>
      <c r="M12" s="143">
        <f t="shared" si="3"/>
        <v>0.011370026711654716</v>
      </c>
      <c r="N12" s="214">
        <v>17.5</v>
      </c>
      <c r="O12" s="63">
        <f t="shared" si="9"/>
        <v>282817.5</v>
      </c>
      <c r="P12" s="64" t="str">
        <f t="shared" si="4"/>
        <v>55 / 9048</v>
      </c>
      <c r="Q12" s="64" t="str">
        <f t="shared" si="5"/>
        <v>647 / 7113</v>
      </c>
      <c r="T12" s="18"/>
      <c r="U12" s="18"/>
      <c r="W12" s="18"/>
      <c r="X12" s="18"/>
      <c r="Y12" s="18"/>
      <c r="Z12" s="18"/>
      <c r="AA12" s="18"/>
      <c r="AB12" s="18"/>
    </row>
    <row r="13" spans="1:28" ht="12.75" hidden="1">
      <c r="A13" s="145">
        <f>COUNT(D5:D12)</f>
        <v>8</v>
      </c>
      <c r="B13" s="146">
        <f>SUM(B5:B12)</f>
        <v>11471</v>
      </c>
      <c r="C13" s="147">
        <v>23009</v>
      </c>
      <c r="D13" s="146">
        <f>SUM(D5:D12)</f>
        <v>7546091</v>
      </c>
      <c r="E13" s="146">
        <f>SUM(E5:E12)</f>
        <v>9505</v>
      </c>
      <c r="F13" s="147">
        <v>28669.98</v>
      </c>
      <c r="G13" s="146">
        <f>SUM(G5:G12)</f>
        <v>3613566</v>
      </c>
      <c r="H13" s="148">
        <f>K13/(D13+G13)</f>
        <v>7.29988735316865</v>
      </c>
      <c r="I13" s="149">
        <f>SUM(I5:I12)</f>
        <v>56653760</v>
      </c>
      <c r="J13" s="149">
        <f>SUM(J5:J12)</f>
        <v>24810479</v>
      </c>
      <c r="K13" s="149">
        <f>SUM(K5:K12)</f>
        <v>81464239</v>
      </c>
      <c r="L13" s="150">
        <f t="shared" si="2"/>
        <v>0.00020247552854391307</v>
      </c>
      <c r="M13" s="150">
        <f t="shared" si="3"/>
        <v>0.0003831042520380199</v>
      </c>
      <c r="N13" s="151">
        <f>O13/(D13+G13)</f>
        <v>17.5</v>
      </c>
      <c r="O13" s="152">
        <f>SUM(O5:O12)</f>
        <v>195293997.5</v>
      </c>
      <c r="P13" s="65" t="str">
        <f t="shared" si="4"/>
        <v>11471 / 7546091</v>
      </c>
      <c r="Q13" s="65" t="str">
        <f t="shared" si="5"/>
        <v>9505 / 3613566</v>
      </c>
      <c r="T13" s="18"/>
      <c r="U13" s="18"/>
      <c r="W13" s="18"/>
      <c r="X13" s="18"/>
      <c r="Y13" s="18"/>
      <c r="Z13" s="18"/>
      <c r="AA13" s="18"/>
      <c r="AB13" s="18"/>
    </row>
    <row r="14" spans="2:28" ht="15.75" hidden="1" thickBot="1">
      <c r="B14" s="2"/>
      <c r="C14" s="2"/>
      <c r="E14" s="3"/>
      <c r="F14" s="29"/>
      <c r="S14" s="9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5.75" hidden="1" thickBot="1">
      <c r="A15" s="18"/>
      <c r="B15" s="34" t="s">
        <v>51</v>
      </c>
      <c r="C15" s="199">
        <v>0.0027966178843974766</v>
      </c>
      <c r="D15" s="255" t="s">
        <v>13</v>
      </c>
      <c r="E15" s="256"/>
      <c r="F15" s="257"/>
      <c r="S15" s="9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26.25" hidden="1" thickBot="1">
      <c r="A16" s="185">
        <f>I46</f>
        <v>0.0003831042520380199</v>
      </c>
      <c r="B16" s="186" t="s">
        <v>52</v>
      </c>
      <c r="C16" s="12"/>
      <c r="D16" s="10" t="s">
        <v>12</v>
      </c>
      <c r="E16" s="11" t="s">
        <v>21</v>
      </c>
      <c r="F16" s="10" t="s">
        <v>22</v>
      </c>
      <c r="S16" s="9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5.75" hidden="1" thickBot="1">
      <c r="A17" s="187">
        <f>E46</f>
        <v>7.29988735316865</v>
      </c>
      <c r="B17" s="188" t="s">
        <v>53</v>
      </c>
      <c r="C17" s="12"/>
      <c r="D17" s="200">
        <v>0.3334728897946737</v>
      </c>
      <c r="E17" s="201">
        <v>0.24032011012103013</v>
      </c>
      <c r="F17" s="202">
        <v>0.46273629611806816</v>
      </c>
      <c r="G17" s="12"/>
      <c r="S17" s="9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5.75" hidden="1" thickBot="1">
      <c r="A18" s="36"/>
      <c r="B18" s="35"/>
      <c r="C18" s="18"/>
      <c r="D18" s="18"/>
      <c r="E18" s="18"/>
      <c r="F18" s="18"/>
      <c r="G18" s="18"/>
      <c r="S18" s="9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5.75" hidden="1" thickBot="1">
      <c r="A19" s="36"/>
      <c r="B19" s="37"/>
      <c r="C19" s="38"/>
      <c r="D19" s="39">
        <f>C15*D17</f>
        <v>0.0009325962475614933</v>
      </c>
      <c r="E19" s="40">
        <f>C15*E17</f>
        <v>0.0006720835179448439</v>
      </c>
      <c r="F19" s="41">
        <f>C15*F17</f>
        <v>0.0012940966014836361</v>
      </c>
      <c r="G19" s="18"/>
      <c r="S19" s="9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5.75" hidden="1" thickBot="1">
      <c r="A20" s="36"/>
      <c r="B20" s="35"/>
      <c r="C20" s="18"/>
      <c r="D20" s="18"/>
      <c r="E20" s="18"/>
      <c r="F20" s="18"/>
      <c r="G20" s="18"/>
      <c r="S20" s="9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5.75" hidden="1" thickBot="1">
      <c r="A21" s="36"/>
      <c r="B21" s="42"/>
      <c r="C21" s="43" t="s">
        <v>2</v>
      </c>
      <c r="D21" s="44">
        <f>C15-D19</f>
        <v>0.0018640216368359832</v>
      </c>
      <c r="E21" s="45">
        <f>C15-F19</f>
        <v>0.0015025212829138405</v>
      </c>
      <c r="F21" s="46">
        <f>C15-E19</f>
        <v>0.002124534366452633</v>
      </c>
      <c r="G21" s="18"/>
      <c r="S21" s="9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5.75" hidden="1" thickBot="1">
      <c r="A22" s="36"/>
      <c r="B22" s="47"/>
      <c r="C22" s="48" t="s">
        <v>3</v>
      </c>
      <c r="D22" s="49">
        <f>1/D21</f>
        <v>536.4744594367553</v>
      </c>
      <c r="E22" s="50">
        <f>1/F21</f>
        <v>470.69137397373106</v>
      </c>
      <c r="F22" s="51">
        <f>1/E21</f>
        <v>665.5479768384374</v>
      </c>
      <c r="G22" s="18"/>
      <c r="S22" s="9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5" hidden="1">
      <c r="A23" s="36"/>
      <c r="B23" s="35"/>
      <c r="C23" s="12"/>
      <c r="D23" s="12"/>
      <c r="E23" s="12"/>
      <c r="F23" s="12"/>
      <c r="G23" s="18"/>
      <c r="S23" s="9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" hidden="1">
      <c r="A24" s="36"/>
      <c r="B24" s="129" t="s">
        <v>4</v>
      </c>
      <c r="C24" s="130"/>
      <c r="D24" s="130"/>
      <c r="E24" s="131">
        <f>ROUND(D17,2)</f>
        <v>0.33</v>
      </c>
      <c r="F24" s="132">
        <f>ROUND(D21,4)</f>
        <v>0.0019</v>
      </c>
      <c r="G24" s="133">
        <f>ROUND(D22,0)</f>
        <v>536</v>
      </c>
      <c r="S24" s="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 hidden="1">
      <c r="A25" s="36"/>
      <c r="B25" s="52" t="s">
        <v>6</v>
      </c>
      <c r="C25" s="53">
        <f>ROUND(D19,4)</f>
        <v>0.0009</v>
      </c>
      <c r="D25" s="54">
        <f>ROUND(C15,4)</f>
        <v>0.0028</v>
      </c>
      <c r="E25" s="6">
        <f>ROUND(E17,2)</f>
        <v>0.24</v>
      </c>
      <c r="F25" s="7">
        <f>ROUND(E21,4)</f>
        <v>0.0015</v>
      </c>
      <c r="G25" s="8">
        <f>ROUND(E22,0)</f>
        <v>471</v>
      </c>
      <c r="S25" s="9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" hidden="1">
      <c r="A26" s="36"/>
      <c r="B26" s="52" t="s">
        <v>5</v>
      </c>
      <c r="C26" s="14"/>
      <c r="D26" s="14"/>
      <c r="E26" s="6">
        <f>ROUND(F17,2)</f>
        <v>0.46</v>
      </c>
      <c r="F26" s="7">
        <f>ROUND(F21,4)</f>
        <v>0.0021</v>
      </c>
      <c r="G26" s="8">
        <f>ROUND(F22,0)</f>
        <v>666</v>
      </c>
      <c r="S26" s="9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5" hidden="1">
      <c r="A27" s="36"/>
      <c r="B27" s="52" t="s">
        <v>7</v>
      </c>
      <c r="C27" s="134" t="s">
        <v>54</v>
      </c>
      <c r="D27" s="134" t="s">
        <v>11</v>
      </c>
      <c r="E27" s="135" t="s">
        <v>8</v>
      </c>
      <c r="F27" s="135" t="s">
        <v>9</v>
      </c>
      <c r="G27" s="134" t="s">
        <v>3</v>
      </c>
      <c r="S27" s="9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5" hidden="1">
      <c r="A28" s="36"/>
      <c r="B28" s="55" t="s">
        <v>0</v>
      </c>
      <c r="C28" s="134" t="str">
        <f>CONCATENATE(C25*100,B27)</f>
        <v>0,09%</v>
      </c>
      <c r="D28" s="134" t="str">
        <f>CONCATENATE(D25*100,B27)</f>
        <v>0,28%</v>
      </c>
      <c r="E28" s="134" t="str">
        <f>CONCATENATE(E24," ",B24,E25,B25,E26,B26)</f>
        <v>0,33 (0,24-0,46)</v>
      </c>
      <c r="F28" s="134" t="str">
        <f>CONCATENATE(F24*100,B27," ",B24,F25*100,B27," ",B28," ",F26*100,B27,B26)</f>
        <v>0,19% (0,15% a 0,21%)</v>
      </c>
      <c r="G28" s="134" t="str">
        <f>CONCATENATE(G24," ",B24,G25," ",B28," ",G26,B26)</f>
        <v>536 (471 a 666)</v>
      </c>
      <c r="S28" s="9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5" hidden="1">
      <c r="A29" s="56"/>
      <c r="B29" s="4"/>
      <c r="C29" s="19"/>
      <c r="D29" s="19"/>
      <c r="E29" s="19"/>
      <c r="F29" s="19"/>
      <c r="G29" s="19"/>
      <c r="S29" s="9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5.75" hidden="1" thickBot="1">
      <c r="A30" s="185">
        <f>A16*A17</f>
        <v>0.0027966178843974766</v>
      </c>
      <c r="B30" s="186" t="s">
        <v>55</v>
      </c>
      <c r="C30" s="18"/>
      <c r="D30" s="18"/>
      <c r="E30" s="18"/>
      <c r="F30" s="18"/>
      <c r="G30" s="18"/>
      <c r="S30" s="9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5.75" hidden="1" thickBot="1">
      <c r="A31" s="57"/>
      <c r="B31" s="18"/>
      <c r="C31" s="193" t="s">
        <v>56</v>
      </c>
      <c r="D31" s="194" t="s">
        <v>11</v>
      </c>
      <c r="E31" s="194" t="s">
        <v>8</v>
      </c>
      <c r="F31" s="194" t="s">
        <v>2</v>
      </c>
      <c r="G31" s="195" t="s">
        <v>3</v>
      </c>
      <c r="S31" s="9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26.25" hidden="1" thickBot="1">
      <c r="A32" s="58"/>
      <c r="B32" s="15"/>
      <c r="C32" s="190" t="str">
        <f>C28</f>
        <v>0,09%</v>
      </c>
      <c r="D32" s="191" t="str">
        <f>D28</f>
        <v>0,28%</v>
      </c>
      <c r="E32" s="191" t="str">
        <f>E28</f>
        <v>0,33 (0,24-0,46)</v>
      </c>
      <c r="F32" s="191" t="str">
        <f>F28</f>
        <v>0,19% (0,15% a 0,21%)</v>
      </c>
      <c r="G32" s="192" t="str">
        <f>G28</f>
        <v>536 (471 a 666)</v>
      </c>
      <c r="S32" s="9"/>
      <c r="T32" s="18"/>
      <c r="U32" s="18"/>
      <c r="V32" s="18"/>
      <c r="W32" s="18"/>
      <c r="X32" s="18"/>
      <c r="Y32" s="18"/>
      <c r="Z32" s="18"/>
      <c r="AA32" s="18"/>
      <c r="AB32" s="18"/>
    </row>
    <row r="33" spans="2:28" ht="15" hidden="1">
      <c r="B33" s="2"/>
      <c r="C33" s="2"/>
      <c r="E33" s="3"/>
      <c r="F33" s="29"/>
      <c r="S33" s="9"/>
      <c r="T33" s="18"/>
      <c r="U33" s="18"/>
      <c r="V33" s="18"/>
      <c r="W33" s="18"/>
      <c r="X33" s="18"/>
      <c r="Y33" s="18"/>
      <c r="Z33" s="18"/>
      <c r="AA33" s="18"/>
      <c r="AB33" s="18"/>
    </row>
    <row r="34" spans="4:28" ht="15.75" thickBot="1">
      <c r="D34" s="3"/>
      <c r="E34" s="3"/>
      <c r="S34" s="9"/>
      <c r="T34" s="18"/>
      <c r="U34" s="18"/>
      <c r="V34" s="18"/>
      <c r="W34" s="18"/>
      <c r="X34" s="18"/>
      <c r="Y34" s="18"/>
      <c r="Z34" s="18"/>
      <c r="AA34" s="18"/>
      <c r="AB34" s="18"/>
    </row>
    <row r="35" spans="1:21" ht="22.5" customHeight="1" thickBot="1">
      <c r="A35" s="226" t="s">
        <v>285</v>
      </c>
      <c r="B35" s="184" t="str">
        <f>B2</f>
        <v>CAMBIOS en diagnóstico de verrugas AG, mujeres 15 a 19 años, seguimiento 5 a 8 años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  <c r="S35" s="9"/>
      <c r="T35" s="18"/>
      <c r="U35" s="18"/>
    </row>
    <row r="36" spans="1:21" ht="36" customHeight="1" thickBot="1">
      <c r="A36" s="262" t="s">
        <v>28</v>
      </c>
      <c r="B36" s="262" t="s">
        <v>29</v>
      </c>
      <c r="C36" s="273" t="s">
        <v>30</v>
      </c>
      <c r="D36" s="250" t="s">
        <v>31</v>
      </c>
      <c r="E36" s="262" t="s">
        <v>32</v>
      </c>
      <c r="F36" s="262" t="s">
        <v>82</v>
      </c>
      <c r="G36" s="262" t="s">
        <v>83</v>
      </c>
      <c r="H36" s="262" t="s">
        <v>86</v>
      </c>
      <c r="I36" s="262" t="s">
        <v>87</v>
      </c>
      <c r="J36" s="262" t="s">
        <v>33</v>
      </c>
      <c r="K36" s="250" t="s">
        <v>34</v>
      </c>
      <c r="L36" s="259" t="s">
        <v>35</v>
      </c>
      <c r="M36" s="260"/>
      <c r="N36" s="260"/>
      <c r="O36" s="261"/>
      <c r="S36" s="9"/>
      <c r="T36" s="18"/>
      <c r="U36" s="18"/>
    </row>
    <row r="37" spans="1:21" ht="43.5" customHeight="1" thickBot="1">
      <c r="A37" s="263"/>
      <c r="B37" s="263"/>
      <c r="C37" s="274"/>
      <c r="D37" s="251"/>
      <c r="E37" s="263"/>
      <c r="F37" s="263"/>
      <c r="G37" s="263"/>
      <c r="H37" s="263"/>
      <c r="I37" s="263"/>
      <c r="J37" s="263"/>
      <c r="K37" s="251"/>
      <c r="L37" s="203" t="s">
        <v>36</v>
      </c>
      <c r="M37" s="204" t="s">
        <v>2</v>
      </c>
      <c r="N37" s="205" t="s">
        <v>3</v>
      </c>
      <c r="O37" s="206" t="s">
        <v>37</v>
      </c>
      <c r="S37" s="9"/>
      <c r="T37" s="18"/>
      <c r="U37" s="18"/>
    </row>
    <row r="38" spans="1:21" ht="15" customHeight="1">
      <c r="A38" s="265">
        <v>8</v>
      </c>
      <c r="B38" s="141" t="str">
        <f>A5</f>
        <v>Guerra 2016, 17,5, 6y</v>
      </c>
      <c r="C38" s="66" t="s">
        <v>38</v>
      </c>
      <c r="D38" s="67"/>
      <c r="E38" s="153">
        <f aca="true" t="shared" si="10" ref="E38:E46">H5</f>
        <v>6</v>
      </c>
      <c r="F38" s="154" t="str">
        <f aca="true" t="shared" si="11" ref="F38:F46">P5</f>
        <v>1745 / 1017243</v>
      </c>
      <c r="G38" s="155">
        <f aca="true" t="shared" si="12" ref="G38:G46">L5</f>
        <v>0.00028590349929498985</v>
      </c>
      <c r="H38" s="154" t="str">
        <f aca="true" t="shared" si="13" ref="H38:H46">Q5</f>
        <v>2871 / 1529955</v>
      </c>
      <c r="I38" s="156">
        <f aca="true" t="shared" si="14" ref="I38:I46">M5</f>
        <v>0.0003127542966950008</v>
      </c>
      <c r="J38" s="157">
        <f aca="true" t="shared" si="15" ref="J38:J46">N5</f>
        <v>17.5</v>
      </c>
      <c r="K38" s="127">
        <v>0.14843228747911852</v>
      </c>
      <c r="L38" s="68" t="s">
        <v>100</v>
      </c>
      <c r="M38" s="158" t="s">
        <v>101</v>
      </c>
      <c r="N38" s="159" t="s">
        <v>102</v>
      </c>
      <c r="O38" s="160"/>
      <c r="Q38" s="13">
        <v>3</v>
      </c>
      <c r="R38" s="70">
        <f>Q38*K38</f>
        <v>0.44529686243735556</v>
      </c>
      <c r="S38" s="9"/>
      <c r="T38" s="18"/>
      <c r="U38" s="18"/>
    </row>
    <row r="39" spans="1:21" ht="15" customHeight="1">
      <c r="A39" s="266"/>
      <c r="B39" s="141" t="str">
        <f aca="true" t="shared" si="16" ref="B39:B45">A6</f>
        <v>Cocchio2017, 17,5, 7y</v>
      </c>
      <c r="C39" s="66" t="s">
        <v>38</v>
      </c>
      <c r="D39" s="67"/>
      <c r="E39" s="153">
        <f t="shared" si="10"/>
        <v>7</v>
      </c>
      <c r="F39" s="154" t="str">
        <f t="shared" si="11"/>
        <v>29 / 327264</v>
      </c>
      <c r="G39" s="155">
        <f t="shared" si="12"/>
        <v>1.2659067733869729E-05</v>
      </c>
      <c r="H39" s="154" t="str">
        <f t="shared" si="13"/>
        <v>62 / 309185</v>
      </c>
      <c r="I39" s="155">
        <f t="shared" si="14"/>
        <v>2.8646741779655732E-05</v>
      </c>
      <c r="J39" s="157">
        <f t="shared" si="15"/>
        <v>17.5</v>
      </c>
      <c r="K39" s="127">
        <v>0.11743105983409184</v>
      </c>
      <c r="L39" s="68" t="s">
        <v>103</v>
      </c>
      <c r="M39" s="158" t="s">
        <v>104</v>
      </c>
      <c r="N39" s="158" t="s">
        <v>105</v>
      </c>
      <c r="O39" s="128"/>
      <c r="Q39" s="13">
        <v>3</v>
      </c>
      <c r="R39" s="70">
        <f aca="true" t="shared" si="17" ref="R39:R45">Q39*K39</f>
        <v>0.3522931795022755</v>
      </c>
      <c r="S39" s="9"/>
      <c r="T39" s="18"/>
      <c r="U39" s="18"/>
    </row>
    <row r="40" spans="1:21" ht="15" customHeight="1">
      <c r="A40" s="266"/>
      <c r="B40" s="141" t="str">
        <f t="shared" si="16"/>
        <v>Herweijer 2018, 17,5, 6y</v>
      </c>
      <c r="C40" s="66" t="s">
        <v>38</v>
      </c>
      <c r="D40" s="67"/>
      <c r="E40" s="153">
        <f t="shared" si="10"/>
        <v>6</v>
      </c>
      <c r="F40" s="154" t="str">
        <f t="shared" si="11"/>
        <v>2207 / 574742</v>
      </c>
      <c r="G40" s="155">
        <f t="shared" si="12"/>
        <v>0.0006399973089374595</v>
      </c>
      <c r="H40" s="154" t="str">
        <f t="shared" si="13"/>
        <v>1872 / 296421</v>
      </c>
      <c r="I40" s="155">
        <f t="shared" si="14"/>
        <v>0.0010525570050704909</v>
      </c>
      <c r="J40" s="157">
        <f t="shared" si="15"/>
        <v>17.5</v>
      </c>
      <c r="K40" s="127">
        <v>0.14838306087729772</v>
      </c>
      <c r="L40" s="68" t="s">
        <v>106</v>
      </c>
      <c r="M40" s="158" t="s">
        <v>107</v>
      </c>
      <c r="N40" s="158" t="s">
        <v>108</v>
      </c>
      <c r="O40" s="128"/>
      <c r="Q40" s="13">
        <v>3</v>
      </c>
      <c r="R40" s="70">
        <f t="shared" si="17"/>
        <v>0.4451491826318932</v>
      </c>
      <c r="S40" s="9"/>
      <c r="T40" s="18"/>
      <c r="U40" s="18"/>
    </row>
    <row r="41" spans="1:21" ht="15" customHeight="1">
      <c r="A41" s="266"/>
      <c r="B41" s="141" t="str">
        <f t="shared" si="16"/>
        <v>Flagg 2018, 17,5, 8y</v>
      </c>
      <c r="C41" s="66" t="s">
        <v>38</v>
      </c>
      <c r="D41" s="67"/>
      <c r="E41" s="153">
        <f t="shared" si="10"/>
        <v>8</v>
      </c>
      <c r="F41" s="154" t="str">
        <f t="shared" si="11"/>
        <v>7378 / 5507747</v>
      </c>
      <c r="G41" s="155">
        <f t="shared" si="12"/>
        <v>0.00016744596293184855</v>
      </c>
      <c r="H41" s="154" t="str">
        <f t="shared" si="13"/>
        <v>3666 / 1396354</v>
      </c>
      <c r="I41" s="155">
        <f t="shared" si="14"/>
        <v>0.000328176092881891</v>
      </c>
      <c r="J41" s="157">
        <f t="shared" si="15"/>
        <v>17.5</v>
      </c>
      <c r="K41" s="127">
        <v>0.14883744112551517</v>
      </c>
      <c r="L41" s="68" t="s">
        <v>109</v>
      </c>
      <c r="M41" s="158" t="s">
        <v>110</v>
      </c>
      <c r="N41" s="158" t="s">
        <v>111</v>
      </c>
      <c r="O41" s="128"/>
      <c r="Q41" s="13">
        <v>3</v>
      </c>
      <c r="R41" s="70">
        <f t="shared" si="17"/>
        <v>0.4465123233765455</v>
      </c>
      <c r="S41" s="9"/>
      <c r="T41" s="18"/>
      <c r="U41" s="18"/>
    </row>
    <row r="42" spans="1:21" ht="15" customHeight="1">
      <c r="A42" s="266"/>
      <c r="B42" s="141" t="str">
        <f t="shared" si="16"/>
        <v>Dominiak 2015, 17,5, 6y</v>
      </c>
      <c r="C42" s="66" t="s">
        <v>38</v>
      </c>
      <c r="D42" s="67"/>
      <c r="E42" s="153">
        <f t="shared" si="10"/>
        <v>6</v>
      </c>
      <c r="F42" s="154" t="str">
        <f t="shared" si="11"/>
        <v>30 / 101006</v>
      </c>
      <c r="G42" s="155">
        <f t="shared" si="12"/>
        <v>4.950200978159713E-05</v>
      </c>
      <c r="H42" s="154" t="str">
        <f t="shared" si="13"/>
        <v>55 / 66067</v>
      </c>
      <c r="I42" s="155">
        <f t="shared" si="14"/>
        <v>0.00013874803860727242</v>
      </c>
      <c r="J42" s="157">
        <f t="shared" si="15"/>
        <v>17.5</v>
      </c>
      <c r="K42" s="127">
        <v>0.11699600557563912</v>
      </c>
      <c r="L42" s="68" t="s">
        <v>112</v>
      </c>
      <c r="M42" s="158" t="s">
        <v>113</v>
      </c>
      <c r="N42" s="158" t="s">
        <v>114</v>
      </c>
      <c r="O42" s="128"/>
      <c r="Q42" s="13">
        <v>3</v>
      </c>
      <c r="R42" s="70">
        <f t="shared" si="17"/>
        <v>0.3509880167269174</v>
      </c>
      <c r="S42" s="9"/>
      <c r="T42" s="18"/>
      <c r="U42" s="18"/>
    </row>
    <row r="43" spans="1:21" ht="15" customHeight="1">
      <c r="A43" s="266"/>
      <c r="B43" s="141" t="str">
        <f t="shared" si="16"/>
        <v>Oliphant 2017, 17,5, 5y</v>
      </c>
      <c r="C43" s="66" t="s">
        <v>38</v>
      </c>
      <c r="D43" s="67"/>
      <c r="E43" s="153">
        <f t="shared" si="10"/>
        <v>5</v>
      </c>
      <c r="F43" s="154" t="str">
        <f t="shared" si="11"/>
        <v>22 / 574</v>
      </c>
      <c r="G43" s="155">
        <f t="shared" si="12"/>
        <v>0.007665505226480836</v>
      </c>
      <c r="H43" s="154" t="str">
        <f t="shared" si="13"/>
        <v>308 / 1326</v>
      </c>
      <c r="I43" s="155">
        <f t="shared" si="14"/>
        <v>0.04645550527903469</v>
      </c>
      <c r="J43" s="157">
        <f t="shared" si="15"/>
        <v>17.5</v>
      </c>
      <c r="K43" s="127">
        <v>0.11964422253262366</v>
      </c>
      <c r="L43" s="68" t="s">
        <v>115</v>
      </c>
      <c r="M43" s="158" t="s">
        <v>116</v>
      </c>
      <c r="N43" s="158" t="s">
        <v>117</v>
      </c>
      <c r="O43" s="160"/>
      <c r="Q43" s="13">
        <v>3.5</v>
      </c>
      <c r="R43" s="70">
        <f t="shared" si="17"/>
        <v>0.41875477886418283</v>
      </c>
      <c r="S43" s="9"/>
      <c r="T43" s="18"/>
      <c r="U43" s="18"/>
    </row>
    <row r="44" spans="1:21" ht="15" customHeight="1">
      <c r="A44" s="266"/>
      <c r="B44" s="141" t="str">
        <f t="shared" si="16"/>
        <v>Harrison 2014, 17,5, 8y</v>
      </c>
      <c r="C44" s="66" t="s">
        <v>38</v>
      </c>
      <c r="D44" s="67"/>
      <c r="E44" s="153">
        <f t="shared" si="10"/>
        <v>8</v>
      </c>
      <c r="F44" s="154" t="str">
        <f t="shared" si="11"/>
        <v>5 / 8467</v>
      </c>
      <c r="G44" s="155">
        <f t="shared" si="12"/>
        <v>7.381599149639779E-05</v>
      </c>
      <c r="H44" s="154" t="str">
        <f t="shared" si="13"/>
        <v>24 / 7145</v>
      </c>
      <c r="I44" s="155">
        <f t="shared" si="14"/>
        <v>0.0004198740377886634</v>
      </c>
      <c r="J44" s="157">
        <f t="shared" si="15"/>
        <v>17.5</v>
      </c>
      <c r="K44" s="127">
        <v>0.06516509112943575</v>
      </c>
      <c r="L44" s="68" t="s">
        <v>118</v>
      </c>
      <c r="M44" s="158" t="s">
        <v>119</v>
      </c>
      <c r="N44" s="158" t="s">
        <v>120</v>
      </c>
      <c r="O44" s="160"/>
      <c r="Q44" s="13">
        <v>3</v>
      </c>
      <c r="R44" s="70">
        <f t="shared" si="17"/>
        <v>0.19549527338830724</v>
      </c>
      <c r="S44" s="9"/>
      <c r="T44" s="18"/>
      <c r="U44" s="18"/>
    </row>
    <row r="45" spans="1:21" ht="15" customHeight="1" thickBot="1">
      <c r="A45" s="267"/>
      <c r="B45" s="141" t="str">
        <f t="shared" si="16"/>
        <v>Callander 2016, 17,5, 8y</v>
      </c>
      <c r="C45" s="66" t="s">
        <v>38</v>
      </c>
      <c r="D45" s="67"/>
      <c r="E45" s="153">
        <f t="shared" si="10"/>
        <v>8</v>
      </c>
      <c r="F45" s="154" t="str">
        <f t="shared" si="11"/>
        <v>55 / 9048</v>
      </c>
      <c r="G45" s="155">
        <f t="shared" si="12"/>
        <v>0.0007598364279398762</v>
      </c>
      <c r="H45" s="154" t="str">
        <f t="shared" si="13"/>
        <v>647 / 7113</v>
      </c>
      <c r="I45" s="155">
        <f t="shared" si="14"/>
        <v>0.011370026711654716</v>
      </c>
      <c r="J45" s="157">
        <f t="shared" si="15"/>
        <v>17.5</v>
      </c>
      <c r="K45" s="127">
        <v>0.1351108314462782</v>
      </c>
      <c r="L45" s="68" t="s">
        <v>121</v>
      </c>
      <c r="M45" s="158" t="s">
        <v>122</v>
      </c>
      <c r="N45" s="159" t="s">
        <v>123</v>
      </c>
      <c r="O45" s="160"/>
      <c r="Q45" s="13">
        <v>3</v>
      </c>
      <c r="R45" s="70">
        <f t="shared" si="17"/>
        <v>0.40533249433883456</v>
      </c>
      <c r="S45" s="9"/>
      <c r="T45" s="18"/>
      <c r="U45" s="18"/>
    </row>
    <row r="46" spans="1:21" ht="21.75" thickBot="1">
      <c r="A46" s="161" t="s">
        <v>39</v>
      </c>
      <c r="B46" s="162">
        <f>COUNT(E38:E45)</f>
        <v>8</v>
      </c>
      <c r="C46" s="163"/>
      <c r="D46" s="71" t="s">
        <v>99</v>
      </c>
      <c r="E46" s="164">
        <f t="shared" si="10"/>
        <v>7.29988735316865</v>
      </c>
      <c r="F46" s="165" t="str">
        <f t="shared" si="11"/>
        <v>11471 / 7546091</v>
      </c>
      <c r="G46" s="166">
        <f t="shared" si="12"/>
        <v>0.00020247552854391307</v>
      </c>
      <c r="H46" s="165" t="str">
        <f t="shared" si="13"/>
        <v>9505 / 3613566</v>
      </c>
      <c r="I46" s="166">
        <f t="shared" si="14"/>
        <v>0.0003831042520380199</v>
      </c>
      <c r="J46" s="164">
        <f t="shared" si="15"/>
        <v>17.5</v>
      </c>
      <c r="K46" s="167">
        <v>0.9999999999999998</v>
      </c>
      <c r="L46" s="120" t="s">
        <v>124</v>
      </c>
      <c r="M46" s="72"/>
      <c r="N46" s="73"/>
      <c r="O46" s="74"/>
      <c r="R46" s="168">
        <f>SUM(R38:R45)</f>
        <v>3.059822111266312</v>
      </c>
      <c r="S46" s="9"/>
      <c r="T46" s="18"/>
      <c r="U46" s="18"/>
    </row>
    <row r="47" spans="1:15" ht="13.5" thickBot="1">
      <c r="A47" s="75"/>
      <c r="B47" s="75"/>
      <c r="C47" s="76"/>
      <c r="D47" s="77"/>
      <c r="E47" s="78"/>
      <c r="F47" s="79"/>
      <c r="G47" s="80"/>
      <c r="H47" s="79"/>
      <c r="I47" s="81"/>
      <c r="J47" s="82"/>
      <c r="K47" s="83"/>
      <c r="L47" s="72"/>
      <c r="M47" s="73"/>
      <c r="N47" s="73"/>
      <c r="O47" s="83"/>
    </row>
    <row r="48" spans="1:256" ht="48" thickBot="1">
      <c r="A48" s="84"/>
      <c r="B48" s="268" t="s">
        <v>90</v>
      </c>
      <c r="C48" s="269"/>
      <c r="D48" s="269"/>
      <c r="E48" s="269"/>
      <c r="F48" s="269"/>
      <c r="G48" s="269"/>
      <c r="H48" s="269"/>
      <c r="I48" s="270"/>
      <c r="J48" s="85" t="s">
        <v>84</v>
      </c>
      <c r="K48" s="169" t="s">
        <v>88</v>
      </c>
      <c r="L48" s="86" t="s">
        <v>36</v>
      </c>
      <c r="M48" s="87" t="s">
        <v>2</v>
      </c>
      <c r="N48" s="88" t="s">
        <v>3</v>
      </c>
      <c r="O48" s="7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5" ht="24" customHeight="1">
      <c r="A49" s="271" t="s">
        <v>40</v>
      </c>
      <c r="B49" s="89" t="s">
        <v>41</v>
      </c>
      <c r="C49" s="90">
        <f>I46</f>
        <v>0.0003831042520380199</v>
      </c>
      <c r="D49" s="91" t="s">
        <v>42</v>
      </c>
      <c r="E49" s="91"/>
      <c r="F49" s="91"/>
      <c r="G49" s="91"/>
      <c r="H49" s="92">
        <f>J46</f>
        <v>17.5</v>
      </c>
      <c r="I49" s="93" t="s">
        <v>43</v>
      </c>
      <c r="J49" s="94">
        <v>0.0001</v>
      </c>
      <c r="K49" s="95">
        <v>0.0004</v>
      </c>
      <c r="L49" s="121" t="s">
        <v>124</v>
      </c>
      <c r="M49" s="96" t="s">
        <v>127</v>
      </c>
      <c r="N49" s="229" t="s">
        <v>128</v>
      </c>
      <c r="O49" s="97" t="s">
        <v>44</v>
      </c>
    </row>
    <row r="50" spans="1:15" ht="24" customHeight="1" thickBot="1">
      <c r="A50" s="272"/>
      <c r="B50" s="170" t="s">
        <v>41</v>
      </c>
      <c r="C50" s="171">
        <f>I46*E46</f>
        <v>0.0027966178843974766</v>
      </c>
      <c r="D50" s="172" t="s">
        <v>45</v>
      </c>
      <c r="E50" s="173"/>
      <c r="F50" s="174"/>
      <c r="G50" s="175">
        <f>E46</f>
        <v>7.29988735316865</v>
      </c>
      <c r="H50" s="172" t="s">
        <v>46</v>
      </c>
      <c r="I50" s="176"/>
      <c r="J50" s="177">
        <v>0.0009</v>
      </c>
      <c r="K50" s="178">
        <v>0.0028</v>
      </c>
      <c r="L50" s="179" t="s">
        <v>124</v>
      </c>
      <c r="M50" s="180" t="s">
        <v>129</v>
      </c>
      <c r="N50" s="230" t="s">
        <v>130</v>
      </c>
      <c r="O50" s="181" t="s">
        <v>126</v>
      </c>
    </row>
    <row r="51" spans="1:15" ht="19.5" thickBot="1">
      <c r="A51" s="100"/>
      <c r="B51" s="101"/>
      <c r="C51" s="102"/>
      <c r="D51" s="103"/>
      <c r="E51" s="104"/>
      <c r="F51" s="105"/>
      <c r="G51" s="106"/>
      <c r="H51" s="103"/>
      <c r="I51" s="105"/>
      <c r="J51" s="107"/>
      <c r="K51" s="107"/>
      <c r="L51" s="108"/>
      <c r="M51" s="109"/>
      <c r="N51" s="109"/>
      <c r="O51" s="110"/>
    </row>
    <row r="52" spans="1:15" ht="19.5" thickBot="1">
      <c r="A52" s="111"/>
      <c r="B52" s="111"/>
      <c r="C52" s="83"/>
      <c r="D52" s="83"/>
      <c r="E52" s="83"/>
      <c r="F52" s="83"/>
      <c r="G52" s="83"/>
      <c r="H52" s="83"/>
      <c r="I52" s="207"/>
      <c r="J52" s="208"/>
      <c r="K52" s="209" t="s">
        <v>47</v>
      </c>
      <c r="L52" s="123" t="s">
        <v>125</v>
      </c>
      <c r="M52" s="115"/>
      <c r="N52" s="116"/>
      <c r="O52" s="117"/>
    </row>
    <row r="53" spans="1:11" ht="12.75">
      <c r="A53" s="20"/>
      <c r="C53" s="2"/>
      <c r="I53" s="5" t="s">
        <v>48</v>
      </c>
      <c r="J53" s="211">
        <v>7</v>
      </c>
      <c r="K53" s="211">
        <f>J53</f>
        <v>7</v>
      </c>
    </row>
    <row r="54" spans="1:12" ht="12.75">
      <c r="A54" s="20"/>
      <c r="C54" s="2"/>
      <c r="I54" s="13"/>
      <c r="J54" s="62" t="s">
        <v>14</v>
      </c>
      <c r="K54" s="62" t="s">
        <v>15</v>
      </c>
      <c r="L54" s="62" t="s">
        <v>49</v>
      </c>
    </row>
    <row r="55" spans="9:14" ht="17.25">
      <c r="I55" s="118" t="s">
        <v>50</v>
      </c>
      <c r="J55" s="227">
        <f>J49*1000*J53</f>
        <v>0.7000000000000001</v>
      </c>
      <c r="K55" s="228">
        <f>K49*1000*K53</f>
        <v>2.8000000000000003</v>
      </c>
      <c r="L55" s="125">
        <f>((J55*I13)+(K55*J13))/K13</f>
        <v>1.339569049432844</v>
      </c>
      <c r="M55" s="119"/>
      <c r="N55" s="119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  <row r="73" spans="1:7" ht="12.75">
      <c r="A73" s="18"/>
      <c r="B73" s="18"/>
      <c r="C73" s="18"/>
      <c r="D73" s="18"/>
      <c r="E73" s="18"/>
      <c r="F73" s="18"/>
      <c r="G73" s="18"/>
    </row>
    <row r="74" spans="1:7" ht="12.75">
      <c r="A74" s="18"/>
      <c r="B74" s="18"/>
      <c r="C74" s="18"/>
      <c r="D74" s="18"/>
      <c r="E74" s="18"/>
      <c r="F74" s="18"/>
      <c r="G74" s="18"/>
    </row>
  </sheetData>
  <sheetProtection/>
  <mergeCells count="20">
    <mergeCell ref="A38:A45"/>
    <mergeCell ref="B48:I48"/>
    <mergeCell ref="A49:A50"/>
    <mergeCell ref="F36:F37"/>
    <mergeCell ref="G36:G37"/>
    <mergeCell ref="H36:H37"/>
    <mergeCell ref="I36:I37"/>
    <mergeCell ref="A36:A37"/>
    <mergeCell ref="B36:B37"/>
    <mergeCell ref="C36:C37"/>
    <mergeCell ref="D36:D37"/>
    <mergeCell ref="I3:K3"/>
    <mergeCell ref="L3:M3"/>
    <mergeCell ref="D15:F15"/>
    <mergeCell ref="E3:G3"/>
    <mergeCell ref="L36:O36"/>
    <mergeCell ref="J36:J37"/>
    <mergeCell ref="K36:K37"/>
    <mergeCell ref="B3:D3"/>
    <mergeCell ref="E36:E37"/>
  </mergeCells>
  <printOptions/>
  <pageMargins left="0.7" right="0.7" top="0.75" bottom="0.75" header="0.3" footer="0.3"/>
  <pageSetup horizontalDpi="300" verticalDpi="300" orientation="portrait" paperSize="9"/>
  <ignoredErrors>
    <ignoredError sqref="H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34">
      <selection activeCell="A34" sqref="A34"/>
    </sheetView>
  </sheetViews>
  <sheetFormatPr defaultColWidth="16.00390625" defaultRowHeight="12.75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6.140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0.421875" style="2" customWidth="1"/>
    <col min="15" max="15" width="16.7109375" style="2" customWidth="1"/>
    <col min="16" max="16" width="16.00390625" style="2" customWidth="1"/>
    <col min="17" max="17" width="13.8515625" style="2" hidden="1" customWidth="1"/>
    <col min="18" max="18" width="0" style="2" hidden="1" customWidth="1"/>
    <col min="19" max="19" width="34.8515625" style="2" customWidth="1"/>
    <col min="20" max="16384" width="16.00390625" style="2" customWidth="1"/>
  </cols>
  <sheetData>
    <row r="1" spans="19:28" ht="15" hidden="1">
      <c r="S1" s="9"/>
      <c r="T1" s="18"/>
      <c r="U1" s="18"/>
      <c r="V1" s="18"/>
      <c r="W1" s="18"/>
      <c r="X1" s="18"/>
      <c r="Y1" s="18"/>
      <c r="Z1" s="18"/>
      <c r="AA1" s="18"/>
      <c r="AB1" s="18"/>
    </row>
    <row r="2" spans="1:28" ht="12.75" hidden="1">
      <c r="A2" s="210" t="s">
        <v>89</v>
      </c>
      <c r="B2" s="196" t="str">
        <f>A4</f>
        <v>CAMBIOS en diagnóstico de verrugas AG, mujeres 20 a 24 años, seguimiento 5 a 8 años</v>
      </c>
      <c r="C2" s="197"/>
      <c r="D2" s="198"/>
      <c r="E2" s="198"/>
      <c r="F2" s="198"/>
      <c r="G2" s="198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5.5" hidden="1">
      <c r="A3" s="21" t="s">
        <v>16</v>
      </c>
      <c r="B3" s="264" t="s">
        <v>17</v>
      </c>
      <c r="C3" s="264"/>
      <c r="D3" s="264"/>
      <c r="E3" s="258" t="s">
        <v>18</v>
      </c>
      <c r="F3" s="258"/>
      <c r="G3" s="258"/>
      <c r="H3" s="136" t="s">
        <v>23</v>
      </c>
      <c r="I3" s="252" t="s">
        <v>24</v>
      </c>
      <c r="J3" s="253"/>
      <c r="K3" s="254"/>
      <c r="L3" s="252" t="s">
        <v>25</v>
      </c>
      <c r="M3" s="254"/>
      <c r="N3" s="137" t="s">
        <v>26</v>
      </c>
      <c r="O3" s="17"/>
      <c r="T3" s="18"/>
      <c r="U3" s="18"/>
      <c r="W3" s="18"/>
      <c r="X3" s="18"/>
      <c r="Y3" s="18"/>
      <c r="Z3" s="18"/>
      <c r="AA3" s="18"/>
      <c r="AB3" s="18"/>
    </row>
    <row r="4" spans="1:28" ht="51" hidden="1">
      <c r="A4" s="22" t="s">
        <v>286</v>
      </c>
      <c r="B4" s="216" t="s">
        <v>19</v>
      </c>
      <c r="C4" s="216" t="s">
        <v>20</v>
      </c>
      <c r="D4" s="216" t="s">
        <v>1</v>
      </c>
      <c r="E4" s="215" t="s">
        <v>19</v>
      </c>
      <c r="F4" s="215" t="s">
        <v>20</v>
      </c>
      <c r="G4" s="215" t="s">
        <v>1</v>
      </c>
      <c r="H4" s="138" t="s">
        <v>27</v>
      </c>
      <c r="I4" s="60" t="s">
        <v>14</v>
      </c>
      <c r="J4" s="61" t="s">
        <v>15</v>
      </c>
      <c r="K4" s="60" t="s">
        <v>1</v>
      </c>
      <c r="L4" s="139" t="s">
        <v>14</v>
      </c>
      <c r="M4" s="140" t="s">
        <v>85</v>
      </c>
      <c r="N4" s="59" t="s">
        <v>27</v>
      </c>
      <c r="O4" s="17"/>
      <c r="P4" s="2" t="s">
        <v>10</v>
      </c>
      <c r="Q4" s="2" t="s">
        <v>10</v>
      </c>
      <c r="T4" s="18"/>
      <c r="U4" s="18"/>
      <c r="W4" s="18"/>
      <c r="X4" s="18"/>
      <c r="Y4" s="18"/>
      <c r="Z4" s="18"/>
      <c r="AA4" s="18"/>
      <c r="AB4" s="18"/>
    </row>
    <row r="5" spans="1:28" ht="12.75" hidden="1">
      <c r="A5" s="25" t="s">
        <v>131</v>
      </c>
      <c r="B5" s="30">
        <v>1815</v>
      </c>
      <c r="C5" s="31">
        <f>D5-B5</f>
        <v>568289</v>
      </c>
      <c r="D5" s="32">
        <v>570104</v>
      </c>
      <c r="E5" s="30">
        <v>2745</v>
      </c>
      <c r="F5" s="31">
        <f>G5-E5</f>
        <v>768913</v>
      </c>
      <c r="G5" s="32">
        <v>771658</v>
      </c>
      <c r="H5" s="189">
        <v>6</v>
      </c>
      <c r="I5" s="142">
        <f aca="true" t="shared" si="0" ref="I5:I12">D5*H5</f>
        <v>3420624</v>
      </c>
      <c r="J5" s="142">
        <f aca="true" t="shared" si="1" ref="J5:J12">G5*H5</f>
        <v>4629948</v>
      </c>
      <c r="K5" s="142">
        <f>I5+J5</f>
        <v>8050572</v>
      </c>
      <c r="L5" s="143">
        <f aca="true" t="shared" si="2" ref="L5:L13">B5/I5</f>
        <v>0.0005306049422561498</v>
      </c>
      <c r="M5" s="143">
        <f aca="true" t="shared" si="3" ref="M5:M13">E5/J5</f>
        <v>0.0005928792288811883</v>
      </c>
      <c r="N5" s="214">
        <v>22.5</v>
      </c>
      <c r="O5" s="63">
        <f>N5*(D5+G5)</f>
        <v>30189645</v>
      </c>
      <c r="P5" s="64" t="str">
        <f aca="true" t="shared" si="4" ref="P5:P13">CONCATENATE(B5," ",$P$4," ",D5)</f>
        <v>1815 / 570104</v>
      </c>
      <c r="Q5" s="64" t="str">
        <f aca="true" t="shared" si="5" ref="Q5:Q13">CONCATENATE(E5," ",$Q$4," ",G5)</f>
        <v>2745 / 771658</v>
      </c>
      <c r="T5" s="18"/>
      <c r="U5" s="18"/>
      <c r="W5" s="18"/>
      <c r="X5" s="18"/>
      <c r="Y5" s="18"/>
      <c r="Z5" s="18"/>
      <c r="AA5" s="18"/>
      <c r="AB5" s="18"/>
    </row>
    <row r="6" spans="1:28" ht="12.75" hidden="1">
      <c r="A6" s="25" t="s">
        <v>137</v>
      </c>
      <c r="B6" s="30">
        <v>137</v>
      </c>
      <c r="C6" s="31">
        <f aca="true" t="shared" si="6" ref="C6:C12">D6-B6</f>
        <v>342456</v>
      </c>
      <c r="D6" s="32">
        <v>342593</v>
      </c>
      <c r="E6" s="30">
        <v>220</v>
      </c>
      <c r="F6" s="31">
        <f aca="true" t="shared" si="7" ref="F6:F12">G6-E6</f>
        <v>335399</v>
      </c>
      <c r="G6" s="32">
        <v>335619</v>
      </c>
      <c r="H6" s="189">
        <v>7</v>
      </c>
      <c r="I6" s="142">
        <f t="shared" si="0"/>
        <v>2398151</v>
      </c>
      <c r="J6" s="142">
        <f t="shared" si="1"/>
        <v>2349333</v>
      </c>
      <c r="K6" s="142">
        <f aca="true" t="shared" si="8" ref="K6:K12">I6+J6</f>
        <v>4747484</v>
      </c>
      <c r="L6" s="143">
        <f t="shared" si="2"/>
        <v>5.712734519219182E-05</v>
      </c>
      <c r="M6" s="143">
        <f t="shared" si="3"/>
        <v>9.364360011969355E-05</v>
      </c>
      <c r="N6" s="214">
        <v>22.5</v>
      </c>
      <c r="O6" s="63">
        <f aca="true" t="shared" si="9" ref="O6:O12">N6*(D6+G6)</f>
        <v>15259770</v>
      </c>
      <c r="P6" s="64" t="str">
        <f t="shared" si="4"/>
        <v>137 / 342593</v>
      </c>
      <c r="Q6" s="64" t="str">
        <f t="shared" si="5"/>
        <v>220 / 335619</v>
      </c>
      <c r="T6" s="18"/>
      <c r="U6" s="18"/>
      <c r="W6" s="18"/>
      <c r="X6" s="18"/>
      <c r="Y6" s="18"/>
      <c r="Z6" s="18"/>
      <c r="AA6" s="18"/>
      <c r="AB6" s="18"/>
    </row>
    <row r="7" spans="1:28" ht="12.75" hidden="1">
      <c r="A7" s="25" t="s">
        <v>132</v>
      </c>
      <c r="B7" s="30">
        <v>4761</v>
      </c>
      <c r="C7" s="31">
        <f t="shared" si="6"/>
        <v>630509</v>
      </c>
      <c r="D7" s="32">
        <v>635270</v>
      </c>
      <c r="E7" s="30">
        <v>2763</v>
      </c>
      <c r="F7" s="31">
        <f t="shared" si="7"/>
        <v>258167</v>
      </c>
      <c r="G7" s="32">
        <v>260930</v>
      </c>
      <c r="H7" s="189">
        <v>6</v>
      </c>
      <c r="I7" s="142">
        <f t="shared" si="0"/>
        <v>3811620</v>
      </c>
      <c r="J7" s="142">
        <f t="shared" si="1"/>
        <v>1565580</v>
      </c>
      <c r="K7" s="142">
        <f t="shared" si="8"/>
        <v>5377200</v>
      </c>
      <c r="L7" s="143">
        <f t="shared" si="2"/>
        <v>0.0012490751963731956</v>
      </c>
      <c r="M7" s="143">
        <f t="shared" si="3"/>
        <v>0.0017648411451347105</v>
      </c>
      <c r="N7" s="214">
        <v>22.5</v>
      </c>
      <c r="O7" s="63">
        <f t="shared" si="9"/>
        <v>20164500</v>
      </c>
      <c r="P7" s="64" t="str">
        <f t="shared" si="4"/>
        <v>4761 / 635270</v>
      </c>
      <c r="Q7" s="64" t="str">
        <f t="shared" si="5"/>
        <v>2763 / 260930</v>
      </c>
      <c r="T7" s="18"/>
      <c r="U7" s="18"/>
      <c r="W7" s="18"/>
      <c r="X7" s="18"/>
      <c r="Y7" s="18"/>
      <c r="Z7" s="18"/>
      <c r="AA7" s="18"/>
      <c r="AB7" s="18"/>
    </row>
    <row r="8" spans="1:28" ht="12.75" hidden="1">
      <c r="A8" s="25" t="s">
        <v>133</v>
      </c>
      <c r="B8" s="30">
        <v>18741</v>
      </c>
      <c r="C8" s="31">
        <f t="shared" si="6"/>
        <v>5230648</v>
      </c>
      <c r="D8" s="32">
        <v>5249389</v>
      </c>
      <c r="E8" s="30">
        <v>4315</v>
      </c>
      <c r="F8" s="31">
        <f t="shared" si="7"/>
        <v>911171</v>
      </c>
      <c r="G8" s="32">
        <v>915486</v>
      </c>
      <c r="H8" s="189">
        <v>8</v>
      </c>
      <c r="I8" s="142">
        <f t="shared" si="0"/>
        <v>41995112</v>
      </c>
      <c r="J8" s="142">
        <f t="shared" si="1"/>
        <v>7323888</v>
      </c>
      <c r="K8" s="142">
        <f t="shared" si="8"/>
        <v>49319000</v>
      </c>
      <c r="L8" s="143">
        <f t="shared" si="2"/>
        <v>0.00044626622260228764</v>
      </c>
      <c r="M8" s="143">
        <f t="shared" si="3"/>
        <v>0.0005891679392147996</v>
      </c>
      <c r="N8" s="214">
        <v>22.5</v>
      </c>
      <c r="O8" s="63">
        <f t="shared" si="9"/>
        <v>138709687.5</v>
      </c>
      <c r="P8" s="64" t="str">
        <f t="shared" si="4"/>
        <v>18741 / 5249389</v>
      </c>
      <c r="Q8" s="64" t="str">
        <f t="shared" si="5"/>
        <v>4315 / 915486</v>
      </c>
      <c r="T8" s="18"/>
      <c r="U8" s="18"/>
      <c r="W8" s="18"/>
      <c r="X8" s="18"/>
      <c r="Y8" s="18"/>
      <c r="Z8" s="18"/>
      <c r="AA8" s="18"/>
      <c r="AB8" s="18"/>
    </row>
    <row r="9" spans="1:28" ht="12.75" hidden="1">
      <c r="A9" s="25" t="s">
        <v>134</v>
      </c>
      <c r="B9" s="30">
        <v>179</v>
      </c>
      <c r="C9" s="31">
        <f t="shared" si="6"/>
        <v>131998</v>
      </c>
      <c r="D9" s="32">
        <v>132177</v>
      </c>
      <c r="E9" s="30">
        <v>214</v>
      </c>
      <c r="F9" s="31">
        <f t="shared" si="7"/>
        <v>62283</v>
      </c>
      <c r="G9" s="32">
        <v>62497</v>
      </c>
      <c r="H9" s="189">
        <v>6</v>
      </c>
      <c r="I9" s="142">
        <f t="shared" si="0"/>
        <v>793062</v>
      </c>
      <c r="J9" s="142">
        <f t="shared" si="1"/>
        <v>374982</v>
      </c>
      <c r="K9" s="142">
        <f t="shared" si="8"/>
        <v>1168044</v>
      </c>
      <c r="L9" s="143">
        <f t="shared" si="2"/>
        <v>0.00022570744784140457</v>
      </c>
      <c r="M9" s="143">
        <f t="shared" si="3"/>
        <v>0.0005706940599815458</v>
      </c>
      <c r="N9" s="214">
        <v>22.5</v>
      </c>
      <c r="O9" s="63">
        <f t="shared" si="9"/>
        <v>4380165</v>
      </c>
      <c r="P9" s="64" t="str">
        <f t="shared" si="4"/>
        <v>179 / 132177</v>
      </c>
      <c r="Q9" s="64" t="str">
        <f t="shared" si="5"/>
        <v>214 / 62497</v>
      </c>
      <c r="T9" s="18"/>
      <c r="U9" s="18"/>
      <c r="W9" s="18"/>
      <c r="X9" s="18"/>
      <c r="Y9" s="18"/>
      <c r="Z9" s="18"/>
      <c r="AA9" s="18"/>
      <c r="AB9" s="18"/>
    </row>
    <row r="10" spans="1:28" ht="12.75" hidden="1">
      <c r="A10" s="25" t="s">
        <v>135</v>
      </c>
      <c r="B10" s="30">
        <v>77</v>
      </c>
      <c r="C10" s="31">
        <f t="shared" si="6"/>
        <v>781</v>
      </c>
      <c r="D10" s="32">
        <v>858</v>
      </c>
      <c r="E10" s="30">
        <v>302</v>
      </c>
      <c r="F10" s="31">
        <f t="shared" si="7"/>
        <v>1007</v>
      </c>
      <c r="G10" s="32">
        <v>1309</v>
      </c>
      <c r="H10" s="189">
        <v>5</v>
      </c>
      <c r="I10" s="142">
        <f t="shared" si="0"/>
        <v>4290</v>
      </c>
      <c r="J10" s="142">
        <f t="shared" si="1"/>
        <v>6545</v>
      </c>
      <c r="K10" s="142">
        <f t="shared" si="8"/>
        <v>10835</v>
      </c>
      <c r="L10" s="143">
        <f t="shared" si="2"/>
        <v>0.017948717948717947</v>
      </c>
      <c r="M10" s="143">
        <f t="shared" si="3"/>
        <v>0.04614209320091673</v>
      </c>
      <c r="N10" s="214">
        <v>22.5</v>
      </c>
      <c r="O10" s="63">
        <f t="shared" si="9"/>
        <v>48757.5</v>
      </c>
      <c r="P10" s="64" t="str">
        <f t="shared" si="4"/>
        <v>77 / 858</v>
      </c>
      <c r="Q10" s="64" t="str">
        <f t="shared" si="5"/>
        <v>302 / 1309</v>
      </c>
      <c r="T10" s="18"/>
      <c r="U10" s="18"/>
      <c r="W10" s="18"/>
      <c r="X10" s="18"/>
      <c r="Y10" s="18"/>
      <c r="Z10" s="18"/>
      <c r="AA10" s="18"/>
      <c r="AB10" s="18"/>
    </row>
    <row r="11" spans="1:28" ht="12.75" hidden="1">
      <c r="A11" s="25" t="s">
        <v>136</v>
      </c>
      <c r="B11" s="30">
        <v>14</v>
      </c>
      <c r="C11" s="31">
        <f t="shared" si="6"/>
        <v>11657</v>
      </c>
      <c r="D11" s="32">
        <v>11671</v>
      </c>
      <c r="E11" s="30">
        <v>56</v>
      </c>
      <c r="F11" s="31">
        <f t="shared" si="7"/>
        <v>10098</v>
      </c>
      <c r="G11" s="32">
        <v>10154</v>
      </c>
      <c r="H11" s="189">
        <v>8</v>
      </c>
      <c r="I11" s="142">
        <f t="shared" si="0"/>
        <v>93368</v>
      </c>
      <c r="J11" s="142">
        <f t="shared" si="1"/>
        <v>81232</v>
      </c>
      <c r="K11" s="142">
        <f t="shared" si="8"/>
        <v>174600</v>
      </c>
      <c r="L11" s="143">
        <f t="shared" si="2"/>
        <v>0.00014994430640047983</v>
      </c>
      <c r="M11" s="143">
        <f t="shared" si="3"/>
        <v>0.000689383494189482</v>
      </c>
      <c r="N11" s="214">
        <v>22.5</v>
      </c>
      <c r="O11" s="63">
        <f t="shared" si="9"/>
        <v>491062.5</v>
      </c>
      <c r="P11" s="64" t="str">
        <f t="shared" si="4"/>
        <v>14 / 11671</v>
      </c>
      <c r="Q11" s="64" t="str">
        <f t="shared" si="5"/>
        <v>56 / 10154</v>
      </c>
      <c r="T11" s="18"/>
      <c r="U11" s="18"/>
      <c r="W11" s="18"/>
      <c r="X11" s="18"/>
      <c r="Y11" s="18"/>
      <c r="Z11" s="18"/>
      <c r="AA11" s="18"/>
      <c r="AB11" s="18"/>
    </row>
    <row r="12" spans="1:28" ht="12.75" hidden="1">
      <c r="A12" s="25" t="s">
        <v>138</v>
      </c>
      <c r="B12" s="30">
        <v>190</v>
      </c>
      <c r="C12" s="31">
        <f t="shared" si="6"/>
        <v>10080</v>
      </c>
      <c r="D12" s="32">
        <v>10270</v>
      </c>
      <c r="E12" s="30">
        <v>1081</v>
      </c>
      <c r="F12" s="31">
        <f t="shared" si="7"/>
        <v>6032</v>
      </c>
      <c r="G12" s="32">
        <v>7113</v>
      </c>
      <c r="H12" s="189">
        <v>8</v>
      </c>
      <c r="I12" s="142">
        <f t="shared" si="0"/>
        <v>82160</v>
      </c>
      <c r="J12" s="142">
        <f t="shared" si="1"/>
        <v>56904</v>
      </c>
      <c r="K12" s="142">
        <f t="shared" si="8"/>
        <v>139064</v>
      </c>
      <c r="L12" s="143">
        <f t="shared" si="2"/>
        <v>0.0023125608568646543</v>
      </c>
      <c r="M12" s="143">
        <f t="shared" si="3"/>
        <v>0.018996907071559117</v>
      </c>
      <c r="N12" s="214">
        <v>22.5</v>
      </c>
      <c r="O12" s="63">
        <f t="shared" si="9"/>
        <v>391117.5</v>
      </c>
      <c r="P12" s="64" t="str">
        <f t="shared" si="4"/>
        <v>190 / 10270</v>
      </c>
      <c r="Q12" s="64" t="str">
        <f t="shared" si="5"/>
        <v>1081 / 7113</v>
      </c>
      <c r="T12" s="18"/>
      <c r="U12" s="18"/>
      <c r="W12" s="18"/>
      <c r="X12" s="18"/>
      <c r="Y12" s="18"/>
      <c r="Z12" s="18"/>
      <c r="AA12" s="18"/>
      <c r="AB12" s="18"/>
    </row>
    <row r="13" spans="1:28" ht="12.75" hidden="1">
      <c r="A13" s="145">
        <f>COUNT(D5:D12)</f>
        <v>8</v>
      </c>
      <c r="B13" s="146">
        <f>SUM(B5:B12)</f>
        <v>25914</v>
      </c>
      <c r="C13" s="147">
        <v>23009</v>
      </c>
      <c r="D13" s="146">
        <f>SUM(D5:D12)</f>
        <v>6952332</v>
      </c>
      <c r="E13" s="146">
        <f>SUM(E5:E12)</f>
        <v>11696</v>
      </c>
      <c r="F13" s="147">
        <v>28669.98</v>
      </c>
      <c r="G13" s="146">
        <f>SUM(G5:G12)</f>
        <v>2364766</v>
      </c>
      <c r="H13" s="148">
        <f>K13/(D13+G13)</f>
        <v>7.404322569108965</v>
      </c>
      <c r="I13" s="149">
        <f>SUM(I5:I12)</f>
        <v>52598387</v>
      </c>
      <c r="J13" s="149">
        <f>SUM(J5:J12)</f>
        <v>16388412</v>
      </c>
      <c r="K13" s="149">
        <f>SUM(K5:K12)</f>
        <v>68986799</v>
      </c>
      <c r="L13" s="150">
        <f t="shared" si="2"/>
        <v>0.0004926767050860324</v>
      </c>
      <c r="M13" s="150">
        <f t="shared" si="3"/>
        <v>0.000713675004021134</v>
      </c>
      <c r="N13" s="151">
        <f>O13/(D13+G13)</f>
        <v>22.5</v>
      </c>
      <c r="O13" s="152">
        <f>SUM(O5:O12)</f>
        <v>209634705</v>
      </c>
      <c r="P13" s="65" t="str">
        <f t="shared" si="4"/>
        <v>25914 / 6952332</v>
      </c>
      <c r="Q13" s="65" t="str">
        <f t="shared" si="5"/>
        <v>11696 / 2364766</v>
      </c>
      <c r="T13" s="18"/>
      <c r="U13" s="18"/>
      <c r="W13" s="18"/>
      <c r="X13" s="18"/>
      <c r="Y13" s="18"/>
      <c r="Z13" s="18"/>
      <c r="AA13" s="18"/>
      <c r="AB13" s="18"/>
    </row>
    <row r="14" spans="2:28" ht="15.75" hidden="1" thickBot="1">
      <c r="B14" s="2"/>
      <c r="C14" s="2"/>
      <c r="E14" s="3"/>
      <c r="F14" s="29"/>
      <c r="S14" s="9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5.75" hidden="1" thickBot="1">
      <c r="A15" s="18"/>
      <c r="B15" s="34" t="s">
        <v>51</v>
      </c>
      <c r="C15" s="199">
        <v>0.005284279939282614</v>
      </c>
      <c r="D15" s="255" t="s">
        <v>13</v>
      </c>
      <c r="E15" s="256"/>
      <c r="F15" s="257"/>
      <c r="S15" s="9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26.25" hidden="1" thickBot="1">
      <c r="A16" s="185">
        <f>I46</f>
        <v>0.000713675004021134</v>
      </c>
      <c r="B16" s="186" t="s">
        <v>52</v>
      </c>
      <c r="C16" s="12"/>
      <c r="D16" s="10" t="s">
        <v>12</v>
      </c>
      <c r="E16" s="11" t="s">
        <v>21</v>
      </c>
      <c r="F16" s="10" t="s">
        <v>22</v>
      </c>
      <c r="S16" s="9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5.75" hidden="1" thickBot="1">
      <c r="A17" s="187">
        <f>E46</f>
        <v>7.404322569108965</v>
      </c>
      <c r="B17" s="188" t="s">
        <v>53</v>
      </c>
      <c r="C17" s="12"/>
      <c r="D17" s="200">
        <v>0.45</v>
      </c>
      <c r="E17" s="201">
        <v>0.34</v>
      </c>
      <c r="F17" s="202">
        <v>0.59</v>
      </c>
      <c r="G17" s="12"/>
      <c r="S17" s="9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5.75" hidden="1" thickBot="1">
      <c r="A18" s="36"/>
      <c r="B18" s="35"/>
      <c r="C18" s="18"/>
      <c r="D18" s="18"/>
      <c r="E18" s="18"/>
      <c r="F18" s="18"/>
      <c r="G18" s="18"/>
      <c r="S18" s="9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5.75" hidden="1" thickBot="1">
      <c r="A19" s="36"/>
      <c r="B19" s="37"/>
      <c r="C19" s="38"/>
      <c r="D19" s="39">
        <f>C15*D17</f>
        <v>0.002377925972677176</v>
      </c>
      <c r="E19" s="40">
        <f>C15*E17</f>
        <v>0.0017966551793560889</v>
      </c>
      <c r="F19" s="41">
        <f>C15*F17</f>
        <v>0.003117725164176742</v>
      </c>
      <c r="G19" s="18"/>
      <c r="S19" s="9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5.75" hidden="1" thickBot="1">
      <c r="A20" s="36"/>
      <c r="B20" s="35"/>
      <c r="C20" s="18"/>
      <c r="D20" s="18"/>
      <c r="E20" s="18"/>
      <c r="F20" s="18"/>
      <c r="G20" s="18"/>
      <c r="S20" s="9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5.75" hidden="1" thickBot="1">
      <c r="A21" s="36"/>
      <c r="B21" s="42"/>
      <c r="C21" s="43" t="s">
        <v>2</v>
      </c>
      <c r="D21" s="44">
        <f>C15-D19</f>
        <v>0.0029063539666054376</v>
      </c>
      <c r="E21" s="45">
        <f>C15-F19</f>
        <v>0.0021665547751058716</v>
      </c>
      <c r="F21" s="46">
        <f>C15-E19</f>
        <v>0.003487624759926525</v>
      </c>
      <c r="G21" s="18"/>
      <c r="S21" s="9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5.75" hidden="1" thickBot="1">
      <c r="A22" s="36"/>
      <c r="B22" s="47"/>
      <c r="C22" s="48" t="s">
        <v>3</v>
      </c>
      <c r="D22" s="49">
        <f>1/D21</f>
        <v>344.0737127996765</v>
      </c>
      <c r="E22" s="50">
        <f>1/F21</f>
        <v>286.72809399973045</v>
      </c>
      <c r="F22" s="51">
        <f>1/E21</f>
        <v>461.56229765810264</v>
      </c>
      <c r="G22" s="18"/>
      <c r="S22" s="9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5" hidden="1">
      <c r="A23" s="36"/>
      <c r="B23" s="35"/>
      <c r="C23" s="12"/>
      <c r="D23" s="12"/>
      <c r="E23" s="12"/>
      <c r="F23" s="12"/>
      <c r="G23" s="18"/>
      <c r="S23" s="9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" hidden="1">
      <c r="A24" s="36"/>
      <c r="B24" s="129" t="s">
        <v>4</v>
      </c>
      <c r="C24" s="130"/>
      <c r="D24" s="130"/>
      <c r="E24" s="131">
        <f>ROUND(D17,2)</f>
        <v>0.45</v>
      </c>
      <c r="F24" s="132">
        <f>ROUND(D21,4)</f>
        <v>0.0029</v>
      </c>
      <c r="G24" s="133">
        <f>ROUND(D22,0)</f>
        <v>344</v>
      </c>
      <c r="S24" s="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 hidden="1">
      <c r="A25" s="36"/>
      <c r="B25" s="52" t="s">
        <v>6</v>
      </c>
      <c r="C25" s="53">
        <f>ROUND(D19,4)</f>
        <v>0.0024</v>
      </c>
      <c r="D25" s="54">
        <f>ROUND(C15,4)</f>
        <v>0.0053</v>
      </c>
      <c r="E25" s="6">
        <f>ROUND(E17,2)</f>
        <v>0.34</v>
      </c>
      <c r="F25" s="7">
        <f>ROUND(E21,4)</f>
        <v>0.0022</v>
      </c>
      <c r="G25" s="8">
        <f>ROUND(E22,0)</f>
        <v>287</v>
      </c>
      <c r="S25" s="9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" hidden="1">
      <c r="A26" s="36"/>
      <c r="B26" s="52" t="s">
        <v>5</v>
      </c>
      <c r="C26" s="14"/>
      <c r="D26" s="14"/>
      <c r="E26" s="6">
        <f>ROUND(F17,2)</f>
        <v>0.59</v>
      </c>
      <c r="F26" s="7">
        <f>ROUND(F21,4)</f>
        <v>0.0035</v>
      </c>
      <c r="G26" s="8">
        <f>ROUND(F22,0)</f>
        <v>462</v>
      </c>
      <c r="S26" s="9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5" hidden="1">
      <c r="A27" s="36"/>
      <c r="B27" s="52" t="s">
        <v>7</v>
      </c>
      <c r="C27" s="134" t="s">
        <v>54</v>
      </c>
      <c r="D27" s="134" t="s">
        <v>11</v>
      </c>
      <c r="E27" s="135" t="s">
        <v>8</v>
      </c>
      <c r="F27" s="135" t="s">
        <v>9</v>
      </c>
      <c r="G27" s="134" t="s">
        <v>3</v>
      </c>
      <c r="S27" s="9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5" hidden="1">
      <c r="A28" s="36"/>
      <c r="B28" s="55" t="s">
        <v>0</v>
      </c>
      <c r="C28" s="134" t="str">
        <f>CONCATENATE(C25*100,B27)</f>
        <v>0,24%</v>
      </c>
      <c r="D28" s="134" t="str">
        <f>CONCATENATE(D25*100,B27)</f>
        <v>0,53%</v>
      </c>
      <c r="E28" s="134" t="str">
        <f>CONCATENATE(E24," ",B24,E25,B25,E26,B26)</f>
        <v>0,45 (0,34-0,59)</v>
      </c>
      <c r="F28" s="134" t="str">
        <f>CONCATENATE(F24*100,B27," ",B24,F25*100,B27," ",B28," ",F26*100,B27,B26)</f>
        <v>0,29% (0,22% a 0,35%)</v>
      </c>
      <c r="G28" s="134" t="str">
        <f>CONCATENATE(G24," ",B24,G25," ",B28," ",G26,B26)</f>
        <v>344 (287 a 462)</v>
      </c>
      <c r="S28" s="9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5" hidden="1">
      <c r="A29" s="56"/>
      <c r="B29" s="4"/>
      <c r="C29" s="19"/>
      <c r="D29" s="19"/>
      <c r="E29" s="19"/>
      <c r="F29" s="19"/>
      <c r="G29" s="19"/>
      <c r="S29" s="9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5.75" hidden="1" thickBot="1">
      <c r="A30" s="185">
        <f>A16*A17</f>
        <v>0.005284279939282614</v>
      </c>
      <c r="B30" s="186" t="s">
        <v>55</v>
      </c>
      <c r="C30" s="18"/>
      <c r="D30" s="18"/>
      <c r="E30" s="18"/>
      <c r="F30" s="18"/>
      <c r="G30" s="18"/>
      <c r="S30" s="9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5.75" hidden="1" thickBot="1">
      <c r="A31" s="57"/>
      <c r="B31" s="18"/>
      <c r="C31" s="193" t="s">
        <v>56</v>
      </c>
      <c r="D31" s="194" t="s">
        <v>11</v>
      </c>
      <c r="E31" s="194" t="s">
        <v>8</v>
      </c>
      <c r="F31" s="194" t="s">
        <v>2</v>
      </c>
      <c r="G31" s="195" t="s">
        <v>3</v>
      </c>
      <c r="S31" s="9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26.25" hidden="1" thickBot="1">
      <c r="A32" s="58"/>
      <c r="B32" s="15"/>
      <c r="C32" s="190" t="str">
        <f>C28</f>
        <v>0,24%</v>
      </c>
      <c r="D32" s="191" t="str">
        <f>D28</f>
        <v>0,53%</v>
      </c>
      <c r="E32" s="191" t="str">
        <f>E28</f>
        <v>0,45 (0,34-0,59)</v>
      </c>
      <c r="F32" s="191" t="str">
        <f>F28</f>
        <v>0,29% (0,22% a 0,35%)</v>
      </c>
      <c r="G32" s="192" t="str">
        <f>G28</f>
        <v>344 (287 a 462)</v>
      </c>
      <c r="S32" s="9"/>
      <c r="T32" s="18"/>
      <c r="U32" s="18"/>
      <c r="V32" s="18"/>
      <c r="W32" s="18"/>
      <c r="X32" s="18"/>
      <c r="Y32" s="18"/>
      <c r="Z32" s="18"/>
      <c r="AA32" s="18"/>
      <c r="AB32" s="18"/>
    </row>
    <row r="33" spans="2:28" ht="15" hidden="1">
      <c r="B33" s="2"/>
      <c r="C33" s="2"/>
      <c r="E33" s="3"/>
      <c r="F33" s="29"/>
      <c r="S33" s="9"/>
      <c r="T33" s="18"/>
      <c r="U33" s="18"/>
      <c r="V33" s="18"/>
      <c r="W33" s="18"/>
      <c r="X33" s="18"/>
      <c r="Y33" s="18"/>
      <c r="Z33" s="18"/>
      <c r="AA33" s="18"/>
      <c r="AB33" s="18"/>
    </row>
    <row r="34" spans="4:28" ht="15.75" thickBot="1">
      <c r="D34" s="3"/>
      <c r="E34" s="3"/>
      <c r="S34" s="9"/>
      <c r="T34" s="18"/>
      <c r="U34" s="18"/>
      <c r="V34" s="18"/>
      <c r="W34" s="18"/>
      <c r="X34" s="18"/>
      <c r="Y34" s="18"/>
      <c r="Z34" s="18"/>
      <c r="AA34" s="18"/>
      <c r="AB34" s="18"/>
    </row>
    <row r="35" spans="1:21" ht="22.5" customHeight="1" thickBot="1">
      <c r="A35" s="237" t="s">
        <v>302</v>
      </c>
      <c r="B35" s="184" t="str">
        <f>B2</f>
        <v>CAMBIOS en diagnóstico de verrugas AG, mujeres 20 a 24 años, seguimiento 5 a 8 años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  <c r="S35" s="9"/>
      <c r="T35" s="18"/>
      <c r="U35" s="18"/>
    </row>
    <row r="36" spans="1:21" ht="36" customHeight="1" thickBot="1">
      <c r="A36" s="262" t="s">
        <v>28</v>
      </c>
      <c r="B36" s="262" t="s">
        <v>29</v>
      </c>
      <c r="C36" s="273" t="s">
        <v>30</v>
      </c>
      <c r="D36" s="250" t="s">
        <v>31</v>
      </c>
      <c r="E36" s="262" t="s">
        <v>32</v>
      </c>
      <c r="F36" s="262" t="s">
        <v>82</v>
      </c>
      <c r="G36" s="262" t="s">
        <v>83</v>
      </c>
      <c r="H36" s="262" t="s">
        <v>86</v>
      </c>
      <c r="I36" s="262" t="s">
        <v>87</v>
      </c>
      <c r="J36" s="262" t="s">
        <v>33</v>
      </c>
      <c r="K36" s="275" t="s">
        <v>34</v>
      </c>
      <c r="L36" s="259" t="s">
        <v>35</v>
      </c>
      <c r="M36" s="260"/>
      <c r="N36" s="260"/>
      <c r="O36" s="261"/>
      <c r="S36" s="9"/>
      <c r="T36" s="18"/>
      <c r="U36" s="18"/>
    </row>
    <row r="37" spans="1:21" ht="43.5" customHeight="1" thickBot="1">
      <c r="A37" s="263"/>
      <c r="B37" s="263"/>
      <c r="C37" s="274"/>
      <c r="D37" s="251"/>
      <c r="E37" s="263"/>
      <c r="F37" s="263"/>
      <c r="G37" s="263"/>
      <c r="H37" s="263"/>
      <c r="I37" s="263"/>
      <c r="J37" s="263"/>
      <c r="K37" s="276"/>
      <c r="L37" s="203" t="s">
        <v>36</v>
      </c>
      <c r="M37" s="204" t="s">
        <v>2</v>
      </c>
      <c r="N37" s="205" t="s">
        <v>3</v>
      </c>
      <c r="O37" s="206" t="s">
        <v>37</v>
      </c>
      <c r="S37" s="9"/>
      <c r="T37" s="18"/>
      <c r="U37" s="18"/>
    </row>
    <row r="38" spans="1:21" ht="15" customHeight="1">
      <c r="A38" s="265">
        <v>8</v>
      </c>
      <c r="B38" s="141" t="str">
        <f>A5</f>
        <v>Guerra 2016, 22,5, 6y</v>
      </c>
      <c r="C38" s="66" t="s">
        <v>38</v>
      </c>
      <c r="D38" s="67"/>
      <c r="E38" s="153">
        <f aca="true" t="shared" si="10" ref="E38:E46">H5</f>
        <v>6</v>
      </c>
      <c r="F38" s="154" t="str">
        <f aca="true" t="shared" si="11" ref="F38:F46">P5</f>
        <v>1815 / 570104</v>
      </c>
      <c r="G38" s="155">
        <f aca="true" t="shared" si="12" ref="G38:G46">L5</f>
        <v>0.0005306049422561498</v>
      </c>
      <c r="H38" s="154" t="str">
        <f aca="true" t="shared" si="13" ref="H38:H46">Q5</f>
        <v>2745 / 771658</v>
      </c>
      <c r="I38" s="156">
        <f aca="true" t="shared" si="14" ref="I38:J46">M5</f>
        <v>0.0005928792288811883</v>
      </c>
      <c r="J38" s="157">
        <f t="shared" si="14"/>
        <v>22.5</v>
      </c>
      <c r="K38" s="127">
        <v>0.1350283130803429</v>
      </c>
      <c r="L38" s="217" t="s">
        <v>139</v>
      </c>
      <c r="M38" s="218" t="s">
        <v>140</v>
      </c>
      <c r="N38" s="218" t="s">
        <v>141</v>
      </c>
      <c r="O38" s="160"/>
      <c r="Q38" s="13">
        <v>3</v>
      </c>
      <c r="R38" s="70">
        <f>Q38*K38</f>
        <v>0.40508493924102873</v>
      </c>
      <c r="S38" s="9"/>
      <c r="T38" s="18"/>
      <c r="U38" s="18"/>
    </row>
    <row r="39" spans="1:21" ht="15" customHeight="1">
      <c r="A39" s="266"/>
      <c r="B39" s="141" t="str">
        <f aca="true" t="shared" si="15" ref="B39:B45">A6</f>
        <v>Cocchio2017, 22,5, 7y</v>
      </c>
      <c r="C39" s="66" t="s">
        <v>38</v>
      </c>
      <c r="D39" s="67"/>
      <c r="E39" s="153">
        <f t="shared" si="10"/>
        <v>7</v>
      </c>
      <c r="F39" s="154" t="str">
        <f t="shared" si="11"/>
        <v>137 / 342593</v>
      </c>
      <c r="G39" s="155">
        <f t="shared" si="12"/>
        <v>5.712734519219182E-05</v>
      </c>
      <c r="H39" s="154" t="str">
        <f t="shared" si="13"/>
        <v>220 / 335619</v>
      </c>
      <c r="I39" s="155">
        <f t="shared" si="14"/>
        <v>9.364360011969355E-05</v>
      </c>
      <c r="J39" s="157">
        <f t="shared" si="14"/>
        <v>22.5</v>
      </c>
      <c r="K39" s="127">
        <v>0.126064065381314</v>
      </c>
      <c r="L39" s="217" t="s">
        <v>142</v>
      </c>
      <c r="M39" s="218" t="s">
        <v>143</v>
      </c>
      <c r="N39" s="218" t="s">
        <v>144</v>
      </c>
      <c r="O39" s="128"/>
      <c r="Q39" s="13">
        <v>3</v>
      </c>
      <c r="R39" s="70">
        <f aca="true" t="shared" si="16" ref="R39:R45">Q39*K39</f>
        <v>0.37819219614394206</v>
      </c>
      <c r="S39" s="9"/>
      <c r="T39" s="18"/>
      <c r="U39" s="18"/>
    </row>
    <row r="40" spans="1:21" ht="15" customHeight="1">
      <c r="A40" s="266"/>
      <c r="B40" s="141" t="str">
        <f t="shared" si="15"/>
        <v>Herweijer 2018, 22,5, 6y</v>
      </c>
      <c r="C40" s="66" t="s">
        <v>38</v>
      </c>
      <c r="D40" s="67"/>
      <c r="E40" s="153">
        <f t="shared" si="10"/>
        <v>6</v>
      </c>
      <c r="F40" s="154" t="str">
        <f t="shared" si="11"/>
        <v>4761 / 635270</v>
      </c>
      <c r="G40" s="155">
        <f t="shared" si="12"/>
        <v>0.0012490751963731956</v>
      </c>
      <c r="H40" s="154" t="str">
        <f t="shared" si="13"/>
        <v>2763 / 260930</v>
      </c>
      <c r="I40" s="155">
        <f t="shared" si="14"/>
        <v>0.0017648411451347105</v>
      </c>
      <c r="J40" s="157">
        <f t="shared" si="14"/>
        <v>22.5</v>
      </c>
      <c r="K40" s="127">
        <v>0.13533273900594858</v>
      </c>
      <c r="L40" s="217" t="s">
        <v>145</v>
      </c>
      <c r="M40" s="218" t="s">
        <v>146</v>
      </c>
      <c r="N40" s="218" t="s">
        <v>147</v>
      </c>
      <c r="O40" s="128"/>
      <c r="Q40" s="13">
        <v>3</v>
      </c>
      <c r="R40" s="70">
        <f t="shared" si="16"/>
        <v>0.4059982170178458</v>
      </c>
      <c r="S40" s="9"/>
      <c r="T40" s="18"/>
      <c r="U40" s="18"/>
    </row>
    <row r="41" spans="1:21" ht="15" customHeight="1">
      <c r="A41" s="266"/>
      <c r="B41" s="141" t="str">
        <f t="shared" si="15"/>
        <v>Flagg 2018, 22,5, 8y</v>
      </c>
      <c r="C41" s="66" t="s">
        <v>38</v>
      </c>
      <c r="D41" s="67"/>
      <c r="E41" s="153">
        <f t="shared" si="10"/>
        <v>8</v>
      </c>
      <c r="F41" s="154" t="str">
        <f t="shared" si="11"/>
        <v>18741 / 5249389</v>
      </c>
      <c r="G41" s="155">
        <f t="shared" si="12"/>
        <v>0.00044626622260228764</v>
      </c>
      <c r="H41" s="154" t="str">
        <f t="shared" si="13"/>
        <v>4315 / 915486</v>
      </c>
      <c r="I41" s="155">
        <f t="shared" si="14"/>
        <v>0.0005891679392147996</v>
      </c>
      <c r="J41" s="157">
        <f t="shared" si="14"/>
        <v>22.5</v>
      </c>
      <c r="K41" s="127">
        <v>0.1355827711818996</v>
      </c>
      <c r="L41" s="217" t="s">
        <v>148</v>
      </c>
      <c r="M41" s="218" t="s">
        <v>149</v>
      </c>
      <c r="N41" s="218" t="s">
        <v>150</v>
      </c>
      <c r="O41" s="128"/>
      <c r="Q41" s="13">
        <v>3</v>
      </c>
      <c r="R41" s="70">
        <f t="shared" si="16"/>
        <v>0.4067483135456988</v>
      </c>
      <c r="S41" s="9"/>
      <c r="T41" s="18"/>
      <c r="U41" s="18"/>
    </row>
    <row r="42" spans="1:21" ht="15" customHeight="1">
      <c r="A42" s="266"/>
      <c r="B42" s="141" t="str">
        <f t="shared" si="15"/>
        <v>Dominiak 2015, 22,5, 6y</v>
      </c>
      <c r="C42" s="66" t="s">
        <v>38</v>
      </c>
      <c r="D42" s="67"/>
      <c r="E42" s="153">
        <f t="shared" si="10"/>
        <v>6</v>
      </c>
      <c r="F42" s="154" t="str">
        <f t="shared" si="11"/>
        <v>179 / 132177</v>
      </c>
      <c r="G42" s="155">
        <f t="shared" si="12"/>
        <v>0.00022570744784140457</v>
      </c>
      <c r="H42" s="154" t="str">
        <f t="shared" si="13"/>
        <v>214 / 62497</v>
      </c>
      <c r="I42" s="155">
        <f t="shared" si="14"/>
        <v>0.0005706940599815458</v>
      </c>
      <c r="J42" s="157">
        <f t="shared" si="14"/>
        <v>22.5</v>
      </c>
      <c r="K42" s="127">
        <v>0.12730386732757865</v>
      </c>
      <c r="L42" s="217" t="s">
        <v>139</v>
      </c>
      <c r="M42" s="218" t="s">
        <v>140</v>
      </c>
      <c r="N42" s="218" t="s">
        <v>141</v>
      </c>
      <c r="O42" s="128"/>
      <c r="Q42" s="13">
        <v>3</v>
      </c>
      <c r="R42" s="70">
        <f t="shared" si="16"/>
        <v>0.38191160198273594</v>
      </c>
      <c r="S42" s="9"/>
      <c r="T42" s="18"/>
      <c r="U42" s="18"/>
    </row>
    <row r="43" spans="1:21" ht="15" customHeight="1">
      <c r="A43" s="266"/>
      <c r="B43" s="141" t="str">
        <f t="shared" si="15"/>
        <v>Oliphant 2017, 22,5, 5y</v>
      </c>
      <c r="C43" s="66" t="s">
        <v>38</v>
      </c>
      <c r="D43" s="67"/>
      <c r="E43" s="153">
        <f t="shared" si="10"/>
        <v>5</v>
      </c>
      <c r="F43" s="154" t="str">
        <f t="shared" si="11"/>
        <v>77 / 858</v>
      </c>
      <c r="G43" s="155">
        <f t="shared" si="12"/>
        <v>0.017948717948717947</v>
      </c>
      <c r="H43" s="154" t="str">
        <f t="shared" si="13"/>
        <v>302 / 1309</v>
      </c>
      <c r="I43" s="155">
        <f t="shared" si="14"/>
        <v>0.04614209320091673</v>
      </c>
      <c r="J43" s="157">
        <f t="shared" si="14"/>
        <v>22.5</v>
      </c>
      <c r="K43" s="127">
        <v>0.12415557259361057</v>
      </c>
      <c r="L43" s="217" t="s">
        <v>151</v>
      </c>
      <c r="M43" s="218" t="s">
        <v>152</v>
      </c>
      <c r="N43" s="218" t="s">
        <v>153</v>
      </c>
      <c r="O43" s="160"/>
      <c r="Q43" s="13">
        <v>3.5</v>
      </c>
      <c r="R43" s="70">
        <f t="shared" si="16"/>
        <v>0.434544504077637</v>
      </c>
      <c r="S43" s="9"/>
      <c r="T43" s="18"/>
      <c r="U43" s="18"/>
    </row>
    <row r="44" spans="1:21" ht="15" customHeight="1">
      <c r="A44" s="266"/>
      <c r="B44" s="141" t="str">
        <f t="shared" si="15"/>
        <v>Harrison 2014, 22,5, 8y</v>
      </c>
      <c r="C44" s="66" t="s">
        <v>38</v>
      </c>
      <c r="D44" s="67"/>
      <c r="E44" s="153">
        <f t="shared" si="10"/>
        <v>8</v>
      </c>
      <c r="F44" s="154" t="str">
        <f t="shared" si="11"/>
        <v>14 / 11671</v>
      </c>
      <c r="G44" s="155">
        <f t="shared" si="12"/>
        <v>0.00014994430640047983</v>
      </c>
      <c r="H44" s="154" t="str">
        <f t="shared" si="13"/>
        <v>56 / 10154</v>
      </c>
      <c r="I44" s="155">
        <f t="shared" si="14"/>
        <v>0.000689383494189482</v>
      </c>
      <c r="J44" s="157">
        <f t="shared" si="14"/>
        <v>22.5</v>
      </c>
      <c r="K44" s="127">
        <v>0.08579096930924374</v>
      </c>
      <c r="L44" s="217" t="s">
        <v>154</v>
      </c>
      <c r="M44" s="218" t="s">
        <v>155</v>
      </c>
      <c r="N44" s="218" t="s">
        <v>156</v>
      </c>
      <c r="O44" s="160"/>
      <c r="Q44" s="13">
        <v>3</v>
      </c>
      <c r="R44" s="70">
        <f t="shared" si="16"/>
        <v>0.2573729079277312</v>
      </c>
      <c r="S44" s="9"/>
      <c r="T44" s="18"/>
      <c r="U44" s="18"/>
    </row>
    <row r="45" spans="1:21" ht="15" customHeight="1" thickBot="1">
      <c r="A45" s="267"/>
      <c r="B45" s="141" t="str">
        <f t="shared" si="15"/>
        <v>Callander 2016, 22,5, 8y</v>
      </c>
      <c r="C45" s="66" t="s">
        <v>38</v>
      </c>
      <c r="D45" s="67"/>
      <c r="E45" s="153">
        <f t="shared" si="10"/>
        <v>8</v>
      </c>
      <c r="F45" s="154" t="str">
        <f t="shared" si="11"/>
        <v>190 / 10270</v>
      </c>
      <c r="G45" s="155">
        <f t="shared" si="12"/>
        <v>0.0023125608568646543</v>
      </c>
      <c r="H45" s="154" t="str">
        <f t="shared" si="13"/>
        <v>1081 / 7113</v>
      </c>
      <c r="I45" s="155">
        <f t="shared" si="14"/>
        <v>0.018996907071559117</v>
      </c>
      <c r="J45" s="157">
        <f t="shared" si="14"/>
        <v>22.5</v>
      </c>
      <c r="K45" s="127">
        <v>0.130741702120062</v>
      </c>
      <c r="L45" s="217" t="s">
        <v>157</v>
      </c>
      <c r="M45" s="218" t="s">
        <v>158</v>
      </c>
      <c r="N45" s="218" t="s">
        <v>159</v>
      </c>
      <c r="O45" s="160"/>
      <c r="Q45" s="13">
        <v>3</v>
      </c>
      <c r="R45" s="70">
        <f t="shared" si="16"/>
        <v>0.39222510636018604</v>
      </c>
      <c r="S45" s="9"/>
      <c r="T45" s="18"/>
      <c r="U45" s="18"/>
    </row>
    <row r="46" spans="1:21" ht="21.75" thickBot="1">
      <c r="A46" s="161" t="s">
        <v>39</v>
      </c>
      <c r="B46" s="162">
        <f>COUNT(E38:E45)</f>
        <v>8</v>
      </c>
      <c r="C46" s="163"/>
      <c r="D46" s="71" t="s">
        <v>99</v>
      </c>
      <c r="E46" s="164">
        <f t="shared" si="10"/>
        <v>7.404322569108965</v>
      </c>
      <c r="F46" s="165" t="str">
        <f t="shared" si="11"/>
        <v>25914 / 6952332</v>
      </c>
      <c r="G46" s="166">
        <f t="shared" si="12"/>
        <v>0.0004926767050860324</v>
      </c>
      <c r="H46" s="165" t="str">
        <f t="shared" si="13"/>
        <v>11696 / 2364766</v>
      </c>
      <c r="I46" s="166">
        <f t="shared" si="14"/>
        <v>0.000713675004021134</v>
      </c>
      <c r="J46" s="164">
        <f t="shared" si="14"/>
        <v>22.5</v>
      </c>
      <c r="K46" s="167">
        <v>0.9999999999999998</v>
      </c>
      <c r="L46" s="120" t="s">
        <v>160</v>
      </c>
      <c r="M46" s="72"/>
      <c r="N46" s="73"/>
      <c r="O46" s="74"/>
      <c r="R46" s="168">
        <f>SUM(R38:R45)</f>
        <v>3.062077786296806</v>
      </c>
      <c r="S46" s="9"/>
      <c r="T46" s="18"/>
      <c r="U46" s="18"/>
    </row>
    <row r="47" spans="1:15" ht="13.5" thickBot="1">
      <c r="A47" s="75"/>
      <c r="B47" s="75"/>
      <c r="C47" s="76"/>
      <c r="D47" s="77"/>
      <c r="E47" s="78"/>
      <c r="F47" s="79"/>
      <c r="G47" s="80"/>
      <c r="H47" s="79"/>
      <c r="I47" s="81"/>
      <c r="J47" s="82"/>
      <c r="K47" s="83"/>
      <c r="L47" s="72"/>
      <c r="M47" s="73"/>
      <c r="N47" s="73"/>
      <c r="O47" s="83"/>
    </row>
    <row r="48" spans="1:256" ht="48" thickBot="1">
      <c r="A48" s="84"/>
      <c r="B48" s="268" t="s">
        <v>90</v>
      </c>
      <c r="C48" s="269"/>
      <c r="D48" s="269"/>
      <c r="E48" s="269"/>
      <c r="F48" s="269"/>
      <c r="G48" s="269"/>
      <c r="H48" s="269"/>
      <c r="I48" s="270"/>
      <c r="J48" s="85" t="s">
        <v>84</v>
      </c>
      <c r="K48" s="169" t="s">
        <v>88</v>
      </c>
      <c r="L48" s="86" t="s">
        <v>36</v>
      </c>
      <c r="M48" s="87" t="s">
        <v>2</v>
      </c>
      <c r="N48" s="88" t="s">
        <v>3</v>
      </c>
      <c r="O48" s="7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5" ht="21" customHeight="1">
      <c r="A49" s="271" t="s">
        <v>40</v>
      </c>
      <c r="B49" s="89" t="s">
        <v>41</v>
      </c>
      <c r="C49" s="90">
        <f>I46</f>
        <v>0.000713675004021134</v>
      </c>
      <c r="D49" s="91" t="s">
        <v>42</v>
      </c>
      <c r="E49" s="91"/>
      <c r="F49" s="91"/>
      <c r="G49" s="91"/>
      <c r="H49" s="92">
        <f>J46</f>
        <v>22.5</v>
      </c>
      <c r="I49" s="93" t="s">
        <v>43</v>
      </c>
      <c r="J49" s="94">
        <v>0.0003</v>
      </c>
      <c r="K49" s="95">
        <v>0.0007</v>
      </c>
      <c r="L49" s="121" t="s">
        <v>160</v>
      </c>
      <c r="M49" s="96" t="s">
        <v>288</v>
      </c>
      <c r="N49" s="229" t="s">
        <v>289</v>
      </c>
      <c r="O49" s="97" t="s">
        <v>44</v>
      </c>
    </row>
    <row r="50" spans="1:15" ht="21.75" customHeight="1" thickBot="1">
      <c r="A50" s="272"/>
      <c r="B50" s="170" t="s">
        <v>41</v>
      </c>
      <c r="C50" s="171">
        <f>I46*E46</f>
        <v>0.005284279939282614</v>
      </c>
      <c r="D50" s="172" t="s">
        <v>45</v>
      </c>
      <c r="E50" s="173"/>
      <c r="F50" s="174"/>
      <c r="G50" s="175">
        <f>E46</f>
        <v>7.404322569108965</v>
      </c>
      <c r="H50" s="172" t="s">
        <v>46</v>
      </c>
      <c r="I50" s="176"/>
      <c r="J50" s="177">
        <v>0.0024</v>
      </c>
      <c r="K50" s="178">
        <v>0.0053</v>
      </c>
      <c r="L50" s="179" t="s">
        <v>160</v>
      </c>
      <c r="M50" s="180" t="s">
        <v>290</v>
      </c>
      <c r="N50" s="230" t="s">
        <v>291</v>
      </c>
      <c r="O50" s="181" t="s">
        <v>292</v>
      </c>
    </row>
    <row r="51" spans="1:15" ht="19.5" thickBot="1">
      <c r="A51" s="100"/>
      <c r="B51" s="101"/>
      <c r="C51" s="102"/>
      <c r="D51" s="103"/>
      <c r="E51" s="104"/>
      <c r="F51" s="105"/>
      <c r="G51" s="106"/>
      <c r="H51" s="103"/>
      <c r="I51" s="105"/>
      <c r="J51" s="107"/>
      <c r="K51" s="107"/>
      <c r="L51" s="108"/>
      <c r="M51" s="109"/>
      <c r="N51" s="109"/>
      <c r="O51" s="110"/>
    </row>
    <row r="52" spans="1:15" ht="19.5" thickBot="1">
      <c r="A52" s="111"/>
      <c r="B52" s="111"/>
      <c r="C52" s="83"/>
      <c r="D52" s="83"/>
      <c r="E52" s="83"/>
      <c r="F52" s="83"/>
      <c r="G52" s="83"/>
      <c r="H52" s="83"/>
      <c r="I52" s="207"/>
      <c r="J52" s="208"/>
      <c r="K52" s="209" t="s">
        <v>47</v>
      </c>
      <c r="L52" s="231" t="s">
        <v>293</v>
      </c>
      <c r="M52" s="115"/>
      <c r="N52" s="116"/>
      <c r="O52" s="117"/>
    </row>
    <row r="53" spans="1:11" ht="12.75">
      <c r="A53" s="20"/>
      <c r="C53" s="2"/>
      <c r="I53" s="5" t="s">
        <v>48</v>
      </c>
      <c r="J53" s="211">
        <v>7</v>
      </c>
      <c r="K53" s="211">
        <f>J53</f>
        <v>7</v>
      </c>
    </row>
    <row r="54" spans="1:12" ht="12.75">
      <c r="A54" s="20"/>
      <c r="C54" s="2"/>
      <c r="I54" s="13"/>
      <c r="J54" s="144" t="s">
        <v>14</v>
      </c>
      <c r="K54" s="144" t="s">
        <v>15</v>
      </c>
      <c r="L54" s="144" t="s">
        <v>49</v>
      </c>
    </row>
    <row r="55" spans="9:14" ht="17.25">
      <c r="I55" s="118" t="s">
        <v>50</v>
      </c>
      <c r="J55" s="126">
        <f>J49*1000*J53</f>
        <v>2.1</v>
      </c>
      <c r="K55" s="124">
        <f>K49*1000*K53</f>
        <v>4.8999999999999995</v>
      </c>
      <c r="L55" s="125">
        <f>((J55*I13)+(K55*J13))/K13</f>
        <v>2.7651642671520387</v>
      </c>
      <c r="M55" s="119"/>
      <c r="N55" s="119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  <row r="73" spans="1:7" ht="12.75">
      <c r="A73" s="18"/>
      <c r="B73" s="18"/>
      <c r="C73" s="18"/>
      <c r="D73" s="18"/>
      <c r="E73" s="18"/>
      <c r="F73" s="18"/>
      <c r="G73" s="18"/>
    </row>
    <row r="74" spans="1:7" ht="12.75">
      <c r="A74" s="18"/>
      <c r="B74" s="18"/>
      <c r="C74" s="18"/>
      <c r="D74" s="18"/>
      <c r="E74" s="18"/>
      <c r="F74" s="18"/>
      <c r="G74" s="18"/>
    </row>
  </sheetData>
  <sheetProtection/>
  <mergeCells count="20">
    <mergeCell ref="L36:O36"/>
    <mergeCell ref="B48:I48"/>
    <mergeCell ref="A49:A50"/>
    <mergeCell ref="F36:F37"/>
    <mergeCell ref="G36:G37"/>
    <mergeCell ref="H36:H37"/>
    <mergeCell ref="I36:I37"/>
    <mergeCell ref="J36:J37"/>
    <mergeCell ref="K36:K37"/>
    <mergeCell ref="A38:A45"/>
    <mergeCell ref="B3:D3"/>
    <mergeCell ref="E3:G3"/>
    <mergeCell ref="I3:K3"/>
    <mergeCell ref="L3:M3"/>
    <mergeCell ref="D15:F15"/>
    <mergeCell ref="A36:A37"/>
    <mergeCell ref="B36:B37"/>
    <mergeCell ref="C36:C37"/>
    <mergeCell ref="D36:D37"/>
    <mergeCell ref="E36:E37"/>
  </mergeCells>
  <printOptions/>
  <pageMargins left="0.75" right="0.75" top="1" bottom="1" header="0.5" footer="0.5"/>
  <pageSetup orientation="portrait" paperSize="9"/>
  <ignoredErrors>
    <ignoredError sqref="H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34">
      <selection activeCell="A34" sqref="A34"/>
    </sheetView>
  </sheetViews>
  <sheetFormatPr defaultColWidth="16.00390625" defaultRowHeight="12.75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6.140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0.421875" style="2" customWidth="1"/>
    <col min="15" max="15" width="16.7109375" style="2" customWidth="1"/>
    <col min="16" max="16" width="16.00390625" style="2" customWidth="1"/>
    <col min="17" max="17" width="13.8515625" style="2" hidden="1" customWidth="1"/>
    <col min="18" max="18" width="0" style="2" hidden="1" customWidth="1"/>
    <col min="19" max="19" width="34.8515625" style="2" customWidth="1"/>
    <col min="20" max="16384" width="16.00390625" style="2" customWidth="1"/>
  </cols>
  <sheetData>
    <row r="1" spans="19:28" ht="15" hidden="1">
      <c r="S1" s="9"/>
      <c r="T1" s="18"/>
      <c r="U1" s="18"/>
      <c r="V1" s="18"/>
      <c r="W1" s="18"/>
      <c r="X1" s="18"/>
      <c r="Y1" s="18"/>
      <c r="Z1" s="18"/>
      <c r="AA1" s="18"/>
      <c r="AB1" s="18"/>
    </row>
    <row r="2" spans="1:28" ht="12.75" hidden="1">
      <c r="A2" s="210" t="s">
        <v>89</v>
      </c>
      <c r="B2" s="196" t="str">
        <f>A4</f>
        <v>CAMBIOS en diagnóstico de verrugas AG, mujeres 25 a 29 años, seguimiento 5 a 8 años</v>
      </c>
      <c r="C2" s="197"/>
      <c r="D2" s="198"/>
      <c r="E2" s="198"/>
      <c r="F2" s="198"/>
      <c r="G2" s="198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5.5" hidden="1">
      <c r="A3" s="21" t="s">
        <v>16</v>
      </c>
      <c r="B3" s="264" t="s">
        <v>17</v>
      </c>
      <c r="C3" s="264"/>
      <c r="D3" s="264"/>
      <c r="E3" s="258" t="s">
        <v>18</v>
      </c>
      <c r="F3" s="258"/>
      <c r="G3" s="258"/>
      <c r="H3" s="136" t="s">
        <v>23</v>
      </c>
      <c r="I3" s="252" t="s">
        <v>24</v>
      </c>
      <c r="J3" s="253"/>
      <c r="K3" s="254"/>
      <c r="L3" s="252" t="s">
        <v>25</v>
      </c>
      <c r="M3" s="254"/>
      <c r="N3" s="137" t="s">
        <v>26</v>
      </c>
      <c r="O3" s="17"/>
      <c r="T3" s="18"/>
      <c r="U3" s="18"/>
      <c r="W3" s="18"/>
      <c r="X3" s="18"/>
      <c r="Y3" s="18"/>
      <c r="Z3" s="18"/>
      <c r="AA3" s="18"/>
      <c r="AB3" s="18"/>
    </row>
    <row r="4" spans="1:28" ht="49.5" customHeight="1" hidden="1">
      <c r="A4" s="22" t="s">
        <v>294</v>
      </c>
      <c r="B4" s="216" t="s">
        <v>19</v>
      </c>
      <c r="C4" s="216" t="s">
        <v>20</v>
      </c>
      <c r="D4" s="216" t="s">
        <v>1</v>
      </c>
      <c r="E4" s="215" t="s">
        <v>19</v>
      </c>
      <c r="F4" s="215" t="s">
        <v>20</v>
      </c>
      <c r="G4" s="215" t="s">
        <v>1</v>
      </c>
      <c r="H4" s="138" t="s">
        <v>27</v>
      </c>
      <c r="I4" s="60" t="s">
        <v>14</v>
      </c>
      <c r="J4" s="61" t="s">
        <v>15</v>
      </c>
      <c r="K4" s="60" t="s">
        <v>1</v>
      </c>
      <c r="L4" s="139" t="s">
        <v>14</v>
      </c>
      <c r="M4" s="140" t="s">
        <v>85</v>
      </c>
      <c r="N4" s="59" t="s">
        <v>27</v>
      </c>
      <c r="O4" s="17"/>
      <c r="P4" s="2" t="s">
        <v>10</v>
      </c>
      <c r="Q4" s="2" t="s">
        <v>10</v>
      </c>
      <c r="T4" s="18"/>
      <c r="U4" s="18"/>
      <c r="W4" s="18"/>
      <c r="X4" s="18"/>
      <c r="Y4" s="18"/>
      <c r="Z4" s="18"/>
      <c r="AA4" s="18"/>
      <c r="AB4" s="18"/>
    </row>
    <row r="5" spans="1:28" ht="12.75" hidden="1">
      <c r="A5" s="25" t="s">
        <v>161</v>
      </c>
      <c r="B5" s="30">
        <v>1427</v>
      </c>
      <c r="C5" s="31">
        <f>D5-B5</f>
        <v>562344</v>
      </c>
      <c r="D5" s="32">
        <v>563771</v>
      </c>
      <c r="E5" s="30">
        <v>2157</v>
      </c>
      <c r="F5" s="31">
        <f>G5-E5</f>
        <v>758520</v>
      </c>
      <c r="G5" s="32">
        <v>760677</v>
      </c>
      <c r="H5" s="189">
        <v>6</v>
      </c>
      <c r="I5" s="142">
        <f aca="true" t="shared" si="0" ref="I5:I12">D5*H5</f>
        <v>3382626</v>
      </c>
      <c r="J5" s="142">
        <f aca="true" t="shared" si="1" ref="J5:J12">G5*H5</f>
        <v>4564062</v>
      </c>
      <c r="K5" s="142">
        <f>I5+J5</f>
        <v>7946688</v>
      </c>
      <c r="L5" s="143">
        <f aca="true" t="shared" si="2" ref="L5:L13">B5/I5</f>
        <v>0.00042186159510392224</v>
      </c>
      <c r="M5" s="143">
        <f aca="true" t="shared" si="3" ref="M5:M13">E5/J5</f>
        <v>0.0004726053239416993</v>
      </c>
      <c r="N5" s="214">
        <v>17.5</v>
      </c>
      <c r="O5" s="63">
        <f>N5*(D5+G5)</f>
        <v>23177840</v>
      </c>
      <c r="P5" s="64" t="str">
        <f aca="true" t="shared" si="4" ref="P5:P13">CONCATENATE(B5," ",$P$4," ",D5)</f>
        <v>1427 / 563771</v>
      </c>
      <c r="Q5" s="64" t="str">
        <f aca="true" t="shared" si="5" ref="Q5:Q13">CONCATENATE(E5," ",$Q$4," ",G5)</f>
        <v>2157 / 760677</v>
      </c>
      <c r="T5" s="18"/>
      <c r="U5" s="18"/>
      <c r="W5" s="18"/>
      <c r="X5" s="18"/>
      <c r="Y5" s="18"/>
      <c r="Z5" s="18"/>
      <c r="AA5" s="18"/>
      <c r="AB5" s="18"/>
    </row>
    <row r="6" spans="1:28" ht="12.75" hidden="1">
      <c r="A6" s="25" t="s">
        <v>162</v>
      </c>
      <c r="B6" s="30">
        <v>149</v>
      </c>
      <c r="C6" s="31">
        <f aca="true" t="shared" si="6" ref="C6:C12">D6-B6</f>
        <v>371608</v>
      </c>
      <c r="D6" s="32">
        <v>371757</v>
      </c>
      <c r="E6" s="30">
        <v>238</v>
      </c>
      <c r="F6" s="31">
        <f aca="true" t="shared" si="7" ref="F6:F12">G6-E6</f>
        <v>427650</v>
      </c>
      <c r="G6" s="32">
        <v>427888</v>
      </c>
      <c r="H6" s="189">
        <v>7</v>
      </c>
      <c r="I6" s="142">
        <f t="shared" si="0"/>
        <v>2602299</v>
      </c>
      <c r="J6" s="142">
        <f t="shared" si="1"/>
        <v>2995216</v>
      </c>
      <c r="K6" s="142">
        <f aca="true" t="shared" si="8" ref="K6:K12">I6+J6</f>
        <v>5597515</v>
      </c>
      <c r="L6" s="143">
        <f t="shared" si="2"/>
        <v>5.7257063850080257E-05</v>
      </c>
      <c r="M6" s="143">
        <f t="shared" si="3"/>
        <v>7.946004561941443E-05</v>
      </c>
      <c r="N6" s="214">
        <v>17.5</v>
      </c>
      <c r="O6" s="63">
        <f aca="true" t="shared" si="9" ref="O6:O12">N6*(D6+G6)</f>
        <v>13993787.5</v>
      </c>
      <c r="P6" s="64" t="str">
        <f t="shared" si="4"/>
        <v>149 / 371757</v>
      </c>
      <c r="Q6" s="64" t="str">
        <f t="shared" si="5"/>
        <v>238 / 427888</v>
      </c>
      <c r="T6" s="18"/>
      <c r="U6" s="18"/>
      <c r="W6" s="18"/>
      <c r="X6" s="18"/>
      <c r="Y6" s="18"/>
      <c r="Z6" s="18"/>
      <c r="AA6" s="18"/>
      <c r="AB6" s="18"/>
    </row>
    <row r="7" spans="1:28" ht="12.75" hidden="1">
      <c r="A7" s="25" t="s">
        <v>163</v>
      </c>
      <c r="B7" s="30">
        <v>2755</v>
      </c>
      <c r="C7" s="31">
        <f t="shared" si="6"/>
        <v>576412</v>
      </c>
      <c r="D7" s="32">
        <v>579167</v>
      </c>
      <c r="E7" s="30">
        <v>1611</v>
      </c>
      <c r="F7" s="31">
        <f t="shared" si="7"/>
        <v>266111</v>
      </c>
      <c r="G7" s="32">
        <v>267722</v>
      </c>
      <c r="H7" s="189">
        <v>6</v>
      </c>
      <c r="I7" s="142">
        <f t="shared" si="0"/>
        <v>3475002</v>
      </c>
      <c r="J7" s="142">
        <f t="shared" si="1"/>
        <v>1606332</v>
      </c>
      <c r="K7" s="142">
        <f t="shared" si="8"/>
        <v>5081334</v>
      </c>
      <c r="L7" s="143">
        <f t="shared" si="2"/>
        <v>0.0007928052991048639</v>
      </c>
      <c r="M7" s="143">
        <f t="shared" si="3"/>
        <v>0.0010029059995069513</v>
      </c>
      <c r="N7" s="214">
        <v>17.5</v>
      </c>
      <c r="O7" s="63">
        <f t="shared" si="9"/>
        <v>14820557.5</v>
      </c>
      <c r="P7" s="64" t="str">
        <f t="shared" si="4"/>
        <v>2755 / 579167</v>
      </c>
      <c r="Q7" s="64" t="str">
        <f t="shared" si="5"/>
        <v>1611 / 267722</v>
      </c>
      <c r="T7" s="18"/>
      <c r="U7" s="18"/>
      <c r="W7" s="18"/>
      <c r="X7" s="18"/>
      <c r="Y7" s="18"/>
      <c r="Z7" s="18"/>
      <c r="AA7" s="18"/>
      <c r="AB7" s="18"/>
    </row>
    <row r="8" spans="1:28" ht="12.75" hidden="1">
      <c r="A8" s="25" t="s">
        <v>164</v>
      </c>
      <c r="B8" s="30">
        <v>13217</v>
      </c>
      <c r="C8" s="31">
        <f t="shared" si="6"/>
        <v>3953690</v>
      </c>
      <c r="D8" s="32">
        <v>3966907</v>
      </c>
      <c r="E8" s="30">
        <v>2772</v>
      </c>
      <c r="F8" s="31">
        <f t="shared" si="7"/>
        <v>1006896</v>
      </c>
      <c r="G8" s="32">
        <v>1009668</v>
      </c>
      <c r="H8" s="189">
        <v>8</v>
      </c>
      <c r="I8" s="142">
        <f t="shared" si="0"/>
        <v>31735256</v>
      </c>
      <c r="J8" s="142">
        <f t="shared" si="1"/>
        <v>8077344</v>
      </c>
      <c r="K8" s="142">
        <f t="shared" si="8"/>
        <v>39812600</v>
      </c>
      <c r="L8" s="143">
        <f t="shared" si="2"/>
        <v>0.00041647686724190913</v>
      </c>
      <c r="M8" s="143">
        <f t="shared" si="3"/>
        <v>0.0003431821153091907</v>
      </c>
      <c r="N8" s="214">
        <v>17.5</v>
      </c>
      <c r="O8" s="63">
        <f t="shared" si="9"/>
        <v>87090062.5</v>
      </c>
      <c r="P8" s="64" t="str">
        <f t="shared" si="4"/>
        <v>13217 / 3966907</v>
      </c>
      <c r="Q8" s="64" t="str">
        <f t="shared" si="5"/>
        <v>2772 / 1009668</v>
      </c>
      <c r="T8" s="18"/>
      <c r="U8" s="18"/>
      <c r="W8" s="18"/>
      <c r="X8" s="18"/>
      <c r="Y8" s="18"/>
      <c r="Z8" s="18"/>
      <c r="AA8" s="18"/>
      <c r="AB8" s="18"/>
    </row>
    <row r="9" spans="1:28" ht="12.75" hidden="1">
      <c r="A9" s="25" t="s">
        <v>165</v>
      </c>
      <c r="B9" s="30">
        <v>252</v>
      </c>
      <c r="C9" s="31">
        <f t="shared" si="6"/>
        <v>135726</v>
      </c>
      <c r="D9" s="32">
        <v>135978</v>
      </c>
      <c r="E9" s="30">
        <v>190</v>
      </c>
      <c r="F9" s="31">
        <f t="shared" si="7"/>
        <v>98116</v>
      </c>
      <c r="G9" s="32">
        <v>98306</v>
      </c>
      <c r="H9" s="189">
        <v>6</v>
      </c>
      <c r="I9" s="142">
        <f t="shared" si="0"/>
        <v>815868</v>
      </c>
      <c r="J9" s="142">
        <f t="shared" si="1"/>
        <v>589836</v>
      </c>
      <c r="K9" s="142">
        <f t="shared" si="8"/>
        <v>1405704</v>
      </c>
      <c r="L9" s="143">
        <f t="shared" si="2"/>
        <v>0.00030887349424171557</v>
      </c>
      <c r="M9" s="143">
        <f t="shared" si="3"/>
        <v>0.0003221234377013272</v>
      </c>
      <c r="N9" s="214">
        <v>17.5</v>
      </c>
      <c r="O9" s="63">
        <f t="shared" si="9"/>
        <v>4099970</v>
      </c>
      <c r="P9" s="64" t="str">
        <f t="shared" si="4"/>
        <v>252 / 135978</v>
      </c>
      <c r="Q9" s="64" t="str">
        <f t="shared" si="5"/>
        <v>190 / 98306</v>
      </c>
      <c r="T9" s="18"/>
      <c r="U9" s="18"/>
      <c r="W9" s="18"/>
      <c r="X9" s="18"/>
      <c r="Y9" s="18"/>
      <c r="Z9" s="18"/>
      <c r="AA9" s="18"/>
      <c r="AB9" s="18"/>
    </row>
    <row r="10" spans="1:28" ht="12.75" hidden="1">
      <c r="A10" s="25" t="s">
        <v>166</v>
      </c>
      <c r="B10" s="30">
        <v>63</v>
      </c>
      <c r="C10" s="31">
        <f t="shared" si="6"/>
        <v>587</v>
      </c>
      <c r="D10" s="32">
        <v>650</v>
      </c>
      <c r="E10" s="30">
        <v>152</v>
      </c>
      <c r="F10" s="31">
        <f t="shared" si="7"/>
        <v>817</v>
      </c>
      <c r="G10" s="32">
        <v>969</v>
      </c>
      <c r="H10" s="189">
        <v>5</v>
      </c>
      <c r="I10" s="142">
        <f t="shared" si="0"/>
        <v>3250</v>
      </c>
      <c r="J10" s="142">
        <f t="shared" si="1"/>
        <v>4845</v>
      </c>
      <c r="K10" s="142">
        <f t="shared" si="8"/>
        <v>8095</v>
      </c>
      <c r="L10" s="143">
        <f t="shared" si="2"/>
        <v>0.019384615384615386</v>
      </c>
      <c r="M10" s="143">
        <f t="shared" si="3"/>
        <v>0.03137254901960784</v>
      </c>
      <c r="N10" s="214">
        <v>17.5</v>
      </c>
      <c r="O10" s="63">
        <f t="shared" si="9"/>
        <v>28332.5</v>
      </c>
      <c r="P10" s="64" t="str">
        <f t="shared" si="4"/>
        <v>63 / 650</v>
      </c>
      <c r="Q10" s="64" t="str">
        <f t="shared" si="5"/>
        <v>152 / 969</v>
      </c>
      <c r="T10" s="18"/>
      <c r="U10" s="18"/>
      <c r="W10" s="18"/>
      <c r="X10" s="18"/>
      <c r="Y10" s="18"/>
      <c r="Z10" s="18"/>
      <c r="AA10" s="18"/>
      <c r="AB10" s="18"/>
    </row>
    <row r="11" spans="1:28" ht="12.75" hidden="1">
      <c r="A11" s="25" t="s">
        <v>167</v>
      </c>
      <c r="B11" s="30">
        <v>12</v>
      </c>
      <c r="C11" s="31">
        <f t="shared" si="6"/>
        <v>13464</v>
      </c>
      <c r="D11" s="32">
        <v>13476</v>
      </c>
      <c r="E11" s="30">
        <v>37</v>
      </c>
      <c r="F11" s="31">
        <f t="shared" si="7"/>
        <v>10539</v>
      </c>
      <c r="G11" s="32">
        <v>10576</v>
      </c>
      <c r="H11" s="189">
        <v>8</v>
      </c>
      <c r="I11" s="142">
        <f t="shared" si="0"/>
        <v>107808</v>
      </c>
      <c r="J11" s="142">
        <f t="shared" si="1"/>
        <v>84608</v>
      </c>
      <c r="K11" s="142">
        <f t="shared" si="8"/>
        <v>192416</v>
      </c>
      <c r="L11" s="143">
        <f t="shared" si="2"/>
        <v>0.00011130899376669635</v>
      </c>
      <c r="M11" s="143">
        <f t="shared" si="3"/>
        <v>0.0004373108925869894</v>
      </c>
      <c r="N11" s="214">
        <v>17.5</v>
      </c>
      <c r="O11" s="63">
        <f t="shared" si="9"/>
        <v>420910</v>
      </c>
      <c r="P11" s="64" t="str">
        <f t="shared" si="4"/>
        <v>12 / 13476</v>
      </c>
      <c r="Q11" s="64" t="str">
        <f t="shared" si="5"/>
        <v>37 / 10576</v>
      </c>
      <c r="T11" s="18"/>
      <c r="U11" s="18"/>
      <c r="W11" s="18"/>
      <c r="X11" s="18"/>
      <c r="Y11" s="18"/>
      <c r="Z11" s="18"/>
      <c r="AA11" s="18"/>
      <c r="AB11" s="18"/>
    </row>
    <row r="12" spans="1:28" ht="12.75" hidden="1">
      <c r="A12" s="25" t="s">
        <v>168</v>
      </c>
      <c r="B12" s="30">
        <v>193</v>
      </c>
      <c r="C12" s="31">
        <f t="shared" si="6"/>
        <v>5942</v>
      </c>
      <c r="D12" s="32">
        <v>6135</v>
      </c>
      <c r="E12" s="30">
        <v>557</v>
      </c>
      <c r="F12" s="31">
        <f t="shared" si="7"/>
        <v>5146</v>
      </c>
      <c r="G12" s="32">
        <v>5703</v>
      </c>
      <c r="H12" s="189">
        <v>8</v>
      </c>
      <c r="I12" s="142">
        <f t="shared" si="0"/>
        <v>49080</v>
      </c>
      <c r="J12" s="142">
        <f t="shared" si="1"/>
        <v>45624</v>
      </c>
      <c r="K12" s="142">
        <f t="shared" si="8"/>
        <v>94704</v>
      </c>
      <c r="L12" s="143">
        <f t="shared" si="2"/>
        <v>0.003932355338223309</v>
      </c>
      <c r="M12" s="143">
        <f t="shared" si="3"/>
        <v>0.012208486761353674</v>
      </c>
      <c r="N12" s="214">
        <v>17.5</v>
      </c>
      <c r="O12" s="63">
        <f t="shared" si="9"/>
        <v>207165</v>
      </c>
      <c r="P12" s="64" t="str">
        <f t="shared" si="4"/>
        <v>193 / 6135</v>
      </c>
      <c r="Q12" s="64" t="str">
        <f t="shared" si="5"/>
        <v>557 / 5703</v>
      </c>
      <c r="T12" s="18"/>
      <c r="U12" s="18"/>
      <c r="W12" s="18"/>
      <c r="X12" s="18"/>
      <c r="Y12" s="18"/>
      <c r="Z12" s="18"/>
      <c r="AA12" s="18"/>
      <c r="AB12" s="18"/>
    </row>
    <row r="13" spans="1:28" ht="12.75" hidden="1">
      <c r="A13" s="145">
        <f>COUNT(D5:D12)</f>
        <v>8</v>
      </c>
      <c r="B13" s="146">
        <f>SUM(B5:B12)</f>
        <v>18068</v>
      </c>
      <c r="C13" s="147">
        <v>23009</v>
      </c>
      <c r="D13" s="146">
        <f>SUM(D5:D12)</f>
        <v>5637841</v>
      </c>
      <c r="E13" s="146">
        <f>SUM(E5:E12)</f>
        <v>7714</v>
      </c>
      <c r="F13" s="147">
        <v>28669.98</v>
      </c>
      <c r="G13" s="146">
        <f>SUM(G5:G12)</f>
        <v>2581509</v>
      </c>
      <c r="H13" s="148">
        <f>K13/(D13+G13)</f>
        <v>7.3167654376562625</v>
      </c>
      <c r="I13" s="149">
        <f>SUM(I5:I12)</f>
        <v>42171189</v>
      </c>
      <c r="J13" s="149">
        <f>SUM(J5:J12)</f>
        <v>17967867</v>
      </c>
      <c r="K13" s="149">
        <f>SUM(K5:K12)</f>
        <v>60139056</v>
      </c>
      <c r="L13" s="150">
        <f t="shared" si="2"/>
        <v>0.00042844416836338193</v>
      </c>
      <c r="M13" s="150">
        <f t="shared" si="3"/>
        <v>0.00042932196681999036</v>
      </c>
      <c r="N13" s="151">
        <f>O13/(D13+G13)</f>
        <v>17.5</v>
      </c>
      <c r="O13" s="152">
        <f>SUM(O5:O12)</f>
        <v>143838625</v>
      </c>
      <c r="P13" s="65" t="str">
        <f t="shared" si="4"/>
        <v>18068 / 5637841</v>
      </c>
      <c r="Q13" s="65" t="str">
        <f t="shared" si="5"/>
        <v>7714 / 2581509</v>
      </c>
      <c r="T13" s="18"/>
      <c r="U13" s="18"/>
      <c r="W13" s="18"/>
      <c r="X13" s="18"/>
      <c r="Y13" s="18"/>
      <c r="Z13" s="18"/>
      <c r="AA13" s="18"/>
      <c r="AB13" s="18"/>
    </row>
    <row r="14" spans="2:28" ht="15.75" hidden="1" thickBot="1">
      <c r="B14" s="2"/>
      <c r="C14" s="2"/>
      <c r="E14" s="3"/>
      <c r="F14" s="29"/>
      <c r="S14" s="9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5.75" hidden="1" thickBot="1">
      <c r="A15" s="18"/>
      <c r="B15" s="34" t="s">
        <v>51</v>
      </c>
      <c r="C15" s="199">
        <v>0.0031412481284551143</v>
      </c>
      <c r="D15" s="255" t="s">
        <v>13</v>
      </c>
      <c r="E15" s="256"/>
      <c r="F15" s="257"/>
      <c r="S15" s="9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26.25" hidden="1" thickBot="1">
      <c r="A16" s="185">
        <f>I46</f>
        <v>0.00042932196681999036</v>
      </c>
      <c r="B16" s="186" t="s">
        <v>52</v>
      </c>
      <c r="C16" s="12"/>
      <c r="D16" s="10" t="s">
        <v>12</v>
      </c>
      <c r="E16" s="11" t="s">
        <v>21</v>
      </c>
      <c r="F16" s="10" t="s">
        <v>22</v>
      </c>
      <c r="S16" s="9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5.75" hidden="1" thickBot="1">
      <c r="A17" s="187">
        <f>E46</f>
        <v>7.3167654376562625</v>
      </c>
      <c r="B17" s="188" t="s">
        <v>53</v>
      </c>
      <c r="C17" s="12"/>
      <c r="D17" s="200">
        <v>0.69</v>
      </c>
      <c r="E17" s="201">
        <v>0.53</v>
      </c>
      <c r="F17" s="202">
        <v>0.89</v>
      </c>
      <c r="G17" s="12"/>
      <c r="S17" s="9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5.75" hidden="1" thickBot="1">
      <c r="A18" s="36"/>
      <c r="B18" s="35"/>
      <c r="C18" s="18"/>
      <c r="D18" s="18"/>
      <c r="E18" s="18"/>
      <c r="F18" s="18"/>
      <c r="G18" s="18"/>
      <c r="S18" s="9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5.75" hidden="1" thickBot="1">
      <c r="A19" s="36"/>
      <c r="B19" s="37"/>
      <c r="C19" s="38"/>
      <c r="D19" s="39">
        <f>C15*D17</f>
        <v>0.0021674612086340288</v>
      </c>
      <c r="E19" s="40">
        <f>C15*E17</f>
        <v>0.0016648615080812107</v>
      </c>
      <c r="F19" s="41">
        <f>C15*F17</f>
        <v>0.0027957108343250516</v>
      </c>
      <c r="G19" s="18"/>
      <c r="S19" s="9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5.75" hidden="1" thickBot="1">
      <c r="A20" s="36"/>
      <c r="B20" s="35"/>
      <c r="C20" s="18"/>
      <c r="D20" s="18"/>
      <c r="E20" s="18"/>
      <c r="F20" s="18"/>
      <c r="G20" s="18"/>
      <c r="S20" s="9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5.75" hidden="1" thickBot="1">
      <c r="A21" s="36"/>
      <c r="B21" s="42"/>
      <c r="C21" s="43" t="s">
        <v>2</v>
      </c>
      <c r="D21" s="44">
        <f>C15-D19</f>
        <v>0.0009737869198210855</v>
      </c>
      <c r="E21" s="45">
        <f>C15-F19</f>
        <v>0.0003455372941300627</v>
      </c>
      <c r="F21" s="46">
        <f>C15-E19</f>
        <v>0.0014763866203739036</v>
      </c>
      <c r="G21" s="18"/>
      <c r="S21" s="9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5.75" hidden="1" thickBot="1">
      <c r="A22" s="36"/>
      <c r="B22" s="47"/>
      <c r="C22" s="48" t="s">
        <v>3</v>
      </c>
      <c r="D22" s="49">
        <f>1/D21</f>
        <v>1026.918702280095</v>
      </c>
      <c r="E22" s="50">
        <f>1/F21</f>
        <v>677.3293568230415</v>
      </c>
      <c r="F22" s="51">
        <f>1/E21</f>
        <v>2894.0436155166303</v>
      </c>
      <c r="G22" s="18"/>
      <c r="S22" s="9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5" hidden="1">
      <c r="A23" s="36"/>
      <c r="B23" s="35"/>
      <c r="C23" s="12"/>
      <c r="D23" s="12"/>
      <c r="E23" s="12"/>
      <c r="F23" s="12"/>
      <c r="G23" s="18"/>
      <c r="S23" s="9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" hidden="1">
      <c r="A24" s="36"/>
      <c r="B24" s="129" t="s">
        <v>4</v>
      </c>
      <c r="C24" s="130"/>
      <c r="D24" s="130"/>
      <c r="E24" s="131">
        <f>ROUND(D17,2)</f>
        <v>0.69</v>
      </c>
      <c r="F24" s="132">
        <f>ROUND(D21,4)</f>
        <v>0.001</v>
      </c>
      <c r="G24" s="133">
        <f>ROUND(D22,0)</f>
        <v>1027</v>
      </c>
      <c r="S24" s="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 hidden="1">
      <c r="A25" s="36"/>
      <c r="B25" s="52" t="s">
        <v>6</v>
      </c>
      <c r="C25" s="53">
        <f>ROUND(D19,4)</f>
        <v>0.0022</v>
      </c>
      <c r="D25" s="54">
        <f>ROUND(C15,4)</f>
        <v>0.0031</v>
      </c>
      <c r="E25" s="6">
        <f>ROUND(E17,2)</f>
        <v>0.53</v>
      </c>
      <c r="F25" s="7">
        <f>ROUND(E21,4)</f>
        <v>0.0003</v>
      </c>
      <c r="G25" s="8">
        <f>ROUND(E22,0)</f>
        <v>677</v>
      </c>
      <c r="S25" s="9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" hidden="1">
      <c r="A26" s="36"/>
      <c r="B26" s="52" t="s">
        <v>5</v>
      </c>
      <c r="C26" s="14"/>
      <c r="D26" s="14"/>
      <c r="E26" s="6">
        <f>ROUND(F17,2)</f>
        <v>0.89</v>
      </c>
      <c r="F26" s="7">
        <f>ROUND(F21,4)</f>
        <v>0.0015</v>
      </c>
      <c r="G26" s="8">
        <f>ROUND(F22,0)</f>
        <v>2894</v>
      </c>
      <c r="S26" s="9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5" hidden="1">
      <c r="A27" s="36"/>
      <c r="B27" s="52" t="s">
        <v>7</v>
      </c>
      <c r="C27" s="134" t="s">
        <v>54</v>
      </c>
      <c r="D27" s="134" t="s">
        <v>11</v>
      </c>
      <c r="E27" s="135" t="s">
        <v>8</v>
      </c>
      <c r="F27" s="135" t="s">
        <v>9</v>
      </c>
      <c r="G27" s="134" t="s">
        <v>3</v>
      </c>
      <c r="S27" s="9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5" hidden="1">
      <c r="A28" s="36"/>
      <c r="B28" s="55" t="s">
        <v>0</v>
      </c>
      <c r="C28" s="134" t="str">
        <f>CONCATENATE(C25*100,B27)</f>
        <v>0,22%</v>
      </c>
      <c r="D28" s="134" t="str">
        <f>CONCATENATE(D25*100,B27)</f>
        <v>0,31%</v>
      </c>
      <c r="E28" s="134" t="str">
        <f>CONCATENATE(E24," ",B24,E25,B25,E26,B26)</f>
        <v>0,69 (0,53-0,89)</v>
      </c>
      <c r="F28" s="134" t="str">
        <f>CONCATENATE(F24*100,B27," ",B24,F25*100,B27," ",B28," ",F26*100,B27,B26)</f>
        <v>0,1% (0,03% a 0,15%)</v>
      </c>
      <c r="G28" s="134" t="str">
        <f>CONCATENATE(G24," ",B24,G25," ",B28," ",G26,B26)</f>
        <v>1027 (677 a 2894)</v>
      </c>
      <c r="S28" s="9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5" hidden="1">
      <c r="A29" s="56"/>
      <c r="B29" s="4"/>
      <c r="C29" s="19"/>
      <c r="D29" s="19"/>
      <c r="E29" s="19"/>
      <c r="F29" s="19"/>
      <c r="G29" s="19"/>
      <c r="S29" s="9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5.75" hidden="1" thickBot="1">
      <c r="A30" s="185">
        <f>A16*A17</f>
        <v>0.0031412481284551143</v>
      </c>
      <c r="B30" s="186" t="s">
        <v>55</v>
      </c>
      <c r="C30" s="18"/>
      <c r="D30" s="18"/>
      <c r="E30" s="18"/>
      <c r="F30" s="18"/>
      <c r="G30" s="18"/>
      <c r="S30" s="9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5.75" hidden="1" thickBot="1">
      <c r="A31" s="57"/>
      <c r="B31" s="18"/>
      <c r="C31" s="193" t="s">
        <v>56</v>
      </c>
      <c r="D31" s="194" t="s">
        <v>11</v>
      </c>
      <c r="E31" s="194" t="s">
        <v>8</v>
      </c>
      <c r="F31" s="194" t="s">
        <v>2</v>
      </c>
      <c r="G31" s="195" t="s">
        <v>3</v>
      </c>
      <c r="S31" s="9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26.25" hidden="1" thickBot="1">
      <c r="A32" s="58"/>
      <c r="B32" s="15"/>
      <c r="C32" s="190" t="str">
        <f>C28</f>
        <v>0,22%</v>
      </c>
      <c r="D32" s="191" t="str">
        <f>D28</f>
        <v>0,31%</v>
      </c>
      <c r="E32" s="191" t="str">
        <f>E28</f>
        <v>0,69 (0,53-0,89)</v>
      </c>
      <c r="F32" s="191" t="str">
        <f>F28</f>
        <v>0,1% (0,03% a 0,15%)</v>
      </c>
      <c r="G32" s="192" t="str">
        <f>G28</f>
        <v>1027 (677 a 2894)</v>
      </c>
      <c r="S32" s="9"/>
      <c r="T32" s="18"/>
      <c r="U32" s="18"/>
      <c r="V32" s="18"/>
      <c r="W32" s="18"/>
      <c r="X32" s="18"/>
      <c r="Y32" s="18"/>
      <c r="Z32" s="18"/>
      <c r="AA32" s="18"/>
      <c r="AB32" s="18"/>
    </row>
    <row r="33" spans="2:28" ht="15" hidden="1">
      <c r="B33" s="2"/>
      <c r="C33" s="2"/>
      <c r="E33" s="3"/>
      <c r="F33" s="29"/>
      <c r="S33" s="9"/>
      <c r="T33" s="18"/>
      <c r="U33" s="18"/>
      <c r="V33" s="18"/>
      <c r="W33" s="18"/>
      <c r="X33" s="18"/>
      <c r="Y33" s="18"/>
      <c r="Z33" s="18"/>
      <c r="AA33" s="18"/>
      <c r="AB33" s="18"/>
    </row>
    <row r="34" spans="4:28" ht="15.75" thickBot="1">
      <c r="D34" s="3"/>
      <c r="E34" s="3"/>
      <c r="S34" s="9"/>
      <c r="T34" s="18"/>
      <c r="U34" s="18"/>
      <c r="V34" s="18"/>
      <c r="W34" s="18"/>
      <c r="X34" s="18"/>
      <c r="Y34" s="18"/>
      <c r="Z34" s="18"/>
      <c r="AA34" s="18"/>
      <c r="AB34" s="18"/>
    </row>
    <row r="35" spans="1:21" ht="22.5" customHeight="1" thickBot="1">
      <c r="A35" s="237" t="s">
        <v>301</v>
      </c>
      <c r="B35" s="184" t="str">
        <f>B2</f>
        <v>CAMBIOS en diagnóstico de verrugas AG, mujeres 25 a 29 años, seguimiento 5 a 8 años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  <c r="S35" s="9"/>
      <c r="T35" s="18"/>
      <c r="U35" s="18"/>
    </row>
    <row r="36" spans="1:21" ht="36" customHeight="1" thickBot="1">
      <c r="A36" s="262" t="s">
        <v>28</v>
      </c>
      <c r="B36" s="262" t="s">
        <v>29</v>
      </c>
      <c r="C36" s="273" t="s">
        <v>30</v>
      </c>
      <c r="D36" s="250" t="s">
        <v>31</v>
      </c>
      <c r="E36" s="262" t="s">
        <v>32</v>
      </c>
      <c r="F36" s="262" t="s">
        <v>82</v>
      </c>
      <c r="G36" s="262" t="s">
        <v>83</v>
      </c>
      <c r="H36" s="262" t="s">
        <v>86</v>
      </c>
      <c r="I36" s="262" t="s">
        <v>87</v>
      </c>
      <c r="J36" s="262" t="s">
        <v>33</v>
      </c>
      <c r="K36" s="275" t="s">
        <v>34</v>
      </c>
      <c r="L36" s="259" t="s">
        <v>35</v>
      </c>
      <c r="M36" s="260"/>
      <c r="N36" s="260"/>
      <c r="O36" s="261"/>
      <c r="S36" s="9"/>
      <c r="T36" s="18"/>
      <c r="U36" s="18"/>
    </row>
    <row r="37" spans="1:21" ht="43.5" customHeight="1" thickBot="1">
      <c r="A37" s="263"/>
      <c r="B37" s="263"/>
      <c r="C37" s="274"/>
      <c r="D37" s="251"/>
      <c r="E37" s="263"/>
      <c r="F37" s="263"/>
      <c r="G37" s="263"/>
      <c r="H37" s="263"/>
      <c r="I37" s="263"/>
      <c r="J37" s="263"/>
      <c r="K37" s="276"/>
      <c r="L37" s="232" t="s">
        <v>36</v>
      </c>
      <c r="M37" s="233" t="s">
        <v>2</v>
      </c>
      <c r="N37" s="234" t="s">
        <v>3</v>
      </c>
      <c r="O37" s="206" t="s">
        <v>37</v>
      </c>
      <c r="S37" s="9"/>
      <c r="T37" s="18"/>
      <c r="U37" s="18"/>
    </row>
    <row r="38" spans="1:21" ht="15" customHeight="1">
      <c r="A38" s="265">
        <v>8</v>
      </c>
      <c r="B38" s="141" t="str">
        <f>A5</f>
        <v>Guerra 2016, 27,5, 6y</v>
      </c>
      <c r="C38" s="66" t="s">
        <v>38</v>
      </c>
      <c r="D38" s="67"/>
      <c r="E38" s="153">
        <f aca="true" t="shared" si="10" ref="E38:E46">H5</f>
        <v>6</v>
      </c>
      <c r="F38" s="154" t="str">
        <f aca="true" t="shared" si="11" ref="F38:F46">P5</f>
        <v>1427 / 563771</v>
      </c>
      <c r="G38" s="155">
        <f aca="true" t="shared" si="12" ref="G38:G46">L5</f>
        <v>0.00042186159510392224</v>
      </c>
      <c r="H38" s="154" t="str">
        <f aca="true" t="shared" si="13" ref="H38:H46">Q5</f>
        <v>2157 / 760677</v>
      </c>
      <c r="I38" s="156">
        <f aca="true" t="shared" si="14" ref="I38:I46">M5</f>
        <v>0.0004726053239416993</v>
      </c>
      <c r="J38" s="157">
        <v>27.5</v>
      </c>
      <c r="K38" s="28">
        <v>0.13824441956405104</v>
      </c>
      <c r="L38" s="235" t="s">
        <v>169</v>
      </c>
      <c r="M38" s="235" t="s">
        <v>170</v>
      </c>
      <c r="N38" s="235" t="s">
        <v>171</v>
      </c>
      <c r="O38" s="160"/>
      <c r="Q38" s="13">
        <v>3</v>
      </c>
      <c r="R38" s="70">
        <f>Q38*K38</f>
        <v>0.4147332586921531</v>
      </c>
      <c r="S38" s="9"/>
      <c r="T38" s="18"/>
      <c r="U38" s="18"/>
    </row>
    <row r="39" spans="1:21" ht="15" customHeight="1">
      <c r="A39" s="266"/>
      <c r="B39" s="141" t="str">
        <f aca="true" t="shared" si="15" ref="B39:B45">A6</f>
        <v>Cocchio2017, 27,5, 7y</v>
      </c>
      <c r="C39" s="66" t="s">
        <v>38</v>
      </c>
      <c r="D39" s="67"/>
      <c r="E39" s="153">
        <f t="shared" si="10"/>
        <v>7</v>
      </c>
      <c r="F39" s="154" t="str">
        <f t="shared" si="11"/>
        <v>149 / 371757</v>
      </c>
      <c r="G39" s="155">
        <f t="shared" si="12"/>
        <v>5.7257063850080257E-05</v>
      </c>
      <c r="H39" s="154" t="str">
        <f t="shared" si="13"/>
        <v>238 / 427888</v>
      </c>
      <c r="I39" s="155">
        <f t="shared" si="14"/>
        <v>7.946004561941443E-05</v>
      </c>
      <c r="J39" s="157">
        <v>27.5</v>
      </c>
      <c r="K39" s="28">
        <v>0.12819497932714216</v>
      </c>
      <c r="L39" s="235" t="s">
        <v>172</v>
      </c>
      <c r="M39" s="235" t="s">
        <v>101</v>
      </c>
      <c r="N39" s="235" t="s">
        <v>173</v>
      </c>
      <c r="O39" s="128"/>
      <c r="Q39" s="13">
        <v>3</v>
      </c>
      <c r="R39" s="70">
        <f aca="true" t="shared" si="16" ref="R39:R45">Q39*K39</f>
        <v>0.38458493798142646</v>
      </c>
      <c r="S39" s="9"/>
      <c r="T39" s="18"/>
      <c r="U39" s="18"/>
    </row>
    <row r="40" spans="1:21" ht="15" customHeight="1">
      <c r="A40" s="266"/>
      <c r="B40" s="141" t="str">
        <f t="shared" si="15"/>
        <v>Herweijer 2018, 27,5, 6y</v>
      </c>
      <c r="C40" s="66" t="s">
        <v>38</v>
      </c>
      <c r="D40" s="67"/>
      <c r="E40" s="153">
        <f t="shared" si="10"/>
        <v>6</v>
      </c>
      <c r="F40" s="154" t="str">
        <f t="shared" si="11"/>
        <v>2755 / 579167</v>
      </c>
      <c r="G40" s="155">
        <f t="shared" si="12"/>
        <v>0.0007928052991048639</v>
      </c>
      <c r="H40" s="154" t="str">
        <f t="shared" si="13"/>
        <v>1611 / 267722</v>
      </c>
      <c r="I40" s="155">
        <f t="shared" si="14"/>
        <v>0.0010029059995069513</v>
      </c>
      <c r="J40" s="157">
        <v>27.5</v>
      </c>
      <c r="K40" s="28">
        <v>0.13844824052330754</v>
      </c>
      <c r="L40" s="235" t="s">
        <v>174</v>
      </c>
      <c r="M40" s="235" t="s">
        <v>175</v>
      </c>
      <c r="N40" s="235" t="s">
        <v>176</v>
      </c>
      <c r="O40" s="128"/>
      <c r="Q40" s="13">
        <v>3</v>
      </c>
      <c r="R40" s="70">
        <f t="shared" si="16"/>
        <v>0.41534472156992264</v>
      </c>
      <c r="S40" s="9"/>
      <c r="T40" s="18"/>
      <c r="U40" s="18"/>
    </row>
    <row r="41" spans="1:21" ht="15" customHeight="1">
      <c r="A41" s="266"/>
      <c r="B41" s="141" t="str">
        <f t="shared" si="15"/>
        <v>Flagg 2018, 27,5, 8y</v>
      </c>
      <c r="C41" s="66" t="s">
        <v>38</v>
      </c>
      <c r="D41" s="67"/>
      <c r="E41" s="153">
        <f t="shared" si="10"/>
        <v>8</v>
      </c>
      <c r="F41" s="154" t="str">
        <f t="shared" si="11"/>
        <v>13217 / 3966907</v>
      </c>
      <c r="G41" s="155">
        <f t="shared" si="12"/>
        <v>0.00041647686724190913</v>
      </c>
      <c r="H41" s="154" t="str">
        <f t="shared" si="13"/>
        <v>2772 / 1009668</v>
      </c>
      <c r="I41" s="155">
        <f t="shared" si="14"/>
        <v>0.0003431821153091907</v>
      </c>
      <c r="J41" s="157">
        <v>27.5</v>
      </c>
      <c r="K41" s="28">
        <v>0.1390565214684874</v>
      </c>
      <c r="L41" s="235" t="s">
        <v>177</v>
      </c>
      <c r="M41" s="235" t="s">
        <v>178</v>
      </c>
      <c r="N41" s="235" t="s">
        <v>179</v>
      </c>
      <c r="O41" s="128"/>
      <c r="Q41" s="13">
        <v>3</v>
      </c>
      <c r="R41" s="70">
        <f t="shared" si="16"/>
        <v>0.4171695644054622</v>
      </c>
      <c r="S41" s="9"/>
      <c r="T41" s="18"/>
      <c r="U41" s="18"/>
    </row>
    <row r="42" spans="1:21" ht="15" customHeight="1">
      <c r="A42" s="266"/>
      <c r="B42" s="141" t="str">
        <f t="shared" si="15"/>
        <v>Dominiak 2015, 27,5, 6y</v>
      </c>
      <c r="C42" s="66" t="s">
        <v>38</v>
      </c>
      <c r="D42" s="67"/>
      <c r="E42" s="153">
        <f t="shared" si="10"/>
        <v>6</v>
      </c>
      <c r="F42" s="154" t="str">
        <f t="shared" si="11"/>
        <v>252 / 135978</v>
      </c>
      <c r="G42" s="155">
        <f t="shared" si="12"/>
        <v>0.00030887349424171557</v>
      </c>
      <c r="H42" s="154" t="str">
        <f t="shared" si="13"/>
        <v>190 / 98306</v>
      </c>
      <c r="I42" s="155">
        <f t="shared" si="14"/>
        <v>0.0003221234377013272</v>
      </c>
      <c r="J42" s="157">
        <v>27.5</v>
      </c>
      <c r="K42" s="28">
        <v>0.12983551559605133</v>
      </c>
      <c r="L42" s="235" t="s">
        <v>180</v>
      </c>
      <c r="M42" s="235" t="s">
        <v>181</v>
      </c>
      <c r="N42" s="235" t="s">
        <v>182</v>
      </c>
      <c r="O42" s="128"/>
      <c r="Q42" s="13">
        <v>3</v>
      </c>
      <c r="R42" s="70">
        <f t="shared" si="16"/>
        <v>0.389506546788154</v>
      </c>
      <c r="S42" s="9"/>
      <c r="T42" s="18"/>
      <c r="U42" s="18"/>
    </row>
    <row r="43" spans="1:21" ht="15" customHeight="1">
      <c r="A43" s="266"/>
      <c r="B43" s="141" t="str">
        <f t="shared" si="15"/>
        <v>Oliphant 2017, 27,5, 5y</v>
      </c>
      <c r="C43" s="66" t="s">
        <v>38</v>
      </c>
      <c r="D43" s="67"/>
      <c r="E43" s="153">
        <f t="shared" si="10"/>
        <v>5</v>
      </c>
      <c r="F43" s="154" t="str">
        <f t="shared" si="11"/>
        <v>63 / 650</v>
      </c>
      <c r="G43" s="155">
        <f t="shared" si="12"/>
        <v>0.019384615384615386</v>
      </c>
      <c r="H43" s="154" t="str">
        <f t="shared" si="13"/>
        <v>152 / 969</v>
      </c>
      <c r="I43" s="155">
        <f t="shared" si="14"/>
        <v>0.03137254901960784</v>
      </c>
      <c r="J43" s="157">
        <v>27.5</v>
      </c>
      <c r="K43" s="28">
        <v>0.1201536188856365</v>
      </c>
      <c r="L43" s="235" t="s">
        <v>183</v>
      </c>
      <c r="M43" s="235" t="s">
        <v>184</v>
      </c>
      <c r="N43" s="235" t="s">
        <v>185</v>
      </c>
      <c r="O43" s="160"/>
      <c r="Q43" s="13">
        <v>3.5</v>
      </c>
      <c r="R43" s="70">
        <f t="shared" si="16"/>
        <v>0.42053766609972776</v>
      </c>
      <c r="S43" s="9"/>
      <c r="T43" s="18"/>
      <c r="U43" s="18"/>
    </row>
    <row r="44" spans="1:21" ht="15" customHeight="1">
      <c r="A44" s="266"/>
      <c r="B44" s="141" t="str">
        <f t="shared" si="15"/>
        <v>Harrison 2014, 27,5, 8y</v>
      </c>
      <c r="C44" s="66" t="s">
        <v>38</v>
      </c>
      <c r="D44" s="67"/>
      <c r="E44" s="153">
        <f t="shared" si="10"/>
        <v>8</v>
      </c>
      <c r="F44" s="154" t="str">
        <f t="shared" si="11"/>
        <v>12 / 13476</v>
      </c>
      <c r="G44" s="155">
        <f t="shared" si="12"/>
        <v>0.00011130899376669635</v>
      </c>
      <c r="H44" s="154" t="str">
        <f t="shared" si="13"/>
        <v>37 / 10576</v>
      </c>
      <c r="I44" s="155">
        <f t="shared" si="14"/>
        <v>0.0004373108925869894</v>
      </c>
      <c r="J44" s="157">
        <v>27.5</v>
      </c>
      <c r="K44" s="28">
        <v>0.07365515259976772</v>
      </c>
      <c r="L44" s="235" t="s">
        <v>186</v>
      </c>
      <c r="M44" s="235" t="s">
        <v>187</v>
      </c>
      <c r="N44" s="235" t="s">
        <v>188</v>
      </c>
      <c r="O44" s="160"/>
      <c r="Q44" s="13">
        <v>3</v>
      </c>
      <c r="R44" s="70">
        <f t="shared" si="16"/>
        <v>0.22096545779930316</v>
      </c>
      <c r="S44" s="9"/>
      <c r="T44" s="18"/>
      <c r="U44" s="18"/>
    </row>
    <row r="45" spans="1:21" ht="15" customHeight="1" thickBot="1">
      <c r="A45" s="267"/>
      <c r="B45" s="141" t="str">
        <f t="shared" si="15"/>
        <v>Callander 2016, 27,5, 8y</v>
      </c>
      <c r="C45" s="66" t="s">
        <v>38</v>
      </c>
      <c r="D45" s="67"/>
      <c r="E45" s="153">
        <f t="shared" si="10"/>
        <v>8</v>
      </c>
      <c r="F45" s="154" t="str">
        <f t="shared" si="11"/>
        <v>193 / 6135</v>
      </c>
      <c r="G45" s="155">
        <f t="shared" si="12"/>
        <v>0.003932355338223309</v>
      </c>
      <c r="H45" s="154" t="str">
        <f t="shared" si="13"/>
        <v>557 / 5703</v>
      </c>
      <c r="I45" s="155">
        <f t="shared" si="14"/>
        <v>0.012208486761353674</v>
      </c>
      <c r="J45" s="157">
        <v>27.5</v>
      </c>
      <c r="K45" s="28">
        <v>0.13241155203555635</v>
      </c>
      <c r="L45" s="236" t="s">
        <v>189</v>
      </c>
      <c r="M45" s="235" t="s">
        <v>190</v>
      </c>
      <c r="N45" s="235" t="s">
        <v>191</v>
      </c>
      <c r="O45" s="160"/>
      <c r="Q45" s="13">
        <v>3</v>
      </c>
      <c r="R45" s="70">
        <f t="shared" si="16"/>
        <v>0.3972346561066691</v>
      </c>
      <c r="S45" s="9"/>
      <c r="T45" s="18"/>
      <c r="U45" s="18"/>
    </row>
    <row r="46" spans="1:21" ht="21.75" thickBot="1">
      <c r="A46" s="161" t="s">
        <v>39</v>
      </c>
      <c r="B46" s="162">
        <f>COUNT(E38:E45)</f>
        <v>8</v>
      </c>
      <c r="C46" s="163"/>
      <c r="D46" s="71" t="s">
        <v>300</v>
      </c>
      <c r="E46" s="164">
        <f t="shared" si="10"/>
        <v>7.3167654376562625</v>
      </c>
      <c r="F46" s="165" t="str">
        <f t="shared" si="11"/>
        <v>18068 / 5637841</v>
      </c>
      <c r="G46" s="166">
        <f t="shared" si="12"/>
        <v>0.00042844416836338193</v>
      </c>
      <c r="H46" s="165" t="str">
        <f t="shared" si="13"/>
        <v>7714 / 2581509</v>
      </c>
      <c r="I46" s="166">
        <f t="shared" si="14"/>
        <v>0.00042932196681999036</v>
      </c>
      <c r="J46" s="164">
        <v>27.5</v>
      </c>
      <c r="K46" s="167">
        <v>0.9999999999999998</v>
      </c>
      <c r="L46" s="120" t="s">
        <v>239</v>
      </c>
      <c r="M46" s="72"/>
      <c r="N46" s="73"/>
      <c r="O46" s="74"/>
      <c r="R46" s="168">
        <f>SUM(R38:R45)</f>
        <v>3.0600768094428186</v>
      </c>
      <c r="S46" s="9"/>
      <c r="T46" s="18"/>
      <c r="U46" s="18"/>
    </row>
    <row r="47" spans="1:15" ht="13.5" thickBot="1">
      <c r="A47" s="75"/>
      <c r="B47" s="75"/>
      <c r="C47" s="76"/>
      <c r="D47" s="77"/>
      <c r="E47" s="78"/>
      <c r="F47" s="79"/>
      <c r="G47" s="80"/>
      <c r="H47" s="79"/>
      <c r="I47" s="81"/>
      <c r="J47" s="82"/>
      <c r="K47" s="83"/>
      <c r="L47" s="72"/>
      <c r="M47" s="73"/>
      <c r="N47" s="73"/>
      <c r="O47" s="83"/>
    </row>
    <row r="48" spans="1:256" ht="48" thickBot="1">
      <c r="A48" s="84"/>
      <c r="B48" s="268" t="s">
        <v>90</v>
      </c>
      <c r="C48" s="269"/>
      <c r="D48" s="269"/>
      <c r="E48" s="269"/>
      <c r="F48" s="269"/>
      <c r="G48" s="269"/>
      <c r="H48" s="269"/>
      <c r="I48" s="270"/>
      <c r="J48" s="85" t="s">
        <v>84</v>
      </c>
      <c r="K48" s="169" t="s">
        <v>88</v>
      </c>
      <c r="L48" s="86" t="s">
        <v>36</v>
      </c>
      <c r="M48" s="87" t="s">
        <v>2</v>
      </c>
      <c r="N48" s="88" t="s">
        <v>3</v>
      </c>
      <c r="O48" s="7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5" ht="18.75">
      <c r="A49" s="271" t="s">
        <v>40</v>
      </c>
      <c r="B49" s="89" t="s">
        <v>41</v>
      </c>
      <c r="C49" s="90">
        <f>I46</f>
        <v>0.00042932196681999036</v>
      </c>
      <c r="D49" s="91" t="s">
        <v>42</v>
      </c>
      <c r="E49" s="91"/>
      <c r="F49" s="91"/>
      <c r="G49" s="91"/>
      <c r="H49" s="92">
        <f>J46</f>
        <v>27.5</v>
      </c>
      <c r="I49" s="93" t="s">
        <v>43</v>
      </c>
      <c r="J49" s="94" t="s">
        <v>287</v>
      </c>
      <c r="K49" s="95" t="s">
        <v>284</v>
      </c>
      <c r="L49" s="121" t="s">
        <v>239</v>
      </c>
      <c r="M49" s="96" t="s">
        <v>104</v>
      </c>
      <c r="N49" s="229" t="s">
        <v>295</v>
      </c>
      <c r="O49" s="97" t="s">
        <v>44</v>
      </c>
    </row>
    <row r="50" spans="1:15" ht="19.5" thickBot="1">
      <c r="A50" s="272"/>
      <c r="B50" s="170" t="s">
        <v>41</v>
      </c>
      <c r="C50" s="171">
        <f>I46*E46</f>
        <v>0.0031412481284551143</v>
      </c>
      <c r="D50" s="172" t="s">
        <v>45</v>
      </c>
      <c r="E50" s="173"/>
      <c r="F50" s="174"/>
      <c r="G50" s="175">
        <f>E46</f>
        <v>7.3167654376562625</v>
      </c>
      <c r="H50" s="172" t="s">
        <v>46</v>
      </c>
      <c r="I50" s="176"/>
      <c r="J50" s="177" t="s">
        <v>296</v>
      </c>
      <c r="K50" s="178" t="s">
        <v>297</v>
      </c>
      <c r="L50" s="179" t="s">
        <v>239</v>
      </c>
      <c r="M50" s="180" t="s">
        <v>298</v>
      </c>
      <c r="N50" s="230" t="s">
        <v>299</v>
      </c>
      <c r="O50" s="181" t="s">
        <v>126</v>
      </c>
    </row>
    <row r="51" spans="1:15" ht="19.5" thickBot="1">
      <c r="A51" s="100"/>
      <c r="B51" s="101"/>
      <c r="C51" s="102"/>
      <c r="D51" s="103"/>
      <c r="E51" s="104"/>
      <c r="F51" s="105"/>
      <c r="G51" s="106"/>
      <c r="H51" s="103"/>
      <c r="I51" s="105"/>
      <c r="J51" s="107"/>
      <c r="K51" s="107"/>
      <c r="L51" s="108"/>
      <c r="M51" s="109"/>
      <c r="N51" s="109"/>
      <c r="O51" s="110"/>
    </row>
    <row r="52" spans="1:15" ht="19.5" thickBot="1">
      <c r="A52" s="111"/>
      <c r="B52" s="111"/>
      <c r="C52" s="83"/>
      <c r="D52" s="83"/>
      <c r="E52" s="83"/>
      <c r="F52" s="83"/>
      <c r="G52" s="83"/>
      <c r="H52" s="83"/>
      <c r="I52" s="207"/>
      <c r="J52" s="208"/>
      <c r="K52" s="209" t="s">
        <v>47</v>
      </c>
      <c r="L52" s="123" t="s">
        <v>125</v>
      </c>
      <c r="M52" s="115"/>
      <c r="N52" s="116"/>
      <c r="O52" s="117"/>
    </row>
    <row r="53" spans="1:11" ht="12.75">
      <c r="A53" s="20"/>
      <c r="C53" s="2"/>
      <c r="I53" s="5" t="s">
        <v>48</v>
      </c>
      <c r="J53" s="211">
        <v>7</v>
      </c>
      <c r="K53" s="211">
        <f>J53</f>
        <v>7</v>
      </c>
    </row>
    <row r="54" spans="1:12" ht="12.75">
      <c r="A54" s="20"/>
      <c r="C54" s="2"/>
      <c r="I54" s="13"/>
      <c r="J54" s="144" t="s">
        <v>14</v>
      </c>
      <c r="K54" s="144" t="s">
        <v>15</v>
      </c>
      <c r="L54" s="144" t="s">
        <v>49</v>
      </c>
    </row>
    <row r="55" spans="9:14" ht="17.25">
      <c r="I55" s="118" t="s">
        <v>50</v>
      </c>
      <c r="J55" s="126">
        <f>J49*1000*J53</f>
        <v>2.1</v>
      </c>
      <c r="K55" s="124">
        <f>K49*1000*K53</f>
        <v>2.8000000000000003</v>
      </c>
      <c r="L55" s="125">
        <f>((J55*I13)+(K55*J13))/K13</f>
        <v>2.309140411183042</v>
      </c>
      <c r="M55" s="119"/>
      <c r="N55" s="119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  <row r="73" spans="1:7" ht="12.75">
      <c r="A73" s="18"/>
      <c r="B73" s="18"/>
      <c r="C73" s="18"/>
      <c r="D73" s="18"/>
      <c r="E73" s="18"/>
      <c r="F73" s="18"/>
      <c r="G73" s="18"/>
    </row>
    <row r="74" spans="1:7" ht="12.75">
      <c r="A74" s="18"/>
      <c r="B74" s="18"/>
      <c r="C74" s="18"/>
      <c r="D74" s="18"/>
      <c r="E74" s="18"/>
      <c r="F74" s="18"/>
      <c r="G74" s="18"/>
    </row>
  </sheetData>
  <sheetProtection/>
  <mergeCells count="20">
    <mergeCell ref="B3:D3"/>
    <mergeCell ref="E3:G3"/>
    <mergeCell ref="I3:K3"/>
    <mergeCell ref="L3:M3"/>
    <mergeCell ref="D15:F15"/>
    <mergeCell ref="A36:A37"/>
    <mergeCell ref="B36:B37"/>
    <mergeCell ref="C36:C37"/>
    <mergeCell ref="D36:D37"/>
    <mergeCell ref="E36:E37"/>
    <mergeCell ref="L36:O36"/>
    <mergeCell ref="B48:I48"/>
    <mergeCell ref="A49:A50"/>
    <mergeCell ref="F36:F37"/>
    <mergeCell ref="G36:G37"/>
    <mergeCell ref="H36:H37"/>
    <mergeCell ref="I36:I37"/>
    <mergeCell ref="J36:J37"/>
    <mergeCell ref="K36:K37"/>
    <mergeCell ref="A38:A45"/>
  </mergeCells>
  <printOptions/>
  <pageMargins left="0.75" right="0.75" top="1" bottom="1" header="0.5" footer="0.5"/>
  <pageSetup orientation="portrait" paperSize="9"/>
  <ignoredErrors>
    <ignoredError sqref="H13" formula="1"/>
    <ignoredError sqref="J49:K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V72"/>
  <sheetViews>
    <sheetView zoomScale="85" zoomScaleNormal="85" zoomScalePageLayoutView="0" workbookViewId="0" topLeftCell="A33">
      <selection activeCell="A33" sqref="A33"/>
    </sheetView>
  </sheetViews>
  <sheetFormatPr defaultColWidth="16.00390625" defaultRowHeight="12.75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6.140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2.421875" style="2" customWidth="1"/>
    <col min="15" max="15" width="16.7109375" style="2" customWidth="1"/>
    <col min="16" max="16" width="16.00390625" style="2" customWidth="1"/>
    <col min="17" max="17" width="13.8515625" style="2" hidden="1" customWidth="1"/>
    <col min="18" max="18" width="0" style="2" hidden="1" customWidth="1"/>
    <col min="19" max="19" width="34.8515625" style="2" customWidth="1"/>
    <col min="20" max="16384" width="16.00390625" style="2" customWidth="1"/>
  </cols>
  <sheetData>
    <row r="1" spans="19:28" ht="15" hidden="1">
      <c r="S1" s="9"/>
      <c r="T1" s="18"/>
      <c r="U1" s="18"/>
      <c r="V1" s="18"/>
      <c r="W1" s="18"/>
      <c r="X1" s="18"/>
      <c r="Y1" s="18"/>
      <c r="Z1" s="18"/>
      <c r="AA1" s="18"/>
      <c r="AB1" s="18"/>
    </row>
    <row r="2" spans="1:28" ht="12.75" hidden="1">
      <c r="A2" s="210" t="s">
        <v>89</v>
      </c>
      <c r="B2" s="196" t="str">
        <f>A4</f>
        <v>CAMBIOS en diagnóstico de verrugas AG, mujeres 30 a 39 años, seguimiento 5 a 8 años</v>
      </c>
      <c r="C2" s="197"/>
      <c r="D2" s="198"/>
      <c r="E2" s="198"/>
      <c r="F2" s="198"/>
      <c r="G2" s="198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5.5" hidden="1">
      <c r="A3" s="21" t="s">
        <v>16</v>
      </c>
      <c r="B3" s="277" t="s">
        <v>17</v>
      </c>
      <c r="C3" s="278"/>
      <c r="D3" s="279"/>
      <c r="E3" s="277" t="s">
        <v>18</v>
      </c>
      <c r="F3" s="278"/>
      <c r="G3" s="279"/>
      <c r="H3" s="136" t="s">
        <v>23</v>
      </c>
      <c r="I3" s="252" t="s">
        <v>24</v>
      </c>
      <c r="J3" s="253"/>
      <c r="K3" s="254"/>
      <c r="L3" s="252" t="s">
        <v>25</v>
      </c>
      <c r="M3" s="254"/>
      <c r="N3" s="137" t="s">
        <v>26</v>
      </c>
      <c r="O3" s="17"/>
      <c r="T3" s="18"/>
      <c r="U3" s="18"/>
      <c r="W3" s="18"/>
      <c r="X3" s="18"/>
      <c r="Y3" s="18"/>
      <c r="Z3" s="18"/>
      <c r="AA3" s="18"/>
      <c r="AB3" s="18"/>
    </row>
    <row r="4" spans="1:28" ht="51" hidden="1">
      <c r="A4" s="22" t="s">
        <v>303</v>
      </c>
      <c r="B4" s="23" t="s">
        <v>19</v>
      </c>
      <c r="C4" s="23" t="s">
        <v>20</v>
      </c>
      <c r="D4" s="23" t="s">
        <v>1</v>
      </c>
      <c r="E4" s="23" t="s">
        <v>19</v>
      </c>
      <c r="F4" s="23" t="s">
        <v>20</v>
      </c>
      <c r="G4" s="23" t="s">
        <v>1</v>
      </c>
      <c r="H4" s="138" t="s">
        <v>27</v>
      </c>
      <c r="I4" s="60" t="s">
        <v>14</v>
      </c>
      <c r="J4" s="61" t="s">
        <v>15</v>
      </c>
      <c r="K4" s="60" t="s">
        <v>1</v>
      </c>
      <c r="L4" s="139" t="s">
        <v>14</v>
      </c>
      <c r="M4" s="140" t="s">
        <v>85</v>
      </c>
      <c r="N4" s="59" t="s">
        <v>27</v>
      </c>
      <c r="O4" s="17"/>
      <c r="P4" s="2" t="s">
        <v>10</v>
      </c>
      <c r="Q4" s="2" t="s">
        <v>10</v>
      </c>
      <c r="T4" s="18"/>
      <c r="U4" s="18"/>
      <c r="W4" s="18"/>
      <c r="X4" s="18"/>
      <c r="Y4" s="18"/>
      <c r="Z4" s="18"/>
      <c r="AA4" s="18"/>
      <c r="AB4" s="18"/>
    </row>
    <row r="5" spans="1:28" ht="12.75" hidden="1">
      <c r="A5" s="25" t="s">
        <v>192</v>
      </c>
      <c r="B5" s="223">
        <v>183</v>
      </c>
      <c r="C5" s="224">
        <f>D5-B5</f>
        <v>966020</v>
      </c>
      <c r="D5" s="225">
        <v>966203</v>
      </c>
      <c r="E5" s="223">
        <v>348</v>
      </c>
      <c r="F5" s="224">
        <f>G5-E5</f>
        <v>149703</v>
      </c>
      <c r="G5" s="225">
        <v>150051</v>
      </c>
      <c r="H5" s="189">
        <v>7</v>
      </c>
      <c r="I5" s="142">
        <f aca="true" t="shared" si="0" ref="I5:I11">D5*H5</f>
        <v>6763421</v>
      </c>
      <c r="J5" s="142">
        <f aca="true" t="shared" si="1" ref="J5:J11">G5*H5</f>
        <v>1050357</v>
      </c>
      <c r="K5" s="142">
        <f>I5+J5</f>
        <v>7813778</v>
      </c>
      <c r="L5" s="143">
        <f aca="true" t="shared" si="2" ref="L5:L12">B5/I5</f>
        <v>2.705731315557615E-05</v>
      </c>
      <c r="M5" s="143">
        <f aca="true" t="shared" si="3" ref="M5:M12">E5/J5</f>
        <v>0.00033131592401440654</v>
      </c>
      <c r="N5" s="214">
        <v>22.5</v>
      </c>
      <c r="O5" s="63">
        <f>N5*(D5+G5)</f>
        <v>25115715</v>
      </c>
      <c r="P5" s="64" t="str">
        <f aca="true" t="shared" si="4" ref="P5:P12">CONCATENATE(B5," ",$P$4," ",D5)</f>
        <v>183 / 966203</v>
      </c>
      <c r="Q5" s="64" t="str">
        <f aca="true" t="shared" si="5" ref="Q5:Q12">CONCATENATE(E5," ",$Q$4," ",G5)</f>
        <v>348 / 150051</v>
      </c>
      <c r="T5" s="18"/>
      <c r="U5" s="18"/>
      <c r="W5" s="18"/>
      <c r="X5" s="18"/>
      <c r="Y5" s="18"/>
      <c r="Z5" s="18"/>
      <c r="AA5" s="18"/>
      <c r="AB5" s="18"/>
    </row>
    <row r="6" spans="1:28" ht="12.75" hidden="1">
      <c r="A6" s="25" t="s">
        <v>193</v>
      </c>
      <c r="B6" s="223">
        <v>2701</v>
      </c>
      <c r="C6" s="224">
        <f aca="true" t="shared" si="6" ref="C6:C11">D6-B6</f>
        <v>1185561</v>
      </c>
      <c r="D6" s="225">
        <v>1188262</v>
      </c>
      <c r="E6" s="223">
        <v>1304</v>
      </c>
      <c r="F6" s="224">
        <f aca="true" t="shared" si="7" ref="F6:F11">G6-E6</f>
        <v>607969</v>
      </c>
      <c r="G6" s="225">
        <v>609273</v>
      </c>
      <c r="H6" s="189">
        <v>6</v>
      </c>
      <c r="I6" s="142">
        <f t="shared" si="0"/>
        <v>7129572</v>
      </c>
      <c r="J6" s="142">
        <f t="shared" si="1"/>
        <v>3655638</v>
      </c>
      <c r="K6" s="142">
        <f aca="true" t="shared" si="8" ref="K6:K11">I6+J6</f>
        <v>10785210</v>
      </c>
      <c r="L6" s="143">
        <f t="shared" si="2"/>
        <v>0.000378844620686908</v>
      </c>
      <c r="M6" s="143">
        <f t="shared" si="3"/>
        <v>0.000356709280295259</v>
      </c>
      <c r="N6" s="214">
        <v>22.5</v>
      </c>
      <c r="O6" s="63">
        <f aca="true" t="shared" si="9" ref="O6:O11">N6*(D6+G6)</f>
        <v>40444537.5</v>
      </c>
      <c r="P6" s="64" t="str">
        <f t="shared" si="4"/>
        <v>2701 / 1188262</v>
      </c>
      <c r="Q6" s="64" t="str">
        <f t="shared" si="5"/>
        <v>1304 / 609273</v>
      </c>
      <c r="T6" s="18"/>
      <c r="U6" s="18"/>
      <c r="W6" s="18"/>
      <c r="X6" s="18"/>
      <c r="Y6" s="18"/>
      <c r="Z6" s="18"/>
      <c r="AA6" s="18"/>
      <c r="AB6" s="18"/>
    </row>
    <row r="7" spans="1:28" ht="12.75" hidden="1">
      <c r="A7" s="25" t="s">
        <v>194</v>
      </c>
      <c r="B7" s="223">
        <v>22476</v>
      </c>
      <c r="C7" s="224">
        <f t="shared" si="6"/>
        <v>10446176</v>
      </c>
      <c r="D7" s="225">
        <v>10468652</v>
      </c>
      <c r="E7" s="223">
        <v>4004</v>
      </c>
      <c r="F7" s="224">
        <f t="shared" si="7"/>
        <v>2869194</v>
      </c>
      <c r="G7" s="225">
        <v>2873198</v>
      </c>
      <c r="H7" s="189">
        <v>8</v>
      </c>
      <c r="I7" s="142">
        <f t="shared" si="0"/>
        <v>83749216</v>
      </c>
      <c r="J7" s="142">
        <f t="shared" si="1"/>
        <v>22985584</v>
      </c>
      <c r="K7" s="142">
        <f t="shared" si="8"/>
        <v>106734800</v>
      </c>
      <c r="L7" s="143">
        <f t="shared" si="2"/>
        <v>0.00026837266154228835</v>
      </c>
      <c r="M7" s="143">
        <f t="shared" si="3"/>
        <v>0.00017419613963256275</v>
      </c>
      <c r="N7" s="214">
        <v>22.5</v>
      </c>
      <c r="O7" s="63">
        <f t="shared" si="9"/>
        <v>300191625</v>
      </c>
      <c r="P7" s="64" t="str">
        <f t="shared" si="4"/>
        <v>22476 / 10468652</v>
      </c>
      <c r="Q7" s="64" t="str">
        <f t="shared" si="5"/>
        <v>4004 / 2873198</v>
      </c>
      <c r="T7" s="18"/>
      <c r="U7" s="18"/>
      <c r="W7" s="18"/>
      <c r="X7" s="18"/>
      <c r="Y7" s="18"/>
      <c r="Z7" s="18"/>
      <c r="AA7" s="18"/>
      <c r="AB7" s="18"/>
    </row>
    <row r="8" spans="1:28" ht="12.75" hidden="1">
      <c r="A8" s="25" t="s">
        <v>195</v>
      </c>
      <c r="B8" s="223">
        <v>313</v>
      </c>
      <c r="C8" s="224">
        <f t="shared" si="6"/>
        <v>295512</v>
      </c>
      <c r="D8" s="225">
        <v>295825</v>
      </c>
      <c r="E8" s="223">
        <v>262</v>
      </c>
      <c r="F8" s="224">
        <f t="shared" si="7"/>
        <v>242245</v>
      </c>
      <c r="G8" s="225">
        <v>242507</v>
      </c>
      <c r="H8" s="189">
        <v>6</v>
      </c>
      <c r="I8" s="142">
        <f t="shared" si="0"/>
        <v>1774950</v>
      </c>
      <c r="J8" s="142">
        <f t="shared" si="1"/>
        <v>1455042</v>
      </c>
      <c r="K8" s="142">
        <f t="shared" si="8"/>
        <v>3229992</v>
      </c>
      <c r="L8" s="143">
        <f t="shared" si="2"/>
        <v>0.0001763429955773402</v>
      </c>
      <c r="M8" s="143">
        <f t="shared" si="3"/>
        <v>0.000180063530812169</v>
      </c>
      <c r="N8" s="214">
        <v>22.5</v>
      </c>
      <c r="O8" s="63">
        <f t="shared" si="9"/>
        <v>12112470</v>
      </c>
      <c r="P8" s="64" t="str">
        <f t="shared" si="4"/>
        <v>313 / 295825</v>
      </c>
      <c r="Q8" s="64" t="str">
        <f t="shared" si="5"/>
        <v>262 / 242507</v>
      </c>
      <c r="T8" s="18"/>
      <c r="U8" s="18"/>
      <c r="W8" s="18"/>
      <c r="X8" s="18"/>
      <c r="Y8" s="18"/>
      <c r="Z8" s="18"/>
      <c r="AA8" s="18"/>
      <c r="AB8" s="18"/>
    </row>
    <row r="9" spans="1:28" ht="12.75" hidden="1">
      <c r="A9" s="25" t="s">
        <v>196</v>
      </c>
      <c r="B9" s="223">
        <v>43</v>
      </c>
      <c r="C9" s="224">
        <f t="shared" si="6"/>
        <v>563</v>
      </c>
      <c r="D9" s="225">
        <v>606</v>
      </c>
      <c r="E9" s="223">
        <v>99</v>
      </c>
      <c r="F9" s="224">
        <f t="shared" si="7"/>
        <v>929</v>
      </c>
      <c r="G9" s="225">
        <v>1028</v>
      </c>
      <c r="H9" s="189">
        <v>5</v>
      </c>
      <c r="I9" s="142">
        <f t="shared" si="0"/>
        <v>3030</v>
      </c>
      <c r="J9" s="142">
        <f t="shared" si="1"/>
        <v>5140</v>
      </c>
      <c r="K9" s="142">
        <f t="shared" si="8"/>
        <v>8170</v>
      </c>
      <c r="L9" s="143">
        <f t="shared" si="2"/>
        <v>0.01419141914191419</v>
      </c>
      <c r="M9" s="143">
        <f t="shared" si="3"/>
        <v>0.01926070038910506</v>
      </c>
      <c r="N9" s="214">
        <v>22.5</v>
      </c>
      <c r="O9" s="63">
        <f t="shared" si="9"/>
        <v>36765</v>
      </c>
      <c r="P9" s="64" t="str">
        <f t="shared" si="4"/>
        <v>43 / 606</v>
      </c>
      <c r="Q9" s="64" t="str">
        <f t="shared" si="5"/>
        <v>99 / 1028</v>
      </c>
      <c r="T9" s="18"/>
      <c r="U9" s="18"/>
      <c r="W9" s="18"/>
      <c r="X9" s="18"/>
      <c r="Y9" s="18"/>
      <c r="Z9" s="18"/>
      <c r="AA9" s="18"/>
      <c r="AB9" s="18"/>
    </row>
    <row r="10" spans="1:28" ht="12.75" hidden="1">
      <c r="A10" s="25" t="s">
        <v>198</v>
      </c>
      <c r="B10" s="223">
        <v>21</v>
      </c>
      <c r="C10" s="224">
        <f t="shared" si="6"/>
        <v>27185</v>
      </c>
      <c r="D10" s="225">
        <v>27206</v>
      </c>
      <c r="E10" s="223">
        <v>29</v>
      </c>
      <c r="F10" s="224">
        <f t="shared" si="7"/>
        <v>22375</v>
      </c>
      <c r="G10" s="225">
        <v>22404</v>
      </c>
      <c r="H10" s="189">
        <v>8</v>
      </c>
      <c r="I10" s="142">
        <f t="shared" si="0"/>
        <v>217648</v>
      </c>
      <c r="J10" s="142">
        <f t="shared" si="1"/>
        <v>179232</v>
      </c>
      <c r="K10" s="142">
        <f t="shared" si="8"/>
        <v>396880</v>
      </c>
      <c r="L10" s="143">
        <f t="shared" si="2"/>
        <v>9.648606924943027E-05</v>
      </c>
      <c r="M10" s="143">
        <f t="shared" si="3"/>
        <v>0.00016180146402428137</v>
      </c>
      <c r="N10" s="214">
        <v>22.5</v>
      </c>
      <c r="O10" s="63">
        <f t="shared" si="9"/>
        <v>1116225</v>
      </c>
      <c r="P10" s="64" t="str">
        <f t="shared" si="4"/>
        <v>21 / 27206</v>
      </c>
      <c r="Q10" s="64" t="str">
        <f t="shared" si="5"/>
        <v>29 / 22404</v>
      </c>
      <c r="T10" s="18"/>
      <c r="U10" s="18"/>
      <c r="W10" s="18"/>
      <c r="X10" s="18"/>
      <c r="Y10" s="18"/>
      <c r="Z10" s="18"/>
      <c r="AA10" s="18"/>
      <c r="AB10" s="18"/>
    </row>
    <row r="11" spans="1:28" ht="12.75" hidden="1">
      <c r="A11" s="25" t="s">
        <v>197</v>
      </c>
      <c r="B11" s="223">
        <v>314</v>
      </c>
      <c r="C11" s="224">
        <f t="shared" si="6"/>
        <v>5852</v>
      </c>
      <c r="D11" s="225">
        <v>6166</v>
      </c>
      <c r="E11" s="223">
        <v>413</v>
      </c>
      <c r="F11" s="224">
        <f t="shared" si="7"/>
        <v>5665</v>
      </c>
      <c r="G11" s="225">
        <v>6078</v>
      </c>
      <c r="H11" s="189">
        <v>8</v>
      </c>
      <c r="I11" s="142">
        <f t="shared" si="0"/>
        <v>49328</v>
      </c>
      <c r="J11" s="142">
        <f t="shared" si="1"/>
        <v>48624</v>
      </c>
      <c r="K11" s="142">
        <f t="shared" si="8"/>
        <v>97952</v>
      </c>
      <c r="L11" s="143">
        <f t="shared" si="2"/>
        <v>0.006365553032760298</v>
      </c>
      <c r="M11" s="143">
        <f t="shared" si="3"/>
        <v>0.008493747943402435</v>
      </c>
      <c r="N11" s="214">
        <v>22.5</v>
      </c>
      <c r="O11" s="63">
        <f t="shared" si="9"/>
        <v>275490</v>
      </c>
      <c r="P11" s="64" t="str">
        <f t="shared" si="4"/>
        <v>314 / 6166</v>
      </c>
      <c r="Q11" s="64" t="str">
        <f t="shared" si="5"/>
        <v>413 / 6078</v>
      </c>
      <c r="T11" s="18"/>
      <c r="U11" s="18"/>
      <c r="W11" s="18"/>
      <c r="X11" s="18"/>
      <c r="Y11" s="18"/>
      <c r="Z11" s="18"/>
      <c r="AA11" s="18"/>
      <c r="AB11" s="18"/>
    </row>
    <row r="12" spans="1:28" ht="12.75" hidden="1">
      <c r="A12" s="145">
        <f>COUNT(D5:D11)</f>
        <v>7</v>
      </c>
      <c r="B12" s="146">
        <f>SUM(B5:B11)</f>
        <v>26051</v>
      </c>
      <c r="C12" s="147">
        <v>23009</v>
      </c>
      <c r="D12" s="146">
        <f>SUM(D5:D11)</f>
        <v>12952920</v>
      </c>
      <c r="E12" s="146">
        <f>SUM(E5:E11)</f>
        <v>6459</v>
      </c>
      <c r="F12" s="147">
        <v>28669.98</v>
      </c>
      <c r="G12" s="146">
        <f>SUM(G5:G11)</f>
        <v>3904539</v>
      </c>
      <c r="H12" s="148">
        <f>K12/(D12+G12)</f>
        <v>7.656360427748927</v>
      </c>
      <c r="I12" s="149">
        <f>SUM(I5:I11)</f>
        <v>99687165</v>
      </c>
      <c r="J12" s="149">
        <f>SUM(J5:J11)</f>
        <v>29379617</v>
      </c>
      <c r="K12" s="149">
        <f>SUM(K5:K11)</f>
        <v>129066782</v>
      </c>
      <c r="L12" s="150">
        <f t="shared" si="2"/>
        <v>0.00026132752395957896</v>
      </c>
      <c r="M12" s="150">
        <f t="shared" si="3"/>
        <v>0.00021984629683906363</v>
      </c>
      <c r="N12" s="151">
        <f>O12/(D12+G12)</f>
        <v>22.5</v>
      </c>
      <c r="O12" s="152">
        <f>SUM(O5:O11)</f>
        <v>379292827.5</v>
      </c>
      <c r="P12" s="65" t="str">
        <f t="shared" si="4"/>
        <v>26051 / 12952920</v>
      </c>
      <c r="Q12" s="65" t="str">
        <f t="shared" si="5"/>
        <v>6459 / 3904539</v>
      </c>
      <c r="T12" s="18"/>
      <c r="U12" s="18"/>
      <c r="W12" s="18"/>
      <c r="X12" s="18"/>
      <c r="Y12" s="18"/>
      <c r="Z12" s="18"/>
      <c r="AA12" s="18"/>
      <c r="AB12" s="18"/>
    </row>
    <row r="13" spans="2:28" ht="15.75" hidden="1" thickBot="1">
      <c r="B13" s="2"/>
      <c r="C13" s="2"/>
      <c r="E13" s="3"/>
      <c r="F13" s="29"/>
      <c r="S13" s="9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5.75" hidden="1" thickBot="1">
      <c r="A14" s="18"/>
      <c r="B14" s="34" t="s">
        <v>51</v>
      </c>
      <c r="C14" s="241">
        <v>0.001683222487305751</v>
      </c>
      <c r="D14" s="255" t="s">
        <v>13</v>
      </c>
      <c r="E14" s="256"/>
      <c r="F14" s="257"/>
      <c r="S14" s="9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26.25" hidden="1" thickBot="1">
      <c r="A15" s="185">
        <f>I44</f>
        <v>0.00021984629683906363</v>
      </c>
      <c r="B15" s="186" t="s">
        <v>52</v>
      </c>
      <c r="C15" s="12"/>
      <c r="D15" s="10" t="s">
        <v>12</v>
      </c>
      <c r="E15" s="11" t="s">
        <v>21</v>
      </c>
      <c r="F15" s="10" t="s">
        <v>22</v>
      </c>
      <c r="S15" s="9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5.75" hidden="1" thickBot="1">
      <c r="A16" s="187">
        <f>E44</f>
        <v>7.656360427748927</v>
      </c>
      <c r="B16" s="188" t="s">
        <v>53</v>
      </c>
      <c r="C16" s="12"/>
      <c r="D16" s="200">
        <v>0.64</v>
      </c>
      <c r="E16" s="201">
        <v>0.37</v>
      </c>
      <c r="F16" s="202">
        <v>1.1</v>
      </c>
      <c r="G16" s="12"/>
      <c r="S16" s="9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5.75" hidden="1" thickBot="1">
      <c r="A17" s="36"/>
      <c r="B17" s="35"/>
      <c r="C17" s="18"/>
      <c r="D17" s="18"/>
      <c r="E17" s="18"/>
      <c r="F17" s="18"/>
      <c r="G17" s="18"/>
      <c r="S17" s="9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5.75" hidden="1" thickBot="1">
      <c r="A18" s="36"/>
      <c r="B18" s="37"/>
      <c r="C18" s="38"/>
      <c r="D18" s="39">
        <f>C14*D16</f>
        <v>0.0010772623918756806</v>
      </c>
      <c r="E18" s="40">
        <f>C14*E16</f>
        <v>0.0006227923203031278</v>
      </c>
      <c r="F18" s="41">
        <f>C14*F16</f>
        <v>0.0018515447360363262</v>
      </c>
      <c r="G18" s="18"/>
      <c r="S18" s="9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5.75" hidden="1" thickBot="1">
      <c r="A19" s="36"/>
      <c r="B19" s="35"/>
      <c r="C19" s="18"/>
      <c r="D19" s="18"/>
      <c r="E19" s="18"/>
      <c r="F19" s="18"/>
      <c r="G19" s="18"/>
      <c r="S19" s="9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5.75" hidden="1" thickBot="1">
      <c r="A20" s="36"/>
      <c r="B20" s="42"/>
      <c r="C20" s="43" t="s">
        <v>2</v>
      </c>
      <c r="D20" s="44">
        <f>C14-D18</f>
        <v>0.0006059600954300703</v>
      </c>
      <c r="E20" s="45">
        <f>C14-F18</f>
        <v>-0.00016832224873057525</v>
      </c>
      <c r="F20" s="46">
        <f>C14-E18</f>
        <v>0.0010604301670026231</v>
      </c>
      <c r="G20" s="18"/>
      <c r="S20" s="9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5.75" hidden="1" thickBot="1">
      <c r="A21" s="36"/>
      <c r="B21" s="47"/>
      <c r="C21" s="48" t="s">
        <v>3</v>
      </c>
      <c r="D21" s="49">
        <f>1/D20</f>
        <v>1650.2736855803455</v>
      </c>
      <c r="E21" s="50">
        <f>1/F20</f>
        <v>943.0135346173403</v>
      </c>
      <c r="F21" s="51">
        <f>1/E20</f>
        <v>-5940.985268089238</v>
      </c>
      <c r="G21" s="18"/>
      <c r="S21" s="9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5" hidden="1">
      <c r="A22" s="36"/>
      <c r="B22" s="35"/>
      <c r="C22" s="12"/>
      <c r="D22" s="12"/>
      <c r="E22" s="12"/>
      <c r="F22" s="12"/>
      <c r="G22" s="18"/>
      <c r="S22" s="9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5" hidden="1">
      <c r="A23" s="36"/>
      <c r="B23" s="129" t="s">
        <v>4</v>
      </c>
      <c r="C23" s="130"/>
      <c r="D23" s="130"/>
      <c r="E23" s="131">
        <f>ROUND(D16,2)</f>
        <v>0.64</v>
      </c>
      <c r="F23" s="132">
        <f>ROUND(D20,4)</f>
        <v>0.0006</v>
      </c>
      <c r="G23" s="133">
        <f>ROUND(D21,0)</f>
        <v>1650</v>
      </c>
      <c r="S23" s="9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" hidden="1">
      <c r="A24" s="36"/>
      <c r="B24" s="52" t="s">
        <v>6</v>
      </c>
      <c r="C24" s="53">
        <f>ROUND(D18,4)</f>
        <v>0.0011</v>
      </c>
      <c r="D24" s="54">
        <f>ROUND(C14,4)</f>
        <v>0.0017</v>
      </c>
      <c r="E24" s="6">
        <f>ROUND(E16,2)</f>
        <v>0.37</v>
      </c>
      <c r="F24" s="7">
        <f>ROUND(E20,4)</f>
        <v>-0.0002</v>
      </c>
      <c r="G24" s="8">
        <f>ROUND(E21,0)</f>
        <v>943</v>
      </c>
      <c r="S24" s="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 hidden="1">
      <c r="A25" s="36"/>
      <c r="B25" s="52" t="s">
        <v>5</v>
      </c>
      <c r="C25" s="14"/>
      <c r="D25" s="14"/>
      <c r="E25" s="6">
        <f>ROUND(F16,2)</f>
        <v>1.1</v>
      </c>
      <c r="F25" s="7">
        <f>ROUND(F20,4)</f>
        <v>0.0011</v>
      </c>
      <c r="G25" s="8">
        <f>ROUND(F21,0)</f>
        <v>-5941</v>
      </c>
      <c r="S25" s="9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" hidden="1">
      <c r="A26" s="36"/>
      <c r="B26" s="52" t="s">
        <v>7</v>
      </c>
      <c r="C26" s="134" t="s">
        <v>54</v>
      </c>
      <c r="D26" s="134" t="s">
        <v>11</v>
      </c>
      <c r="E26" s="135" t="s">
        <v>8</v>
      </c>
      <c r="F26" s="135" t="s">
        <v>9</v>
      </c>
      <c r="G26" s="134" t="s">
        <v>3</v>
      </c>
      <c r="S26" s="9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5" hidden="1">
      <c r="A27" s="36"/>
      <c r="B27" s="55" t="s">
        <v>0</v>
      </c>
      <c r="C27" s="134" t="str">
        <f>CONCATENATE(C24*100,B26)</f>
        <v>0,11%</v>
      </c>
      <c r="D27" s="134" t="str">
        <f>CONCATENATE(D24*100,B26)</f>
        <v>0,17%</v>
      </c>
      <c r="E27" s="134" t="str">
        <f>CONCATENATE(E23," ",B23,E24,B24,E25,B25)</f>
        <v>0,64 (0,37-1,1)</v>
      </c>
      <c r="F27" s="134" t="str">
        <f>CONCATENATE(F23*100,B26," ",B23,F24*100,B26," ",B27," ",F25*100,B26,B25)</f>
        <v>0,06% (-0,02% a 0,11%)</v>
      </c>
      <c r="G27" s="134" t="str">
        <f>CONCATENATE(G23," ",B23,G24," ",B27," ",G25,B25)</f>
        <v>1650 (943 a -5941)</v>
      </c>
      <c r="S27" s="9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5" hidden="1">
      <c r="A28" s="56"/>
      <c r="B28" s="4"/>
      <c r="C28" s="19"/>
      <c r="D28" s="19"/>
      <c r="E28" s="19"/>
      <c r="F28" s="19"/>
      <c r="G28" s="19"/>
      <c r="S28" s="9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5.75" hidden="1" thickBot="1">
      <c r="A29" s="185">
        <f>A15*A16</f>
        <v>0.001683222487305751</v>
      </c>
      <c r="B29" s="186" t="s">
        <v>55</v>
      </c>
      <c r="C29" s="18"/>
      <c r="D29" s="18"/>
      <c r="E29" s="18"/>
      <c r="F29" s="18"/>
      <c r="G29" s="18"/>
      <c r="S29" s="9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5.75" hidden="1" thickBot="1">
      <c r="A30" s="57"/>
      <c r="B30" s="18"/>
      <c r="C30" s="193" t="s">
        <v>56</v>
      </c>
      <c r="D30" s="194" t="s">
        <v>11</v>
      </c>
      <c r="E30" s="194" t="s">
        <v>8</v>
      </c>
      <c r="F30" s="194" t="s">
        <v>2</v>
      </c>
      <c r="G30" s="195" t="s">
        <v>3</v>
      </c>
      <c r="S30" s="9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26.25" hidden="1" thickBot="1">
      <c r="A31" s="58"/>
      <c r="B31" s="15"/>
      <c r="C31" s="190" t="str">
        <f>C27</f>
        <v>0,11%</v>
      </c>
      <c r="D31" s="191" t="str">
        <f>D27</f>
        <v>0,17%</v>
      </c>
      <c r="E31" s="191" t="str">
        <f>E27</f>
        <v>0,64 (0,37-1,1)</v>
      </c>
      <c r="F31" s="191" t="str">
        <f>F27</f>
        <v>0,06% (-0,02% a 0,11%)</v>
      </c>
      <c r="G31" s="192" t="str">
        <f>G27</f>
        <v>1650 (943 a -5941)</v>
      </c>
      <c r="S31" s="9"/>
      <c r="T31" s="18"/>
      <c r="U31" s="18"/>
      <c r="V31" s="18"/>
      <c r="W31" s="18"/>
      <c r="X31" s="18"/>
      <c r="Y31" s="18"/>
      <c r="Z31" s="18"/>
      <c r="AA31" s="18"/>
      <c r="AB31" s="18"/>
    </row>
    <row r="32" spans="2:28" ht="15" hidden="1">
      <c r="B32" s="2"/>
      <c r="C32" s="2"/>
      <c r="E32" s="3"/>
      <c r="F32" s="29"/>
      <c r="S32" s="9"/>
      <c r="T32" s="18"/>
      <c r="U32" s="18"/>
      <c r="V32" s="18"/>
      <c r="W32" s="18"/>
      <c r="X32" s="18"/>
      <c r="Y32" s="18"/>
      <c r="Z32" s="18"/>
      <c r="AA32" s="18"/>
      <c r="AB32" s="18"/>
    </row>
    <row r="33" spans="4:28" ht="15.75" thickBot="1">
      <c r="D33" s="3"/>
      <c r="E33" s="3"/>
      <c r="S33" s="9"/>
      <c r="T33" s="18"/>
      <c r="U33" s="18"/>
      <c r="V33" s="18"/>
      <c r="W33" s="18"/>
      <c r="X33" s="18"/>
      <c r="Y33" s="18"/>
      <c r="Z33" s="18"/>
      <c r="AA33" s="18"/>
      <c r="AB33" s="18"/>
    </row>
    <row r="34" spans="1:21" ht="22.5" customHeight="1" thickBot="1">
      <c r="A34" s="237" t="s">
        <v>311</v>
      </c>
      <c r="B34" s="184" t="str">
        <f>B2</f>
        <v>CAMBIOS en diagnóstico de verrugas AG, mujeres 30 a 39 años, seguimiento 5 a 8 años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  <c r="S34" s="9"/>
      <c r="T34" s="18"/>
      <c r="U34" s="18"/>
    </row>
    <row r="35" spans="1:21" ht="36" customHeight="1" thickBot="1">
      <c r="A35" s="262" t="s">
        <v>28</v>
      </c>
      <c r="B35" s="262" t="s">
        <v>29</v>
      </c>
      <c r="C35" s="273" t="s">
        <v>30</v>
      </c>
      <c r="D35" s="250" t="s">
        <v>31</v>
      </c>
      <c r="E35" s="262" t="s">
        <v>32</v>
      </c>
      <c r="F35" s="262" t="s">
        <v>82</v>
      </c>
      <c r="G35" s="262" t="s">
        <v>83</v>
      </c>
      <c r="H35" s="262" t="s">
        <v>86</v>
      </c>
      <c r="I35" s="262" t="s">
        <v>87</v>
      </c>
      <c r="J35" s="262" t="s">
        <v>33</v>
      </c>
      <c r="K35" s="275" t="s">
        <v>34</v>
      </c>
      <c r="L35" s="259" t="s">
        <v>35</v>
      </c>
      <c r="M35" s="260"/>
      <c r="N35" s="260"/>
      <c r="O35" s="261"/>
      <c r="S35" s="9"/>
      <c r="T35" s="18"/>
      <c r="U35" s="18"/>
    </row>
    <row r="36" spans="1:21" ht="43.5" customHeight="1" thickBot="1">
      <c r="A36" s="263"/>
      <c r="B36" s="263"/>
      <c r="C36" s="274"/>
      <c r="D36" s="251"/>
      <c r="E36" s="263"/>
      <c r="F36" s="263"/>
      <c r="G36" s="263"/>
      <c r="H36" s="263"/>
      <c r="I36" s="263"/>
      <c r="J36" s="263"/>
      <c r="K36" s="276"/>
      <c r="L36" s="203" t="s">
        <v>36</v>
      </c>
      <c r="M36" s="204" t="s">
        <v>2</v>
      </c>
      <c r="N36" s="205" t="s">
        <v>3</v>
      </c>
      <c r="O36" s="206" t="s">
        <v>37</v>
      </c>
      <c r="S36" s="9"/>
      <c r="T36" s="18"/>
      <c r="U36" s="18"/>
    </row>
    <row r="37" spans="1:21" ht="15" customHeight="1">
      <c r="A37" s="265">
        <v>8</v>
      </c>
      <c r="B37" s="141" t="str">
        <f aca="true" t="shared" si="10" ref="B37:B43">A5</f>
        <v>Cocchio 2017, 34,5, 7y</v>
      </c>
      <c r="C37" s="66" t="s">
        <v>38</v>
      </c>
      <c r="D37" s="67"/>
      <c r="E37" s="153">
        <f aca="true" t="shared" si="11" ref="E37:E44">H5</f>
        <v>7</v>
      </c>
      <c r="F37" s="154" t="str">
        <f aca="true" t="shared" si="12" ref="F37:F44">P5</f>
        <v>183 / 966203</v>
      </c>
      <c r="G37" s="155">
        <f aca="true" t="shared" si="13" ref="G37:G44">L5</f>
        <v>2.705731315557615E-05</v>
      </c>
      <c r="H37" s="154" t="str">
        <f aca="true" t="shared" si="14" ref="H37:H44">Q5</f>
        <v>348 / 150051</v>
      </c>
      <c r="I37" s="156">
        <f aca="true" t="shared" si="15" ref="I37:I44">M5</f>
        <v>0.00033131592401440654</v>
      </c>
      <c r="J37" s="157">
        <v>34.5</v>
      </c>
      <c r="K37" s="219">
        <v>0.145</v>
      </c>
      <c r="L37" s="217" t="s">
        <v>199</v>
      </c>
      <c r="M37" s="218" t="s">
        <v>200</v>
      </c>
      <c r="N37" s="218" t="s">
        <v>201</v>
      </c>
      <c r="O37" s="160"/>
      <c r="Q37" s="13">
        <v>3</v>
      </c>
      <c r="R37" s="70">
        <f>Q37*K37</f>
        <v>0.43499999999999994</v>
      </c>
      <c r="S37" s="9"/>
      <c r="T37" s="18"/>
      <c r="U37" s="18"/>
    </row>
    <row r="38" spans="1:21" ht="15" customHeight="1">
      <c r="A38" s="266"/>
      <c r="B38" s="141" t="str">
        <f t="shared" si="10"/>
        <v>Herweijer 2018, 34,5, 6y</v>
      </c>
      <c r="C38" s="66" t="s">
        <v>38</v>
      </c>
      <c r="D38" s="67"/>
      <c r="E38" s="153">
        <f t="shared" si="11"/>
        <v>6</v>
      </c>
      <c r="F38" s="154" t="str">
        <f t="shared" si="12"/>
        <v>2701 / 1188262</v>
      </c>
      <c r="G38" s="155">
        <f t="shared" si="13"/>
        <v>0.000378844620686908</v>
      </c>
      <c r="H38" s="154" t="str">
        <f t="shared" si="14"/>
        <v>1304 / 609273</v>
      </c>
      <c r="I38" s="155">
        <f t="shared" si="15"/>
        <v>0.000356709280295259</v>
      </c>
      <c r="J38" s="157">
        <v>34.5</v>
      </c>
      <c r="K38" s="220">
        <v>0.147</v>
      </c>
      <c r="L38" s="217" t="s">
        <v>202</v>
      </c>
      <c r="M38" s="218" t="s">
        <v>203</v>
      </c>
      <c r="N38" s="218" t="s">
        <v>204</v>
      </c>
      <c r="O38" s="128"/>
      <c r="Q38" s="13">
        <v>3</v>
      </c>
      <c r="R38" s="70">
        <f aca="true" t="shared" si="16" ref="R38:R43">Q38*K38</f>
        <v>0.44099999999999995</v>
      </c>
      <c r="S38" s="9"/>
      <c r="T38" s="18"/>
      <c r="U38" s="18"/>
    </row>
    <row r="39" spans="1:21" ht="15" customHeight="1">
      <c r="A39" s="266"/>
      <c r="B39" s="141" t="str">
        <f t="shared" si="10"/>
        <v>Flagg 2018, 34,5, 6y</v>
      </c>
      <c r="C39" s="66" t="s">
        <v>38</v>
      </c>
      <c r="D39" s="67"/>
      <c r="E39" s="153">
        <f t="shared" si="11"/>
        <v>8</v>
      </c>
      <c r="F39" s="154" t="str">
        <f t="shared" si="12"/>
        <v>22476 / 10468652</v>
      </c>
      <c r="G39" s="155">
        <f t="shared" si="13"/>
        <v>0.00026837266154228835</v>
      </c>
      <c r="H39" s="154" t="str">
        <f t="shared" si="14"/>
        <v>4004 / 2873198</v>
      </c>
      <c r="I39" s="155">
        <f t="shared" si="15"/>
        <v>0.00017419613963256275</v>
      </c>
      <c r="J39" s="157">
        <v>34.5</v>
      </c>
      <c r="K39" s="220">
        <v>0.148</v>
      </c>
      <c r="L39" s="217" t="s">
        <v>205</v>
      </c>
      <c r="M39" s="218" t="s">
        <v>206</v>
      </c>
      <c r="N39" s="218" t="s">
        <v>207</v>
      </c>
      <c r="O39" s="128"/>
      <c r="Q39" s="13">
        <v>3</v>
      </c>
      <c r="R39" s="70">
        <f t="shared" si="16"/>
        <v>0.44399999999999995</v>
      </c>
      <c r="S39" s="9"/>
      <c r="T39" s="18"/>
      <c r="U39" s="18"/>
    </row>
    <row r="40" spans="1:21" ht="15" customHeight="1">
      <c r="A40" s="266"/>
      <c r="B40" s="141" t="str">
        <f t="shared" si="10"/>
        <v>Dominiak 2015, 34,5, 6y</v>
      </c>
      <c r="C40" s="66" t="s">
        <v>38</v>
      </c>
      <c r="D40" s="67"/>
      <c r="E40" s="153">
        <f t="shared" si="11"/>
        <v>6</v>
      </c>
      <c r="F40" s="154" t="str">
        <f t="shared" si="12"/>
        <v>313 / 295825</v>
      </c>
      <c r="G40" s="155">
        <f t="shared" si="13"/>
        <v>0.0001763429955773402</v>
      </c>
      <c r="H40" s="154" t="str">
        <f t="shared" si="14"/>
        <v>262 / 242507</v>
      </c>
      <c r="I40" s="155">
        <f t="shared" si="15"/>
        <v>0.000180063530812169</v>
      </c>
      <c r="J40" s="157">
        <v>34.5</v>
      </c>
      <c r="K40" s="220">
        <v>0.146</v>
      </c>
      <c r="L40" s="217" t="s">
        <v>208</v>
      </c>
      <c r="M40" s="218" t="s">
        <v>209</v>
      </c>
      <c r="N40" s="218" t="s">
        <v>210</v>
      </c>
      <c r="O40" s="128"/>
      <c r="Q40" s="13">
        <v>3</v>
      </c>
      <c r="R40" s="70">
        <f t="shared" si="16"/>
        <v>0.43799999999999994</v>
      </c>
      <c r="S40" s="9"/>
      <c r="T40" s="18"/>
      <c r="U40" s="18"/>
    </row>
    <row r="41" spans="1:21" ht="15" customHeight="1">
      <c r="A41" s="266"/>
      <c r="B41" s="141" t="str">
        <f t="shared" si="10"/>
        <v>Oliphant 2017, 34,5, 5y</v>
      </c>
      <c r="C41" s="66" t="s">
        <v>38</v>
      </c>
      <c r="D41" s="67"/>
      <c r="E41" s="153">
        <f t="shared" si="11"/>
        <v>5</v>
      </c>
      <c r="F41" s="154" t="str">
        <f t="shared" si="12"/>
        <v>43 / 606</v>
      </c>
      <c r="G41" s="155">
        <f t="shared" si="13"/>
        <v>0.01419141914191419</v>
      </c>
      <c r="H41" s="154" t="str">
        <f t="shared" si="14"/>
        <v>99 / 1028</v>
      </c>
      <c r="I41" s="155">
        <f t="shared" si="15"/>
        <v>0.01926070038910506</v>
      </c>
      <c r="J41" s="157">
        <v>34.5</v>
      </c>
      <c r="K41" s="220">
        <v>0.14</v>
      </c>
      <c r="L41" s="217" t="s">
        <v>211</v>
      </c>
      <c r="M41" s="218" t="s">
        <v>212</v>
      </c>
      <c r="N41" s="218" t="s">
        <v>213</v>
      </c>
      <c r="O41" s="128"/>
      <c r="Q41" s="13">
        <v>3</v>
      </c>
      <c r="R41" s="70">
        <f t="shared" si="16"/>
        <v>0.42000000000000004</v>
      </c>
      <c r="S41" s="9"/>
      <c r="T41" s="18"/>
      <c r="U41" s="18"/>
    </row>
    <row r="42" spans="1:21" ht="15" customHeight="1">
      <c r="A42" s="266"/>
      <c r="B42" s="141" t="str">
        <f t="shared" si="10"/>
        <v>Harrison 2014,34,5 8y</v>
      </c>
      <c r="C42" s="66" t="s">
        <v>38</v>
      </c>
      <c r="D42" s="67"/>
      <c r="E42" s="153">
        <f t="shared" si="11"/>
        <v>8</v>
      </c>
      <c r="F42" s="154" t="str">
        <f t="shared" si="12"/>
        <v>21 / 27206</v>
      </c>
      <c r="G42" s="155">
        <f t="shared" si="13"/>
        <v>9.648606924943027E-05</v>
      </c>
      <c r="H42" s="154" t="str">
        <f t="shared" si="14"/>
        <v>29 / 22404</v>
      </c>
      <c r="I42" s="155">
        <f t="shared" si="15"/>
        <v>0.00016180146402428137</v>
      </c>
      <c r="J42" s="157">
        <v>34.5</v>
      </c>
      <c r="K42" s="220">
        <v>0.128</v>
      </c>
      <c r="L42" s="217" t="s">
        <v>214</v>
      </c>
      <c r="M42" s="218" t="s">
        <v>215</v>
      </c>
      <c r="N42" s="218" t="s">
        <v>216</v>
      </c>
      <c r="O42" s="160"/>
      <c r="Q42" s="13">
        <v>3.5</v>
      </c>
      <c r="R42" s="70">
        <f t="shared" si="16"/>
        <v>0.448</v>
      </c>
      <c r="S42" s="9"/>
      <c r="T42" s="18"/>
      <c r="U42" s="18"/>
    </row>
    <row r="43" spans="1:21" ht="15" customHeight="1" thickBot="1">
      <c r="A43" s="267"/>
      <c r="B43" s="141" t="str">
        <f t="shared" si="10"/>
        <v>Callander 2016, 34,5, 8y</v>
      </c>
      <c r="C43" s="66" t="s">
        <v>38</v>
      </c>
      <c r="D43" s="67"/>
      <c r="E43" s="153">
        <f t="shared" si="11"/>
        <v>8</v>
      </c>
      <c r="F43" s="154" t="str">
        <f t="shared" si="12"/>
        <v>314 / 6166</v>
      </c>
      <c r="G43" s="155">
        <f t="shared" si="13"/>
        <v>0.006365553032760298</v>
      </c>
      <c r="H43" s="154" t="str">
        <f t="shared" si="14"/>
        <v>413 / 6078</v>
      </c>
      <c r="I43" s="155">
        <f t="shared" si="15"/>
        <v>0.008493747943402435</v>
      </c>
      <c r="J43" s="157">
        <v>34.5</v>
      </c>
      <c r="K43" s="220">
        <v>0.146</v>
      </c>
      <c r="L43" s="217" t="s">
        <v>217</v>
      </c>
      <c r="M43" s="218" t="s">
        <v>218</v>
      </c>
      <c r="N43" s="218" t="s">
        <v>219</v>
      </c>
      <c r="O43" s="160"/>
      <c r="Q43" s="13">
        <v>3</v>
      </c>
      <c r="R43" s="70">
        <f t="shared" si="16"/>
        <v>0.43799999999999994</v>
      </c>
      <c r="S43" s="9"/>
      <c r="T43" s="18"/>
      <c r="U43" s="18"/>
    </row>
    <row r="44" spans="1:21" ht="21.75" thickBot="1">
      <c r="A44" s="161" t="s">
        <v>39</v>
      </c>
      <c r="B44" s="162">
        <f>COUNT(E37:E43)</f>
        <v>7</v>
      </c>
      <c r="C44" s="163"/>
      <c r="D44" s="71" t="s">
        <v>99</v>
      </c>
      <c r="E44" s="164">
        <f t="shared" si="11"/>
        <v>7.656360427748927</v>
      </c>
      <c r="F44" s="165" t="str">
        <f t="shared" si="12"/>
        <v>26051 / 12952920</v>
      </c>
      <c r="G44" s="166">
        <f t="shared" si="13"/>
        <v>0.00026132752395957896</v>
      </c>
      <c r="H44" s="165" t="str">
        <f t="shared" si="14"/>
        <v>6459 / 3904539</v>
      </c>
      <c r="I44" s="166">
        <f t="shared" si="15"/>
        <v>0.00021984629683906363</v>
      </c>
      <c r="J44" s="164">
        <v>34.5</v>
      </c>
      <c r="K44" s="167">
        <v>0.9999999999999998</v>
      </c>
      <c r="L44" s="242" t="s">
        <v>220</v>
      </c>
      <c r="M44" s="72"/>
      <c r="N44" s="73"/>
      <c r="O44" s="74"/>
      <c r="R44" s="168">
        <f>SUM(R37:R43)</f>
        <v>3.064</v>
      </c>
      <c r="S44" s="9"/>
      <c r="T44" s="18"/>
      <c r="U44" s="18"/>
    </row>
    <row r="45" spans="1:15" ht="13.5" thickBot="1">
      <c r="A45" s="75"/>
      <c r="B45" s="75"/>
      <c r="C45" s="76"/>
      <c r="D45" s="77"/>
      <c r="E45" s="78"/>
      <c r="F45" s="79"/>
      <c r="G45" s="80"/>
      <c r="H45" s="79"/>
      <c r="I45" s="81"/>
      <c r="J45" s="82"/>
      <c r="K45" s="83"/>
      <c r="L45" s="72"/>
      <c r="M45" s="73"/>
      <c r="N45" s="73"/>
      <c r="O45" s="83"/>
    </row>
    <row r="46" spans="1:256" ht="48" thickBot="1">
      <c r="A46" s="84"/>
      <c r="B46" s="268" t="s">
        <v>90</v>
      </c>
      <c r="C46" s="269"/>
      <c r="D46" s="269"/>
      <c r="E46" s="269"/>
      <c r="F46" s="269"/>
      <c r="G46" s="269"/>
      <c r="H46" s="269"/>
      <c r="I46" s="270"/>
      <c r="J46" s="85" t="s">
        <v>84</v>
      </c>
      <c r="K46" s="169" t="s">
        <v>88</v>
      </c>
      <c r="L46" s="86" t="s">
        <v>36</v>
      </c>
      <c r="M46" s="87" t="s">
        <v>2</v>
      </c>
      <c r="N46" s="88" t="s">
        <v>3</v>
      </c>
      <c r="O46" s="7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5" ht="21.75" customHeight="1">
      <c r="A47" s="271" t="s">
        <v>40</v>
      </c>
      <c r="B47" s="89" t="s">
        <v>41</v>
      </c>
      <c r="C47" s="90">
        <f>I44</f>
        <v>0.00021984629683906363</v>
      </c>
      <c r="D47" s="91" t="s">
        <v>42</v>
      </c>
      <c r="E47" s="91"/>
      <c r="F47" s="91"/>
      <c r="G47" s="91"/>
      <c r="H47" s="92">
        <f>J44</f>
        <v>34.5</v>
      </c>
      <c r="I47" s="93" t="s">
        <v>43</v>
      </c>
      <c r="J47" s="94" t="s">
        <v>283</v>
      </c>
      <c r="K47" s="95" t="s">
        <v>304</v>
      </c>
      <c r="L47" s="242" t="s">
        <v>220</v>
      </c>
      <c r="M47" s="96" t="s">
        <v>305</v>
      </c>
      <c r="N47" s="238" t="s">
        <v>306</v>
      </c>
      <c r="O47" s="97" t="s">
        <v>44</v>
      </c>
    </row>
    <row r="48" spans="1:15" ht="19.5" thickBot="1">
      <c r="A48" s="272"/>
      <c r="B48" s="170" t="s">
        <v>41</v>
      </c>
      <c r="C48" s="171">
        <f>I44*E44</f>
        <v>0.001683222487305751</v>
      </c>
      <c r="D48" s="172" t="s">
        <v>45</v>
      </c>
      <c r="E48" s="173"/>
      <c r="F48" s="174"/>
      <c r="G48" s="175">
        <f>E44</f>
        <v>7.656360427748927</v>
      </c>
      <c r="H48" s="172" t="s">
        <v>46</v>
      </c>
      <c r="I48" s="176"/>
      <c r="J48" s="177">
        <v>0.0011</v>
      </c>
      <c r="K48" s="178">
        <v>0.0017</v>
      </c>
      <c r="L48" s="243" t="s">
        <v>220</v>
      </c>
      <c r="M48" s="180" t="s">
        <v>307</v>
      </c>
      <c r="N48" s="180" t="s">
        <v>308</v>
      </c>
      <c r="O48" s="181" t="s">
        <v>310</v>
      </c>
    </row>
    <row r="49" spans="1:15" ht="19.5" thickBot="1">
      <c r="A49" s="100"/>
      <c r="B49" s="101"/>
      <c r="C49" s="102"/>
      <c r="D49" s="103"/>
      <c r="E49" s="104"/>
      <c r="F49" s="105"/>
      <c r="G49" s="106"/>
      <c r="H49" s="103"/>
      <c r="I49" s="105"/>
      <c r="J49" s="107"/>
      <c r="K49" s="107"/>
      <c r="L49" s="108"/>
      <c r="M49" s="109"/>
      <c r="N49" s="109"/>
      <c r="O49" s="110"/>
    </row>
    <row r="50" spans="1:15" ht="19.5" thickBot="1">
      <c r="A50" s="111"/>
      <c r="B50" s="111"/>
      <c r="C50" s="83"/>
      <c r="D50" s="83"/>
      <c r="E50" s="83"/>
      <c r="F50" s="83"/>
      <c r="G50" s="83"/>
      <c r="H50" s="83"/>
      <c r="I50" s="207"/>
      <c r="J50" s="208"/>
      <c r="K50" s="209" t="s">
        <v>47</v>
      </c>
      <c r="L50" s="231" t="s">
        <v>309</v>
      </c>
      <c r="M50" s="115"/>
      <c r="N50" s="116"/>
      <c r="O50" s="117"/>
    </row>
    <row r="51" spans="1:11" ht="12.75">
      <c r="A51" s="20"/>
      <c r="C51" s="2"/>
      <c r="I51" s="5" t="s">
        <v>48</v>
      </c>
      <c r="J51" s="211">
        <v>7</v>
      </c>
      <c r="K51" s="211">
        <f>J51</f>
        <v>7</v>
      </c>
    </row>
    <row r="52" spans="1:12" ht="12.75">
      <c r="A52" s="20"/>
      <c r="C52" s="2"/>
      <c r="I52" s="13"/>
      <c r="J52" s="144" t="s">
        <v>14</v>
      </c>
      <c r="K52" s="144" t="s">
        <v>15</v>
      </c>
      <c r="L52" s="144" t="s">
        <v>49</v>
      </c>
    </row>
    <row r="53" spans="9:14" ht="17.25">
      <c r="I53" s="118" t="s">
        <v>50</v>
      </c>
      <c r="J53" s="240">
        <f>J47*1000*J51</f>
        <v>0.7000000000000001</v>
      </c>
      <c r="K53" s="240">
        <f>K47*1000*K51</f>
        <v>1.4000000000000001</v>
      </c>
      <c r="L53" s="239">
        <f>((J53*I12)+(K53*J12))/K12</f>
        <v>0.8593417886563564</v>
      </c>
      <c r="M53" s="119"/>
      <c r="N53" s="119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</sheetData>
  <sheetProtection/>
  <mergeCells count="20">
    <mergeCell ref="L35:O35"/>
    <mergeCell ref="B46:I46"/>
    <mergeCell ref="A47:A48"/>
    <mergeCell ref="F35:F36"/>
    <mergeCell ref="G35:G36"/>
    <mergeCell ref="H35:H36"/>
    <mergeCell ref="I35:I36"/>
    <mergeCell ref="J35:J36"/>
    <mergeCell ref="K35:K36"/>
    <mergeCell ref="A37:A43"/>
    <mergeCell ref="B3:D3"/>
    <mergeCell ref="E3:G3"/>
    <mergeCell ref="I3:K3"/>
    <mergeCell ref="L3:M3"/>
    <mergeCell ref="D14:F14"/>
    <mergeCell ref="A35:A36"/>
    <mergeCell ref="B35:B36"/>
    <mergeCell ref="C35:C36"/>
    <mergeCell ref="D35:D36"/>
    <mergeCell ref="E35:E36"/>
  </mergeCells>
  <printOptions/>
  <pageMargins left="0.75" right="0.75" top="1" bottom="1" header="0.5" footer="0.5"/>
  <pageSetup orientation="portrait" paperSize="9"/>
  <ignoredErrors>
    <ignoredError sqref="H12" formula="1"/>
    <ignoredError sqref="J47:K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A1" sqref="A1"/>
    </sheetView>
  </sheetViews>
  <sheetFormatPr defaultColWidth="16.00390625" defaultRowHeight="12.75"/>
  <cols>
    <col min="1" max="1" width="33.28125" style="2" customWidth="1"/>
    <col min="2" max="2" width="33.57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7.42187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3.140625" style="2" customWidth="1"/>
    <col min="15" max="15" width="16.7109375" style="2" customWidth="1"/>
    <col min="16" max="16" width="16.00390625" style="2" customWidth="1"/>
    <col min="17" max="17" width="13.8515625" style="2" hidden="1" customWidth="1"/>
    <col min="18" max="18" width="0" style="2" hidden="1" customWidth="1"/>
    <col min="19" max="19" width="34.8515625" style="2" customWidth="1"/>
    <col min="20" max="16384" width="16.00390625" style="2" customWidth="1"/>
  </cols>
  <sheetData>
    <row r="1" spans="1:28" ht="15">
      <c r="A1" s="2" t="s">
        <v>343</v>
      </c>
      <c r="S1" s="9"/>
      <c r="T1" s="18"/>
      <c r="U1" s="18"/>
      <c r="V1" s="18"/>
      <c r="W1" s="18"/>
      <c r="X1" s="18"/>
      <c r="Y1" s="18"/>
      <c r="Z1" s="18"/>
      <c r="AA1" s="18"/>
      <c r="AB1" s="18"/>
    </row>
    <row r="2" spans="1:28" ht="20.25" customHeight="1" hidden="1">
      <c r="A2" s="210" t="s">
        <v>89</v>
      </c>
      <c r="B2" s="196" t="str">
        <f>A4</f>
        <v>CAMBIOS en CIN2+, mujeres 15 a 19 años, seguimiento 5 a 8 años</v>
      </c>
      <c r="C2" s="197"/>
      <c r="D2" s="198"/>
      <c r="E2" s="198"/>
      <c r="F2" s="198"/>
      <c r="G2" s="198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5.5" hidden="1">
      <c r="A3" s="21" t="s">
        <v>16</v>
      </c>
      <c r="B3" s="280" t="s">
        <v>59</v>
      </c>
      <c r="C3" s="280"/>
      <c r="D3" s="280"/>
      <c r="E3" s="280" t="s">
        <v>58</v>
      </c>
      <c r="F3" s="280"/>
      <c r="G3" s="280"/>
      <c r="H3" s="136" t="s">
        <v>23</v>
      </c>
      <c r="I3" s="252" t="s">
        <v>24</v>
      </c>
      <c r="J3" s="253"/>
      <c r="K3" s="254"/>
      <c r="L3" s="252" t="s">
        <v>25</v>
      </c>
      <c r="M3" s="254"/>
      <c r="N3" s="137" t="s">
        <v>26</v>
      </c>
      <c r="O3" s="17"/>
      <c r="T3" s="18"/>
      <c r="U3" s="18"/>
      <c r="W3" s="18"/>
      <c r="X3" s="18"/>
      <c r="Y3" s="18"/>
      <c r="Z3" s="18"/>
      <c r="AA3" s="18"/>
      <c r="AB3" s="18"/>
    </row>
    <row r="4" spans="1:28" ht="25.5" hidden="1">
      <c r="A4" s="22" t="s">
        <v>312</v>
      </c>
      <c r="B4" s="23" t="s">
        <v>19</v>
      </c>
      <c r="C4" s="23" t="s">
        <v>20</v>
      </c>
      <c r="D4" s="23" t="s">
        <v>1</v>
      </c>
      <c r="E4" s="23" t="s">
        <v>19</v>
      </c>
      <c r="F4" s="23" t="s">
        <v>20</v>
      </c>
      <c r="G4" s="23" t="s">
        <v>1</v>
      </c>
      <c r="H4" s="138" t="s">
        <v>27</v>
      </c>
      <c r="I4" s="60" t="s">
        <v>14</v>
      </c>
      <c r="J4" s="61" t="s">
        <v>15</v>
      </c>
      <c r="K4" s="60" t="s">
        <v>1</v>
      </c>
      <c r="L4" s="139" t="s">
        <v>14</v>
      </c>
      <c r="M4" s="140" t="s">
        <v>85</v>
      </c>
      <c r="N4" s="59" t="s">
        <v>27</v>
      </c>
      <c r="O4" s="17"/>
      <c r="P4" s="2" t="s">
        <v>10</v>
      </c>
      <c r="Q4" s="2" t="s">
        <v>10</v>
      </c>
      <c r="T4" s="18"/>
      <c r="U4" s="18"/>
      <c r="W4" s="18"/>
      <c r="X4" s="18"/>
      <c r="Y4" s="18"/>
      <c r="Z4" s="18"/>
      <c r="AA4" s="18"/>
      <c r="AB4" s="18"/>
    </row>
    <row r="5" spans="1:28" ht="12.75" hidden="1">
      <c r="A5" s="25" t="s">
        <v>57</v>
      </c>
      <c r="B5" s="30">
        <v>17</v>
      </c>
      <c r="C5" s="31">
        <f>D5-B5</f>
        <v>2415</v>
      </c>
      <c r="D5" s="32">
        <v>2432</v>
      </c>
      <c r="E5" s="30">
        <v>70</v>
      </c>
      <c r="F5" s="31">
        <f>G5-E5</f>
        <v>17224</v>
      </c>
      <c r="G5" s="32">
        <v>17294</v>
      </c>
      <c r="H5" s="189">
        <v>5</v>
      </c>
      <c r="I5" s="142">
        <f>D5*H5</f>
        <v>12160</v>
      </c>
      <c r="J5" s="142">
        <f>G5*H5</f>
        <v>86470</v>
      </c>
      <c r="K5" s="142">
        <f>I5+J5</f>
        <v>98630</v>
      </c>
      <c r="L5" s="143">
        <f aca="true" t="shared" si="0" ref="L5:L10">B5/I5</f>
        <v>0.0013980263157894737</v>
      </c>
      <c r="M5" s="143">
        <f aca="true" t="shared" si="1" ref="M5:M10">E5/J5</f>
        <v>0.0008095293165259628</v>
      </c>
      <c r="N5" s="214">
        <v>17.5</v>
      </c>
      <c r="O5" s="63">
        <f>N5*(D5+G5)</f>
        <v>345205</v>
      </c>
      <c r="P5" s="64" t="str">
        <f aca="true" t="shared" si="2" ref="P5:P10">CONCATENATE(B5," ",$P$4," ",D5)</f>
        <v>17 / 2432</v>
      </c>
      <c r="Q5" s="64" t="str">
        <f aca="true" t="shared" si="3" ref="Q5:Q10">CONCATENATE(E5," ",$Q$4," ",G5)</f>
        <v>70 / 17294</v>
      </c>
      <c r="T5" s="18"/>
      <c r="U5" s="18"/>
      <c r="W5" s="18"/>
      <c r="X5" s="18"/>
      <c r="Y5" s="18"/>
      <c r="Z5" s="18"/>
      <c r="AA5" s="18"/>
      <c r="AB5" s="18"/>
    </row>
    <row r="6" spans="1:28" ht="12.75" hidden="1">
      <c r="A6" s="25" t="s">
        <v>339</v>
      </c>
      <c r="B6" s="30">
        <v>74</v>
      </c>
      <c r="C6" s="31">
        <f>D6-B6</f>
        <v>11582</v>
      </c>
      <c r="D6" s="32">
        <v>11656</v>
      </c>
      <c r="E6" s="30">
        <v>194</v>
      </c>
      <c r="F6" s="31">
        <f>G6-E6</f>
        <v>15330</v>
      </c>
      <c r="G6" s="32">
        <v>15524</v>
      </c>
      <c r="H6" s="189">
        <v>8</v>
      </c>
      <c r="I6" s="142">
        <f>D6*H6</f>
        <v>93248</v>
      </c>
      <c r="J6" s="142">
        <f>G6*H6</f>
        <v>124192</v>
      </c>
      <c r="K6" s="142">
        <f>I6+J6</f>
        <v>217440</v>
      </c>
      <c r="L6" s="143">
        <f t="shared" si="0"/>
        <v>0.000793582704186685</v>
      </c>
      <c r="M6" s="143">
        <f t="shared" si="1"/>
        <v>0.0015620973975779438</v>
      </c>
      <c r="N6" s="214">
        <v>17.5</v>
      </c>
      <c r="O6" s="63">
        <f>N6*(D6+G6)</f>
        <v>475650</v>
      </c>
      <c r="P6" s="64" t="str">
        <f t="shared" si="2"/>
        <v>74 / 11656</v>
      </c>
      <c r="Q6" s="64" t="str">
        <f t="shared" si="3"/>
        <v>194 / 15524</v>
      </c>
      <c r="T6" s="18"/>
      <c r="U6" s="18"/>
      <c r="W6" s="18"/>
      <c r="X6" s="18"/>
      <c r="Y6" s="18"/>
      <c r="Z6" s="18"/>
      <c r="AA6" s="18"/>
      <c r="AB6" s="18"/>
    </row>
    <row r="7" spans="1:28" ht="12.75" hidden="1">
      <c r="A7" s="25" t="s">
        <v>340</v>
      </c>
      <c r="B7" s="30">
        <v>115</v>
      </c>
      <c r="C7" s="31">
        <f>D7-B7</f>
        <v>28228</v>
      </c>
      <c r="D7" s="32">
        <v>28343</v>
      </c>
      <c r="E7" s="30">
        <v>210</v>
      </c>
      <c r="F7" s="31">
        <f>G7-E7</f>
        <v>25349</v>
      </c>
      <c r="G7" s="32">
        <v>25559</v>
      </c>
      <c r="H7" s="189">
        <v>9</v>
      </c>
      <c r="I7" s="142">
        <f>D7*H7</f>
        <v>255087</v>
      </c>
      <c r="J7" s="142">
        <f>G7*H7</f>
        <v>230031</v>
      </c>
      <c r="K7" s="142">
        <f>I7+J7</f>
        <v>485118</v>
      </c>
      <c r="L7" s="143">
        <f t="shared" si="0"/>
        <v>0.00045082658073520015</v>
      </c>
      <c r="M7" s="143">
        <f t="shared" si="1"/>
        <v>0.0009129204324634506</v>
      </c>
      <c r="N7" s="214">
        <v>17.5</v>
      </c>
      <c r="O7" s="63">
        <f>N7*(D7+G7)</f>
        <v>943285</v>
      </c>
      <c r="P7" s="64" t="str">
        <f t="shared" si="2"/>
        <v>115 / 28343</v>
      </c>
      <c r="Q7" s="64" t="str">
        <f t="shared" si="3"/>
        <v>210 / 25559</v>
      </c>
      <c r="T7" s="18"/>
      <c r="U7" s="18"/>
      <c r="W7" s="18"/>
      <c r="X7" s="18"/>
      <c r="Y7" s="18"/>
      <c r="Z7" s="18"/>
      <c r="AA7" s="18"/>
      <c r="AB7" s="18"/>
    </row>
    <row r="8" spans="1:28" ht="12.75" hidden="1">
      <c r="A8" s="25" t="s">
        <v>341</v>
      </c>
      <c r="B8" s="30">
        <v>2585</v>
      </c>
      <c r="C8" s="31">
        <f>D8-B8</f>
        <v>398264</v>
      </c>
      <c r="D8" s="32">
        <v>400849</v>
      </c>
      <c r="E8" s="30">
        <v>2320</v>
      </c>
      <c r="F8" s="31">
        <f>G8-E8</f>
        <v>154703</v>
      </c>
      <c r="G8" s="32">
        <v>157023</v>
      </c>
      <c r="H8" s="189">
        <v>8</v>
      </c>
      <c r="I8" s="142">
        <f>D8*H8</f>
        <v>3206792</v>
      </c>
      <c r="J8" s="142">
        <f>G8*H8</f>
        <v>1256184</v>
      </c>
      <c r="K8" s="142">
        <f>I8+J8</f>
        <v>4462976</v>
      </c>
      <c r="L8" s="143">
        <f t="shared" si="0"/>
        <v>0.0008061015494612684</v>
      </c>
      <c r="M8" s="143">
        <f t="shared" si="1"/>
        <v>0.00184686319838495</v>
      </c>
      <c r="N8" s="214">
        <v>17.5</v>
      </c>
      <c r="O8" s="63">
        <f>N8*(D8+G8)</f>
        <v>9762760</v>
      </c>
      <c r="P8" s="64" t="str">
        <f t="shared" si="2"/>
        <v>2585 / 400849</v>
      </c>
      <c r="Q8" s="64" t="str">
        <f t="shared" si="3"/>
        <v>2320 / 157023</v>
      </c>
      <c r="T8" s="18"/>
      <c r="U8" s="18"/>
      <c r="W8" s="18"/>
      <c r="X8" s="18"/>
      <c r="Y8" s="18"/>
      <c r="Z8" s="18"/>
      <c r="AA8" s="18"/>
      <c r="AB8" s="18"/>
    </row>
    <row r="9" spans="1:28" ht="12.75" hidden="1">
      <c r="A9" s="25" t="s">
        <v>342</v>
      </c>
      <c r="B9" s="30">
        <v>1492</v>
      </c>
      <c r="C9" s="31">
        <f>D9-B9</f>
        <v>233906</v>
      </c>
      <c r="D9" s="32">
        <v>235398</v>
      </c>
      <c r="E9" s="30">
        <v>3158</v>
      </c>
      <c r="F9" s="31">
        <f>G9-E9</f>
        <v>199733</v>
      </c>
      <c r="G9" s="32">
        <v>202891</v>
      </c>
      <c r="H9" s="189">
        <v>9</v>
      </c>
      <c r="I9" s="142">
        <f>D9*H9</f>
        <v>2118582</v>
      </c>
      <c r="J9" s="142">
        <f>G9*H9</f>
        <v>1826019</v>
      </c>
      <c r="K9" s="142">
        <f>I9+J9</f>
        <v>3944601</v>
      </c>
      <c r="L9" s="143">
        <f t="shared" si="0"/>
        <v>0.0007042446315507259</v>
      </c>
      <c r="M9" s="143">
        <f t="shared" si="1"/>
        <v>0.0017294453124529372</v>
      </c>
      <c r="N9" s="214">
        <v>17.5</v>
      </c>
      <c r="O9" s="63">
        <f>N9*(D9+G9)</f>
        <v>7670057.5</v>
      </c>
      <c r="P9" s="64" t="str">
        <f t="shared" si="2"/>
        <v>1492 / 235398</v>
      </c>
      <c r="Q9" s="64" t="str">
        <f t="shared" si="3"/>
        <v>3158 / 202891</v>
      </c>
      <c r="T9" s="18"/>
      <c r="U9" s="18"/>
      <c r="W9" s="18"/>
      <c r="X9" s="18"/>
      <c r="Y9" s="18"/>
      <c r="Z9" s="18"/>
      <c r="AA9" s="18"/>
      <c r="AB9" s="18"/>
    </row>
    <row r="10" spans="1:28" ht="12.75" hidden="1">
      <c r="A10" s="145">
        <f>COUNT(D5:D9)</f>
        <v>5</v>
      </c>
      <c r="B10" s="146">
        <f>SUM(B5:B9)</f>
        <v>4283</v>
      </c>
      <c r="C10" s="147">
        <v>23009</v>
      </c>
      <c r="D10" s="146">
        <f>SUM(D5:D9)</f>
        <v>678678</v>
      </c>
      <c r="E10" s="146">
        <f>SUM(E5:E9)</f>
        <v>5952</v>
      </c>
      <c r="F10" s="147">
        <v>28669.98</v>
      </c>
      <c r="G10" s="146">
        <f>SUM(G5:G9)</f>
        <v>418291</v>
      </c>
      <c r="H10" s="148">
        <f>K10/(D10+G10)</f>
        <v>8.394735858533833</v>
      </c>
      <c r="I10" s="149">
        <f>SUM(I5:I9)</f>
        <v>5685869</v>
      </c>
      <c r="J10" s="149">
        <f>SUM(J5:J9)</f>
        <v>3522896</v>
      </c>
      <c r="K10" s="149">
        <f>SUM(K5:K9)</f>
        <v>9208765</v>
      </c>
      <c r="L10" s="150">
        <f t="shared" si="0"/>
        <v>0.0007532709599887018</v>
      </c>
      <c r="M10" s="150">
        <f t="shared" si="1"/>
        <v>0.0016895190774862498</v>
      </c>
      <c r="N10" s="151">
        <f>O10/(D10+G10)</f>
        <v>17.5</v>
      </c>
      <c r="O10" s="152">
        <f>SUM(O5:O9)</f>
        <v>19196957.5</v>
      </c>
      <c r="P10" s="65" t="str">
        <f t="shared" si="2"/>
        <v>4283 / 678678</v>
      </c>
      <c r="Q10" s="65" t="str">
        <f t="shared" si="3"/>
        <v>5952 / 418291</v>
      </c>
      <c r="T10" s="18"/>
      <c r="U10" s="18"/>
      <c r="W10" s="18"/>
      <c r="X10" s="18"/>
      <c r="Y10" s="18"/>
      <c r="Z10" s="18"/>
      <c r="AA10" s="18"/>
      <c r="AB10" s="18"/>
    </row>
    <row r="11" spans="2:28" ht="15.75" hidden="1" thickBot="1">
      <c r="B11" s="2"/>
      <c r="C11" s="2"/>
      <c r="E11" s="3"/>
      <c r="F11" s="29"/>
      <c r="S11" s="9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5.75" hidden="1" thickBot="1">
      <c r="A12" s="18"/>
      <c r="B12" s="34" t="s">
        <v>51</v>
      </c>
      <c r="C12" s="199">
        <v>0.014183066383450823</v>
      </c>
      <c r="D12" s="255" t="s">
        <v>13</v>
      </c>
      <c r="E12" s="256"/>
      <c r="F12" s="257"/>
      <c r="S12" s="9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26.25" hidden="1" thickBot="1">
      <c r="A13" s="185">
        <f>I40</f>
        <v>0.0016895190774862498</v>
      </c>
      <c r="B13" s="186" t="s">
        <v>52</v>
      </c>
      <c r="C13" s="12"/>
      <c r="D13" s="10" t="s">
        <v>12</v>
      </c>
      <c r="E13" s="11" t="s">
        <v>21</v>
      </c>
      <c r="F13" s="10" t="s">
        <v>22</v>
      </c>
      <c r="S13" s="9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5.75" hidden="1" thickBot="1">
      <c r="A14" s="187">
        <f>E40</f>
        <v>8.394735858533833</v>
      </c>
      <c r="B14" s="188" t="s">
        <v>53</v>
      </c>
      <c r="C14" s="12"/>
      <c r="D14" s="200">
        <v>0.49387244163469324</v>
      </c>
      <c r="E14" s="201">
        <v>0.4213166372883781</v>
      </c>
      <c r="F14" s="202">
        <v>0.5789249205335781</v>
      </c>
      <c r="G14" s="12"/>
      <c r="S14" s="9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5.75" hidden="1" thickBot="1">
      <c r="A15" s="36"/>
      <c r="B15" s="35"/>
      <c r="C15" s="18"/>
      <c r="D15" s="18"/>
      <c r="E15" s="18"/>
      <c r="F15" s="18"/>
      <c r="G15" s="18"/>
      <c r="S15" s="9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5.75" hidden="1" thickBot="1">
      <c r="A16" s="36"/>
      <c r="B16" s="37"/>
      <c r="C16" s="38"/>
      <c r="D16" s="39">
        <f>C12*D14</f>
        <v>0.007004625624661796</v>
      </c>
      <c r="E16" s="40">
        <f>C12*E14</f>
        <v>0.005975561835113339</v>
      </c>
      <c r="F16" s="41">
        <f>C12*F14</f>
        <v>0.008210930578961731</v>
      </c>
      <c r="G16" s="18"/>
      <c r="S16" s="9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5.75" hidden="1" thickBot="1">
      <c r="A17" s="36"/>
      <c r="B17" s="35"/>
      <c r="C17" s="18"/>
      <c r="D17" s="18"/>
      <c r="E17" s="18"/>
      <c r="F17" s="18"/>
      <c r="G17" s="18"/>
      <c r="S17" s="9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5.75" hidden="1" thickBot="1">
      <c r="A18" s="36"/>
      <c r="B18" s="42"/>
      <c r="C18" s="43" t="s">
        <v>2</v>
      </c>
      <c r="D18" s="44">
        <f>C12-D16</f>
        <v>0.007178440758789027</v>
      </c>
      <c r="E18" s="45">
        <f>C12-F16</f>
        <v>0.005972135804489092</v>
      </c>
      <c r="F18" s="46">
        <f>C12-E16</f>
        <v>0.008207504548337484</v>
      </c>
      <c r="G18" s="18"/>
      <c r="S18" s="9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5.75" hidden="1" thickBot="1">
      <c r="A19" s="36"/>
      <c r="B19" s="47"/>
      <c r="C19" s="48" t="s">
        <v>3</v>
      </c>
      <c r="D19" s="49">
        <f>1/D18</f>
        <v>139.30601834049207</v>
      </c>
      <c r="E19" s="50">
        <f>1/F18</f>
        <v>121.8397131686708</v>
      </c>
      <c r="F19" s="51">
        <f>1/E18</f>
        <v>167.44428337485684</v>
      </c>
      <c r="G19" s="18"/>
      <c r="S19" s="9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5" hidden="1">
      <c r="A20" s="36"/>
      <c r="B20" s="35"/>
      <c r="C20" s="12"/>
      <c r="D20" s="12"/>
      <c r="E20" s="12"/>
      <c r="F20" s="12"/>
      <c r="G20" s="18"/>
      <c r="S20" s="9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5" hidden="1">
      <c r="A21" s="36"/>
      <c r="B21" s="129" t="s">
        <v>4</v>
      </c>
      <c r="C21" s="130"/>
      <c r="D21" s="130"/>
      <c r="E21" s="131">
        <f>ROUND(D14,2)</f>
        <v>0.49</v>
      </c>
      <c r="F21" s="132">
        <f>ROUND(D18,4)</f>
        <v>0.0072</v>
      </c>
      <c r="G21" s="133">
        <f>ROUND(D19,0)</f>
        <v>139</v>
      </c>
      <c r="S21" s="9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5" hidden="1">
      <c r="A22" s="36"/>
      <c r="B22" s="52" t="s">
        <v>6</v>
      </c>
      <c r="C22" s="53">
        <f>ROUND(D16,4)</f>
        <v>0.007</v>
      </c>
      <c r="D22" s="54">
        <f>ROUND(C12,4)</f>
        <v>0.0142</v>
      </c>
      <c r="E22" s="6">
        <f>ROUND(E14,2)</f>
        <v>0.42</v>
      </c>
      <c r="F22" s="7">
        <f>ROUND(E18,4)</f>
        <v>0.006</v>
      </c>
      <c r="G22" s="8">
        <f>ROUND(E19,0)</f>
        <v>122</v>
      </c>
      <c r="S22" s="9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5" hidden="1">
      <c r="A23" s="36"/>
      <c r="B23" s="52" t="s">
        <v>5</v>
      </c>
      <c r="C23" s="14"/>
      <c r="D23" s="14"/>
      <c r="E23" s="6">
        <f>ROUND(F14,2)</f>
        <v>0.58</v>
      </c>
      <c r="F23" s="7">
        <f>ROUND(F18,4)</f>
        <v>0.0082</v>
      </c>
      <c r="G23" s="8">
        <f>ROUND(F19,0)</f>
        <v>167</v>
      </c>
      <c r="S23" s="9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" hidden="1">
      <c r="A24" s="36"/>
      <c r="B24" s="52" t="s">
        <v>7</v>
      </c>
      <c r="C24" s="134" t="s">
        <v>54</v>
      </c>
      <c r="D24" s="134" t="s">
        <v>11</v>
      </c>
      <c r="E24" s="135" t="s">
        <v>8</v>
      </c>
      <c r="F24" s="135" t="s">
        <v>9</v>
      </c>
      <c r="G24" s="134" t="s">
        <v>3</v>
      </c>
      <c r="S24" s="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 hidden="1">
      <c r="A25" s="36"/>
      <c r="B25" s="55" t="s">
        <v>0</v>
      </c>
      <c r="C25" s="134" t="str">
        <f>CONCATENATE(C22*100,B24)</f>
        <v>0,7%</v>
      </c>
      <c r="D25" s="134" t="str">
        <f>CONCATENATE(D22*100,B24)</f>
        <v>1,42%</v>
      </c>
      <c r="E25" s="134" t="str">
        <f>CONCATENATE(E21," ",B21,E22,B22,E23,B23)</f>
        <v>0,49 (0,42-0,58)</v>
      </c>
      <c r="F25" s="134" t="str">
        <f>CONCATENATE(F21*100,B24," ",B21,F22*100,B24," ",B25," ",F23*100,B24,B23)</f>
        <v>0,72% (0,6% a 0,82%)</v>
      </c>
      <c r="G25" s="134" t="str">
        <f>CONCATENATE(G21," ",B21,G22," ",B25," ",G23,B23)</f>
        <v>139 (122 a 167)</v>
      </c>
      <c r="S25" s="9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" hidden="1">
      <c r="A26" s="56"/>
      <c r="B26" s="4"/>
      <c r="C26" s="19"/>
      <c r="D26" s="19"/>
      <c r="E26" s="19"/>
      <c r="F26" s="19"/>
      <c r="G26" s="19"/>
      <c r="S26" s="9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5.75" hidden="1" thickBot="1">
      <c r="A27" s="185">
        <f>A13*A14</f>
        <v>0.014183066383450823</v>
      </c>
      <c r="B27" s="186" t="s">
        <v>55</v>
      </c>
      <c r="C27" s="18"/>
      <c r="D27" s="18"/>
      <c r="E27" s="18"/>
      <c r="F27" s="18"/>
      <c r="G27" s="18"/>
      <c r="S27" s="9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5.75" hidden="1" thickBot="1">
      <c r="A28" s="57"/>
      <c r="B28" s="18"/>
      <c r="C28" s="193" t="s">
        <v>56</v>
      </c>
      <c r="D28" s="194" t="s">
        <v>11</v>
      </c>
      <c r="E28" s="194" t="s">
        <v>8</v>
      </c>
      <c r="F28" s="194" t="s">
        <v>2</v>
      </c>
      <c r="G28" s="195" t="s">
        <v>3</v>
      </c>
      <c r="S28" s="9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26.25" hidden="1" thickBot="1">
      <c r="A29" s="58"/>
      <c r="B29" s="15"/>
      <c r="C29" s="190" t="str">
        <f>C25</f>
        <v>0,7%</v>
      </c>
      <c r="D29" s="191" t="str">
        <f>D25</f>
        <v>1,42%</v>
      </c>
      <c r="E29" s="191" t="str">
        <f>E25</f>
        <v>0,49 (0,42-0,58)</v>
      </c>
      <c r="F29" s="191" t="str">
        <f>F25</f>
        <v>0,72% (0,6% a 0,82%)</v>
      </c>
      <c r="G29" s="192" t="str">
        <f>G25</f>
        <v>139 (122 a 167)</v>
      </c>
      <c r="S29" s="9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5" hidden="1">
      <c r="B30" s="2"/>
      <c r="C30" s="2"/>
      <c r="E30" s="3"/>
      <c r="F30" s="29"/>
      <c r="S30" s="9"/>
      <c r="T30" s="18"/>
      <c r="U30" s="18"/>
      <c r="V30" s="18"/>
      <c r="W30" s="18"/>
      <c r="X30" s="18"/>
      <c r="Y30" s="18"/>
      <c r="Z30" s="18"/>
      <c r="AA30" s="18"/>
      <c r="AB30" s="18"/>
    </row>
    <row r="31" spans="4:28" ht="15.75" thickBot="1">
      <c r="D31" s="3"/>
      <c r="E31" s="3"/>
      <c r="S31" s="9"/>
      <c r="T31" s="18"/>
      <c r="U31" s="18"/>
      <c r="V31" s="18"/>
      <c r="W31" s="18"/>
      <c r="X31" s="18"/>
      <c r="Y31" s="18"/>
      <c r="Z31" s="18"/>
      <c r="AA31" s="18"/>
      <c r="AB31" s="18"/>
    </row>
    <row r="32" spans="1:21" ht="22.5" customHeight="1" thickBot="1">
      <c r="A32" s="237" t="s">
        <v>330</v>
      </c>
      <c r="B32" s="184" t="str">
        <f>B2</f>
        <v>CAMBIOS en CIN2+, mujeres 15 a 19 años, seguimiento 5 a 8 años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3"/>
      <c r="S32" s="9"/>
      <c r="T32" s="18"/>
      <c r="U32" s="18"/>
    </row>
    <row r="33" spans="1:21" ht="36" customHeight="1" thickBot="1">
      <c r="A33" s="262" t="s">
        <v>28</v>
      </c>
      <c r="B33" s="262" t="s">
        <v>29</v>
      </c>
      <c r="C33" s="273" t="s">
        <v>30</v>
      </c>
      <c r="D33" s="250" t="s">
        <v>31</v>
      </c>
      <c r="E33" s="262" t="s">
        <v>32</v>
      </c>
      <c r="F33" s="262" t="s">
        <v>82</v>
      </c>
      <c r="G33" s="262" t="s">
        <v>83</v>
      </c>
      <c r="H33" s="262" t="s">
        <v>86</v>
      </c>
      <c r="I33" s="262" t="s">
        <v>87</v>
      </c>
      <c r="J33" s="262" t="s">
        <v>33</v>
      </c>
      <c r="K33" s="275" t="s">
        <v>34</v>
      </c>
      <c r="L33" s="259" t="s">
        <v>35</v>
      </c>
      <c r="M33" s="260"/>
      <c r="N33" s="260"/>
      <c r="O33" s="261"/>
      <c r="S33" s="9"/>
      <c r="T33" s="18"/>
      <c r="U33" s="18"/>
    </row>
    <row r="34" spans="1:21" ht="43.5" customHeight="1" thickBot="1">
      <c r="A34" s="263"/>
      <c r="B34" s="263"/>
      <c r="C34" s="274"/>
      <c r="D34" s="251"/>
      <c r="E34" s="263"/>
      <c r="F34" s="263"/>
      <c r="G34" s="263"/>
      <c r="H34" s="263"/>
      <c r="I34" s="263"/>
      <c r="J34" s="263"/>
      <c r="K34" s="276"/>
      <c r="L34" s="203" t="s">
        <v>36</v>
      </c>
      <c r="M34" s="204" t="s">
        <v>2</v>
      </c>
      <c r="N34" s="205" t="s">
        <v>3</v>
      </c>
      <c r="O34" s="206" t="s">
        <v>37</v>
      </c>
      <c r="S34" s="9"/>
      <c r="T34" s="18"/>
      <c r="U34" s="18"/>
    </row>
    <row r="35" spans="1:21" ht="19.5" customHeight="1">
      <c r="A35" s="265">
        <v>8</v>
      </c>
      <c r="B35" s="141" t="str">
        <f>A5</f>
        <v>2017-Nygard, VerrAG, Muj 17,5y, Seg 5y</v>
      </c>
      <c r="C35" s="66" t="s">
        <v>38</v>
      </c>
      <c r="D35" s="67"/>
      <c r="E35" s="153">
        <f aca="true" t="shared" si="4" ref="E35:E40">H5</f>
        <v>5</v>
      </c>
      <c r="F35" s="154" t="str">
        <f aca="true" t="shared" si="5" ref="F35:F40">P5</f>
        <v>17 / 2432</v>
      </c>
      <c r="G35" s="155">
        <f aca="true" t="shared" si="6" ref="G35:G40">L5</f>
        <v>0.0013980263157894737</v>
      </c>
      <c r="H35" s="154" t="str">
        <f aca="true" t="shared" si="7" ref="H35:H40">Q5</f>
        <v>70 / 17294</v>
      </c>
      <c r="I35" s="156">
        <f aca="true" t="shared" si="8" ref="I35:J40">M5</f>
        <v>0.0008095293165259628</v>
      </c>
      <c r="J35" s="157">
        <f t="shared" si="8"/>
        <v>17.5</v>
      </c>
      <c r="K35" s="245">
        <v>4.4250041543676625E-05</v>
      </c>
      <c r="L35" s="68" t="s">
        <v>67</v>
      </c>
      <c r="M35" s="68" t="s">
        <v>68</v>
      </c>
      <c r="N35" s="69" t="s">
        <v>69</v>
      </c>
      <c r="O35" s="24"/>
      <c r="Q35" s="13">
        <v>3</v>
      </c>
      <c r="R35" s="70">
        <f>Q35*K35</f>
        <v>0.0001327501246310299</v>
      </c>
      <c r="S35" s="9"/>
      <c r="T35" s="18"/>
      <c r="U35" s="18"/>
    </row>
    <row r="36" spans="1:21" ht="19.5" customHeight="1">
      <c r="A36" s="266"/>
      <c r="B36" s="141" t="str">
        <f>A6</f>
        <v>2017-Bernard, VerrAG, Muj 17,5y, Seg 8y</v>
      </c>
      <c r="C36" s="66" t="s">
        <v>38</v>
      </c>
      <c r="D36" s="67"/>
      <c r="E36" s="153">
        <f t="shared" si="4"/>
        <v>8</v>
      </c>
      <c r="F36" s="154" t="str">
        <f t="shared" si="5"/>
        <v>74 / 11656</v>
      </c>
      <c r="G36" s="155">
        <f t="shared" si="6"/>
        <v>0.000793582704186685</v>
      </c>
      <c r="H36" s="154" t="str">
        <f t="shared" si="7"/>
        <v>194 / 15524</v>
      </c>
      <c r="I36" s="155">
        <f t="shared" si="8"/>
        <v>0.0015620973975779438</v>
      </c>
      <c r="J36" s="157">
        <f t="shared" si="8"/>
        <v>17.5</v>
      </c>
      <c r="K36" s="127">
        <v>0.13852432528301165</v>
      </c>
      <c r="L36" s="68" t="s">
        <v>70</v>
      </c>
      <c r="M36" s="68" t="s">
        <v>71</v>
      </c>
      <c r="N36" s="68" t="s">
        <v>72</v>
      </c>
      <c r="O36" s="33"/>
      <c r="Q36" s="13">
        <v>3</v>
      </c>
      <c r="R36" s="70">
        <f>Q36*K36</f>
        <v>0.41557297584903496</v>
      </c>
      <c r="S36" s="9"/>
      <c r="T36" s="18"/>
      <c r="U36" s="18"/>
    </row>
    <row r="37" spans="1:21" ht="19.5" customHeight="1">
      <c r="A37" s="266"/>
      <c r="B37" s="141" t="str">
        <f>A7</f>
        <v>2018-Gargano, VerrAG, Muj 17,5y, Seg 9y</v>
      </c>
      <c r="C37" s="66" t="s">
        <v>38</v>
      </c>
      <c r="D37" s="67"/>
      <c r="E37" s="153">
        <f t="shared" si="4"/>
        <v>9</v>
      </c>
      <c r="F37" s="154" t="str">
        <f t="shared" si="5"/>
        <v>115 / 28343</v>
      </c>
      <c r="G37" s="155">
        <f t="shared" si="6"/>
        <v>0.00045082658073520015</v>
      </c>
      <c r="H37" s="154" t="str">
        <f t="shared" si="7"/>
        <v>210 / 25559</v>
      </c>
      <c r="I37" s="155">
        <f t="shared" si="8"/>
        <v>0.0009129204324634506</v>
      </c>
      <c r="J37" s="157">
        <f t="shared" si="8"/>
        <v>17.5</v>
      </c>
      <c r="K37" s="127">
        <v>0.10989801449831878</v>
      </c>
      <c r="L37" s="68" t="s">
        <v>73</v>
      </c>
      <c r="M37" s="68" t="s">
        <v>74</v>
      </c>
      <c r="N37" s="68" t="s">
        <v>75</v>
      </c>
      <c r="O37" s="33"/>
      <c r="Q37" s="13">
        <v>3</v>
      </c>
      <c r="R37" s="70">
        <f>Q37*K37</f>
        <v>0.32969404349495635</v>
      </c>
      <c r="S37" s="9"/>
      <c r="T37" s="18"/>
      <c r="U37" s="18"/>
    </row>
    <row r="38" spans="1:21" ht="19.5" customHeight="1">
      <c r="A38" s="266"/>
      <c r="B38" s="141" t="str">
        <f>A8</f>
        <v>2016-Flagg, VerrAG, Muj 17,5y, Seg 8y</v>
      </c>
      <c r="C38" s="66" t="s">
        <v>38</v>
      </c>
      <c r="D38" s="67"/>
      <c r="E38" s="153">
        <f t="shared" si="4"/>
        <v>8</v>
      </c>
      <c r="F38" s="154" t="str">
        <f t="shared" si="5"/>
        <v>2585 / 400849</v>
      </c>
      <c r="G38" s="155">
        <f t="shared" si="6"/>
        <v>0.0008061015494612684</v>
      </c>
      <c r="H38" s="154" t="str">
        <f t="shared" si="7"/>
        <v>2320 / 157023</v>
      </c>
      <c r="I38" s="155">
        <f t="shared" si="8"/>
        <v>0.00184686319838495</v>
      </c>
      <c r="J38" s="157">
        <f t="shared" si="8"/>
        <v>17.5</v>
      </c>
      <c r="K38" s="127">
        <v>0.033483396273007476</v>
      </c>
      <c r="L38" s="68" t="s">
        <v>76</v>
      </c>
      <c r="M38" s="68" t="s">
        <v>77</v>
      </c>
      <c r="N38" s="68" t="s">
        <v>78</v>
      </c>
      <c r="O38" s="33"/>
      <c r="Q38" s="13">
        <v>3</v>
      </c>
      <c r="R38" s="70">
        <f>Q38*K38</f>
        <v>0.10045018881902243</v>
      </c>
      <c r="S38" s="9"/>
      <c r="T38" s="18"/>
      <c r="U38" s="18"/>
    </row>
    <row r="39" spans="1:21" ht="19.5" customHeight="1" thickBot="1">
      <c r="A39" s="267"/>
      <c r="B39" s="141" t="str">
        <f>A9</f>
        <v>2018-Brotherton, Verr, Muj 17,5y, Seg 9y</v>
      </c>
      <c r="C39" s="66" t="s">
        <v>38</v>
      </c>
      <c r="D39" s="67"/>
      <c r="E39" s="153">
        <f t="shared" si="4"/>
        <v>9</v>
      </c>
      <c r="F39" s="154" t="str">
        <f t="shared" si="5"/>
        <v>1492 / 235398</v>
      </c>
      <c r="G39" s="155">
        <f t="shared" si="6"/>
        <v>0.0007042446315507259</v>
      </c>
      <c r="H39" s="154" t="str">
        <f t="shared" si="7"/>
        <v>3158 / 202891</v>
      </c>
      <c r="I39" s="155">
        <f t="shared" si="8"/>
        <v>0.0017294453124529372</v>
      </c>
      <c r="J39" s="157">
        <f t="shared" si="8"/>
        <v>17.5</v>
      </c>
      <c r="K39" s="127">
        <v>0.03654851199687224</v>
      </c>
      <c r="L39" s="68" t="s">
        <v>79</v>
      </c>
      <c r="M39" s="68" t="s">
        <v>80</v>
      </c>
      <c r="N39" s="68" t="s">
        <v>81</v>
      </c>
      <c r="O39" s="33"/>
      <c r="Q39" s="13">
        <v>3</v>
      </c>
      <c r="R39" s="70">
        <f>Q39*K39</f>
        <v>0.10964553599061673</v>
      </c>
      <c r="S39" s="9"/>
      <c r="T39" s="18"/>
      <c r="U39" s="18"/>
    </row>
    <row r="40" spans="1:21" ht="21.75" thickBot="1">
      <c r="A40" s="161" t="s">
        <v>39</v>
      </c>
      <c r="B40" s="162">
        <f>COUNT(E35:E39)</f>
        <v>5</v>
      </c>
      <c r="C40" s="163"/>
      <c r="D40" s="71" t="s">
        <v>60</v>
      </c>
      <c r="E40" s="164">
        <f t="shared" si="4"/>
        <v>8.394735858533833</v>
      </c>
      <c r="F40" s="165" t="str">
        <f t="shared" si="5"/>
        <v>4283 / 678678</v>
      </c>
      <c r="G40" s="166">
        <f t="shared" si="6"/>
        <v>0.0007532709599887018</v>
      </c>
      <c r="H40" s="165" t="str">
        <f t="shared" si="7"/>
        <v>5952 / 418291</v>
      </c>
      <c r="I40" s="166">
        <f t="shared" si="8"/>
        <v>0.0016895190774862498</v>
      </c>
      <c r="J40" s="164">
        <f t="shared" si="8"/>
        <v>17.5</v>
      </c>
      <c r="K40" s="167">
        <v>0.9999999999999998</v>
      </c>
      <c r="L40" s="120" t="s">
        <v>61</v>
      </c>
      <c r="M40" s="72"/>
      <c r="N40" s="73"/>
      <c r="O40" s="74"/>
      <c r="R40" s="168">
        <f>SUM(R35:R39)</f>
        <v>0.9554954942782615</v>
      </c>
      <c r="S40" s="9"/>
      <c r="T40" s="18"/>
      <c r="U40" s="18"/>
    </row>
    <row r="41" spans="1:15" ht="13.5" thickBot="1">
      <c r="A41" s="75"/>
      <c r="B41" s="75"/>
      <c r="C41" s="76"/>
      <c r="D41" s="77"/>
      <c r="E41" s="78"/>
      <c r="F41" s="79"/>
      <c r="G41" s="80"/>
      <c r="H41" s="79"/>
      <c r="I41" s="81"/>
      <c r="J41" s="82"/>
      <c r="K41" s="83"/>
      <c r="L41" s="72"/>
      <c r="M41" s="73"/>
      <c r="N41" s="73"/>
      <c r="O41" s="83"/>
    </row>
    <row r="42" spans="1:256" ht="48" thickBot="1">
      <c r="A42" s="84"/>
      <c r="B42" s="268" t="s">
        <v>90</v>
      </c>
      <c r="C42" s="269"/>
      <c r="D42" s="269"/>
      <c r="E42" s="269"/>
      <c r="F42" s="269"/>
      <c r="G42" s="269"/>
      <c r="H42" s="269"/>
      <c r="I42" s="270"/>
      <c r="J42" s="85" t="s">
        <v>84</v>
      </c>
      <c r="K42" s="169" t="s">
        <v>88</v>
      </c>
      <c r="L42" s="86" t="s">
        <v>36</v>
      </c>
      <c r="M42" s="87" t="s">
        <v>2</v>
      </c>
      <c r="N42" s="88" t="s">
        <v>3</v>
      </c>
      <c r="O42" s="7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15" ht="19.5" customHeight="1">
      <c r="A43" s="271" t="s">
        <v>40</v>
      </c>
      <c r="B43" s="89" t="s">
        <v>41</v>
      </c>
      <c r="C43" s="90">
        <f>I40</f>
        <v>0.0016895190774862498</v>
      </c>
      <c r="D43" s="91" t="s">
        <v>42</v>
      </c>
      <c r="E43" s="91"/>
      <c r="F43" s="91"/>
      <c r="G43" s="91"/>
      <c r="H43" s="92">
        <f>J40</f>
        <v>17.5</v>
      </c>
      <c r="I43" s="93" t="s">
        <v>43</v>
      </c>
      <c r="J43" s="94">
        <v>0.0008</v>
      </c>
      <c r="K43" s="95">
        <v>0.0017</v>
      </c>
      <c r="L43" s="121" t="s">
        <v>61</v>
      </c>
      <c r="M43" s="96" t="s">
        <v>65</v>
      </c>
      <c r="N43" s="212" t="s">
        <v>66</v>
      </c>
      <c r="O43" s="97" t="s">
        <v>44</v>
      </c>
    </row>
    <row r="44" spans="1:15" ht="19.5" thickBot="1">
      <c r="A44" s="272"/>
      <c r="B44" s="170" t="s">
        <v>41</v>
      </c>
      <c r="C44" s="171">
        <f>I40*E40</f>
        <v>0.014183066383450823</v>
      </c>
      <c r="D44" s="172" t="s">
        <v>45</v>
      </c>
      <c r="E44" s="173"/>
      <c r="F44" s="174"/>
      <c r="G44" s="175">
        <f>E40</f>
        <v>8.394735858533833</v>
      </c>
      <c r="H44" s="172" t="s">
        <v>46</v>
      </c>
      <c r="I44" s="176"/>
      <c r="J44" s="177">
        <v>0.007</v>
      </c>
      <c r="K44" s="178">
        <v>0.0142</v>
      </c>
      <c r="L44" s="122" t="s">
        <v>61</v>
      </c>
      <c r="M44" s="98" t="s">
        <v>62</v>
      </c>
      <c r="N44" s="213" t="s">
        <v>63</v>
      </c>
      <c r="O44" s="99" t="s">
        <v>64</v>
      </c>
    </row>
    <row r="45" spans="1:15" ht="19.5" thickBot="1">
      <c r="A45" s="100"/>
      <c r="B45" s="101"/>
      <c r="C45" s="102"/>
      <c r="D45" s="103"/>
      <c r="E45" s="104"/>
      <c r="F45" s="105"/>
      <c r="G45" s="106"/>
      <c r="H45" s="103"/>
      <c r="I45" s="105"/>
      <c r="J45" s="107"/>
      <c r="K45" s="107"/>
      <c r="L45" s="108"/>
      <c r="M45" s="109"/>
      <c r="N45" s="109"/>
      <c r="O45" s="110"/>
    </row>
    <row r="46" spans="1:15" ht="19.5" thickBot="1">
      <c r="A46" s="111"/>
      <c r="B46" s="111"/>
      <c r="C46" s="83"/>
      <c r="D46" s="83"/>
      <c r="E46" s="83"/>
      <c r="F46" s="83"/>
      <c r="G46" s="83"/>
      <c r="H46" s="83"/>
      <c r="I46" s="112"/>
      <c r="J46" s="113"/>
      <c r="K46" s="114" t="s">
        <v>47</v>
      </c>
      <c r="L46" s="123" t="s">
        <v>316</v>
      </c>
      <c r="M46" s="115"/>
      <c r="N46" s="116"/>
      <c r="O46" s="117"/>
    </row>
    <row r="47" spans="1:11" ht="12.75">
      <c r="A47" s="20"/>
      <c r="C47" s="2"/>
      <c r="I47" s="5" t="s">
        <v>48</v>
      </c>
      <c r="J47" s="211">
        <v>7</v>
      </c>
      <c r="K47" s="211">
        <f>J47</f>
        <v>7</v>
      </c>
    </row>
    <row r="48" spans="1:12" ht="12.75">
      <c r="A48" s="20"/>
      <c r="C48" s="2"/>
      <c r="I48" s="13"/>
      <c r="J48" s="144" t="s">
        <v>14</v>
      </c>
      <c r="K48" s="144" t="s">
        <v>85</v>
      </c>
      <c r="L48" s="144" t="s">
        <v>49</v>
      </c>
    </row>
    <row r="49" spans="9:14" ht="17.25">
      <c r="I49" s="118" t="s">
        <v>50</v>
      </c>
      <c r="J49" s="126">
        <f>J43*1000*J47</f>
        <v>5.6000000000000005</v>
      </c>
      <c r="K49" s="124">
        <f>K43*1000*K47</f>
        <v>11.9</v>
      </c>
      <c r="L49" s="125">
        <f>((J49*I10)+(K49*J10))/K10</f>
        <v>8.010121748138864</v>
      </c>
      <c r="M49" s="119"/>
      <c r="N49" s="119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</sheetData>
  <sheetProtection/>
  <mergeCells count="20">
    <mergeCell ref="B3:D3"/>
    <mergeCell ref="E3:G3"/>
    <mergeCell ref="I3:K3"/>
    <mergeCell ref="L3:M3"/>
    <mergeCell ref="D12:F12"/>
    <mergeCell ref="A33:A34"/>
    <mergeCell ref="B33:B34"/>
    <mergeCell ref="C33:C34"/>
    <mergeCell ref="D33:D34"/>
    <mergeCell ref="E33:E34"/>
    <mergeCell ref="L33:O33"/>
    <mergeCell ref="B42:I42"/>
    <mergeCell ref="A43:A44"/>
    <mergeCell ref="A35:A39"/>
    <mergeCell ref="F33:F34"/>
    <mergeCell ref="G33:G34"/>
    <mergeCell ref="H33:H34"/>
    <mergeCell ref="I33:I34"/>
    <mergeCell ref="J33:J34"/>
    <mergeCell ref="K33:K34"/>
  </mergeCells>
  <printOptions/>
  <pageMargins left="0.7" right="0.7" top="0.75" bottom="0.75" header="0.3" footer="0.3"/>
  <pageSetup orientation="portrait" paperSize="9"/>
  <ignoredErrors>
    <ignoredError sqref="H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A1" sqref="A1"/>
    </sheetView>
  </sheetViews>
  <sheetFormatPr defaultColWidth="16.00390625" defaultRowHeight="12.75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6.140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1.8515625" style="2" customWidth="1"/>
    <col min="15" max="15" width="16.7109375" style="2" customWidth="1"/>
    <col min="16" max="16" width="16.00390625" style="2" customWidth="1"/>
    <col min="17" max="17" width="13.8515625" style="2" hidden="1" customWidth="1"/>
    <col min="18" max="18" width="0" style="2" hidden="1" customWidth="1"/>
    <col min="19" max="19" width="34.8515625" style="2" customWidth="1"/>
    <col min="20" max="16384" width="16.00390625" style="2" customWidth="1"/>
  </cols>
  <sheetData>
    <row r="1" spans="1:28" ht="15">
      <c r="A1" s="2" t="s">
        <v>343</v>
      </c>
      <c r="S1" s="9"/>
      <c r="T1" s="18"/>
      <c r="U1" s="18"/>
      <c r="V1" s="18"/>
      <c r="W1" s="18"/>
      <c r="X1" s="18"/>
      <c r="Y1" s="18"/>
      <c r="Z1" s="18"/>
      <c r="AA1" s="18"/>
      <c r="AB1" s="18"/>
    </row>
    <row r="2" spans="1:28" ht="12.75" hidden="1">
      <c r="A2" s="210" t="s">
        <v>89</v>
      </c>
      <c r="B2" s="196" t="str">
        <f>A4</f>
        <v>CAMBIOS en CIN2+, mujeres 20 a 24 años, seguimiento 5 a 8 años</v>
      </c>
      <c r="C2" s="197"/>
      <c r="D2" s="198"/>
      <c r="E2" s="198"/>
      <c r="F2" s="198"/>
      <c r="G2" s="198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5.5" hidden="1">
      <c r="A3" s="21" t="s">
        <v>16</v>
      </c>
      <c r="B3" s="280" t="s">
        <v>17</v>
      </c>
      <c r="C3" s="280"/>
      <c r="D3" s="280"/>
      <c r="E3" s="280" t="s">
        <v>18</v>
      </c>
      <c r="F3" s="280"/>
      <c r="G3" s="280"/>
      <c r="H3" s="136" t="s">
        <v>23</v>
      </c>
      <c r="I3" s="252" t="s">
        <v>24</v>
      </c>
      <c r="J3" s="253"/>
      <c r="K3" s="254"/>
      <c r="L3" s="252" t="s">
        <v>25</v>
      </c>
      <c r="M3" s="254"/>
      <c r="N3" s="137" t="s">
        <v>26</v>
      </c>
      <c r="O3" s="17"/>
      <c r="T3" s="18"/>
      <c r="U3" s="18"/>
      <c r="W3" s="18"/>
      <c r="X3" s="18"/>
      <c r="Y3" s="18"/>
      <c r="Z3" s="18"/>
      <c r="AA3" s="18"/>
      <c r="AB3" s="18"/>
    </row>
    <row r="4" spans="1:28" ht="38.25" hidden="1">
      <c r="A4" s="22" t="s">
        <v>313</v>
      </c>
      <c r="B4" s="23" t="s">
        <v>19</v>
      </c>
      <c r="C4" s="23" t="s">
        <v>20</v>
      </c>
      <c r="D4" s="23" t="s">
        <v>1</v>
      </c>
      <c r="E4" s="23" t="s">
        <v>19</v>
      </c>
      <c r="F4" s="23" t="s">
        <v>20</v>
      </c>
      <c r="G4" s="23" t="s">
        <v>1</v>
      </c>
      <c r="H4" s="138" t="s">
        <v>27</v>
      </c>
      <c r="I4" s="60" t="s">
        <v>14</v>
      </c>
      <c r="J4" s="61" t="s">
        <v>15</v>
      </c>
      <c r="K4" s="60" t="s">
        <v>1</v>
      </c>
      <c r="L4" s="139" t="s">
        <v>14</v>
      </c>
      <c r="M4" s="140" t="s">
        <v>85</v>
      </c>
      <c r="N4" s="59" t="s">
        <v>27</v>
      </c>
      <c r="O4" s="17"/>
      <c r="P4" s="2" t="s">
        <v>10</v>
      </c>
      <c r="Q4" s="2" t="s">
        <v>10</v>
      </c>
      <c r="T4" s="18"/>
      <c r="U4" s="18"/>
      <c r="W4" s="18"/>
      <c r="X4" s="18"/>
      <c r="Y4" s="18"/>
      <c r="Z4" s="18"/>
      <c r="AA4" s="18"/>
      <c r="AB4" s="18"/>
    </row>
    <row r="5" spans="1:28" ht="12.75" hidden="1">
      <c r="A5" s="25" t="s">
        <v>221</v>
      </c>
      <c r="B5" s="26">
        <v>328</v>
      </c>
      <c r="C5" s="27">
        <f>D5-B5</f>
        <v>28678</v>
      </c>
      <c r="D5" s="221">
        <v>29006</v>
      </c>
      <c r="E5" s="26">
        <v>776</v>
      </c>
      <c r="F5" s="27">
        <f>G5-E5</f>
        <v>141806</v>
      </c>
      <c r="G5" s="221">
        <v>142582</v>
      </c>
      <c r="H5" s="189">
        <v>5</v>
      </c>
      <c r="I5" s="142">
        <f aca="true" t="shared" si="0" ref="I5:I11">D5*H5</f>
        <v>145030</v>
      </c>
      <c r="J5" s="142">
        <f aca="true" t="shared" si="1" ref="J5:J11">G5*H5</f>
        <v>712910</v>
      </c>
      <c r="K5" s="142">
        <f>I5+J5</f>
        <v>857940</v>
      </c>
      <c r="L5" s="143">
        <f aca="true" t="shared" si="2" ref="L5:L12">B5/I5</f>
        <v>0.0022616010480590223</v>
      </c>
      <c r="M5" s="143">
        <f aca="true" t="shared" si="3" ref="M5:M12">E5/J5</f>
        <v>0.0010884964441514357</v>
      </c>
      <c r="N5" s="214">
        <v>22.5</v>
      </c>
      <c r="O5" s="63">
        <f>N5*(D5+G5)</f>
        <v>3860730</v>
      </c>
      <c r="P5" s="64" t="str">
        <f aca="true" t="shared" si="4" ref="P5:P12">CONCATENATE(B5," ",$P$4," ",D5)</f>
        <v>328 / 29006</v>
      </c>
      <c r="Q5" s="64" t="str">
        <f aca="true" t="shared" si="5" ref="Q5:Q12">CONCATENATE(E5," ",$Q$4," ",G5)</f>
        <v>776 / 142582</v>
      </c>
      <c r="T5" s="18"/>
      <c r="U5" s="18"/>
      <c r="W5" s="18"/>
      <c r="X5" s="18"/>
      <c r="Y5" s="18"/>
      <c r="Z5" s="18"/>
      <c r="AA5" s="18"/>
      <c r="AB5" s="18"/>
    </row>
    <row r="6" spans="1:28" ht="12.75" hidden="1">
      <c r="A6" s="25" t="s">
        <v>222</v>
      </c>
      <c r="B6" s="26">
        <v>1265</v>
      </c>
      <c r="C6" s="27">
        <f aca="true" t="shared" si="6" ref="C6:C11">D6-B6</f>
        <v>79739</v>
      </c>
      <c r="D6" s="221">
        <v>81004</v>
      </c>
      <c r="E6" s="26">
        <v>527</v>
      </c>
      <c r="F6" s="27">
        <f aca="true" t="shared" si="7" ref="F6:F11">G6-E6</f>
        <v>29360</v>
      </c>
      <c r="G6" s="221">
        <v>29887</v>
      </c>
      <c r="H6" s="189">
        <v>8</v>
      </c>
      <c r="I6" s="142">
        <f t="shared" si="0"/>
        <v>648032</v>
      </c>
      <c r="J6" s="142">
        <f t="shared" si="1"/>
        <v>239096</v>
      </c>
      <c r="K6" s="142">
        <f aca="true" t="shared" si="8" ref="K6:K11">I6+J6</f>
        <v>887128</v>
      </c>
      <c r="L6" s="143">
        <f t="shared" si="2"/>
        <v>0.0019520640956002173</v>
      </c>
      <c r="M6" s="143">
        <f t="shared" si="3"/>
        <v>0.002204135577341319</v>
      </c>
      <c r="N6" s="214">
        <v>22.5</v>
      </c>
      <c r="O6" s="63">
        <f aca="true" t="shared" si="9" ref="O6:O11">N6*(D6+G6)</f>
        <v>2495047.5</v>
      </c>
      <c r="P6" s="64" t="str">
        <f t="shared" si="4"/>
        <v>1265 / 81004</v>
      </c>
      <c r="Q6" s="64" t="str">
        <f t="shared" si="5"/>
        <v>527 / 29887</v>
      </c>
      <c r="T6" s="18"/>
      <c r="U6" s="18"/>
      <c r="W6" s="18"/>
      <c r="X6" s="18"/>
      <c r="Y6" s="18"/>
      <c r="Z6" s="18"/>
      <c r="AA6" s="18"/>
      <c r="AB6" s="18"/>
    </row>
    <row r="7" spans="1:28" ht="12.75" hidden="1">
      <c r="A7" s="25" t="s">
        <v>223</v>
      </c>
      <c r="B7" s="26">
        <v>652</v>
      </c>
      <c r="C7" s="27">
        <f t="shared" si="6"/>
        <v>92888</v>
      </c>
      <c r="D7" s="221">
        <v>93540</v>
      </c>
      <c r="E7" s="26">
        <v>624</v>
      </c>
      <c r="F7" s="27">
        <f t="shared" si="7"/>
        <v>30354</v>
      </c>
      <c r="G7" s="221">
        <v>30978</v>
      </c>
      <c r="H7" s="189">
        <v>8</v>
      </c>
      <c r="I7" s="142">
        <f t="shared" si="0"/>
        <v>748320</v>
      </c>
      <c r="J7" s="142">
        <f t="shared" si="1"/>
        <v>247824</v>
      </c>
      <c r="K7" s="142">
        <f t="shared" si="8"/>
        <v>996144</v>
      </c>
      <c r="L7" s="143">
        <f t="shared" si="2"/>
        <v>0.000871285011759675</v>
      </c>
      <c r="M7" s="143">
        <f t="shared" si="3"/>
        <v>0.0025179159403447607</v>
      </c>
      <c r="N7" s="214">
        <v>22.5</v>
      </c>
      <c r="O7" s="63">
        <f t="shared" si="9"/>
        <v>2801655</v>
      </c>
      <c r="P7" s="64" t="str">
        <f t="shared" si="4"/>
        <v>652 / 93540</v>
      </c>
      <c r="Q7" s="64" t="str">
        <f t="shared" si="5"/>
        <v>624 / 30978</v>
      </c>
      <c r="T7" s="18"/>
      <c r="U7" s="18"/>
      <c r="W7" s="18"/>
      <c r="X7" s="18"/>
      <c r="Y7" s="18"/>
      <c r="Z7" s="18"/>
      <c r="AA7" s="18"/>
      <c r="AB7" s="18"/>
    </row>
    <row r="8" spans="1:28" ht="12.75" hidden="1">
      <c r="A8" s="25" t="s">
        <v>224</v>
      </c>
      <c r="B8" s="26">
        <v>1872</v>
      </c>
      <c r="C8" s="27">
        <f t="shared" si="6"/>
        <v>191456</v>
      </c>
      <c r="D8" s="221">
        <v>193328</v>
      </c>
      <c r="E8" s="26">
        <v>659</v>
      </c>
      <c r="F8" s="27">
        <f t="shared" si="7"/>
        <v>51812</v>
      </c>
      <c r="G8" s="221">
        <v>52471</v>
      </c>
      <c r="H8" s="189">
        <v>9</v>
      </c>
      <c r="I8" s="142">
        <f t="shared" si="0"/>
        <v>1739952</v>
      </c>
      <c r="J8" s="142">
        <f t="shared" si="1"/>
        <v>472239</v>
      </c>
      <c r="K8" s="142">
        <f t="shared" si="8"/>
        <v>2212191</v>
      </c>
      <c r="L8" s="143">
        <f t="shared" si="2"/>
        <v>0.0010758917487378962</v>
      </c>
      <c r="M8" s="143">
        <f t="shared" si="3"/>
        <v>0.0013954798311871742</v>
      </c>
      <c r="N8" s="214">
        <v>22.5</v>
      </c>
      <c r="O8" s="63">
        <f t="shared" si="9"/>
        <v>5530477.5</v>
      </c>
      <c r="P8" s="64" t="str">
        <f t="shared" si="4"/>
        <v>1872 / 193328</v>
      </c>
      <c r="Q8" s="64" t="str">
        <f t="shared" si="5"/>
        <v>659 / 52471</v>
      </c>
      <c r="T8" s="18"/>
      <c r="U8" s="18"/>
      <c r="W8" s="18"/>
      <c r="X8" s="18"/>
      <c r="Y8" s="18"/>
      <c r="Z8" s="18"/>
      <c r="AA8" s="18"/>
      <c r="AB8" s="18"/>
    </row>
    <row r="9" spans="1:28" ht="12.75" hidden="1">
      <c r="A9" s="25" t="s">
        <v>225</v>
      </c>
      <c r="B9" s="26">
        <v>27552</v>
      </c>
      <c r="C9" s="27">
        <f t="shared" si="6"/>
        <v>1959281</v>
      </c>
      <c r="D9" s="221">
        <v>1986833</v>
      </c>
      <c r="E9" s="26">
        <v>4981</v>
      </c>
      <c r="F9" s="27">
        <f t="shared" si="7"/>
        <v>238086</v>
      </c>
      <c r="G9" s="221">
        <v>243067</v>
      </c>
      <c r="H9" s="189">
        <v>8</v>
      </c>
      <c r="I9" s="142">
        <f t="shared" si="0"/>
        <v>15894664</v>
      </c>
      <c r="J9" s="142">
        <f t="shared" si="1"/>
        <v>1944536</v>
      </c>
      <c r="K9" s="142">
        <f t="shared" si="8"/>
        <v>17839200</v>
      </c>
      <c r="L9" s="143">
        <f t="shared" si="2"/>
        <v>0.001733411917357926</v>
      </c>
      <c r="M9" s="143">
        <f t="shared" si="3"/>
        <v>0.002561536531079908</v>
      </c>
      <c r="N9" s="214">
        <v>22.5</v>
      </c>
      <c r="O9" s="63">
        <f t="shared" si="9"/>
        <v>50172750</v>
      </c>
      <c r="P9" s="64" t="str">
        <f t="shared" si="4"/>
        <v>27552 / 1986833</v>
      </c>
      <c r="Q9" s="64" t="str">
        <f t="shared" si="5"/>
        <v>4981 / 243067</v>
      </c>
      <c r="T9" s="18"/>
      <c r="U9" s="18"/>
      <c r="W9" s="18"/>
      <c r="X9" s="18"/>
      <c r="Y9" s="18"/>
      <c r="Z9" s="18"/>
      <c r="AA9" s="18"/>
      <c r="AB9" s="18"/>
    </row>
    <row r="10" spans="1:28" ht="12.75" hidden="1">
      <c r="A10" s="25" t="s">
        <v>226</v>
      </c>
      <c r="B10" s="26">
        <v>114</v>
      </c>
      <c r="C10" s="27">
        <f t="shared" si="6"/>
        <v>32736</v>
      </c>
      <c r="D10" s="221">
        <v>32850</v>
      </c>
      <c r="E10" s="26">
        <v>248</v>
      </c>
      <c r="F10" s="27">
        <f t="shared" si="7"/>
        <v>20643</v>
      </c>
      <c r="G10" s="221">
        <v>20891</v>
      </c>
      <c r="H10" s="189">
        <v>6</v>
      </c>
      <c r="I10" s="142">
        <f t="shared" si="0"/>
        <v>197100</v>
      </c>
      <c r="J10" s="142">
        <f t="shared" si="1"/>
        <v>125346</v>
      </c>
      <c r="K10" s="142">
        <f t="shared" si="8"/>
        <v>322446</v>
      </c>
      <c r="L10" s="143">
        <f t="shared" si="2"/>
        <v>0.0005783866057838661</v>
      </c>
      <c r="M10" s="143">
        <f t="shared" si="3"/>
        <v>0.0019785234470984315</v>
      </c>
      <c r="N10" s="214">
        <v>22.5</v>
      </c>
      <c r="O10" s="63">
        <f t="shared" si="9"/>
        <v>1209172.5</v>
      </c>
      <c r="P10" s="64" t="str">
        <f t="shared" si="4"/>
        <v>114 / 32850</v>
      </c>
      <c r="Q10" s="64" t="str">
        <f t="shared" si="5"/>
        <v>248 / 20891</v>
      </c>
      <c r="T10" s="18"/>
      <c r="U10" s="18"/>
      <c r="W10" s="18"/>
      <c r="X10" s="18"/>
      <c r="Y10" s="18"/>
      <c r="Z10" s="18"/>
      <c r="AA10" s="18"/>
      <c r="AB10" s="18"/>
    </row>
    <row r="11" spans="1:28" ht="12.75" hidden="1">
      <c r="A11" s="25" t="s">
        <v>227</v>
      </c>
      <c r="B11" s="26">
        <v>16382</v>
      </c>
      <c r="C11" s="27">
        <f t="shared" si="6"/>
        <v>943256</v>
      </c>
      <c r="D11" s="221">
        <v>959638</v>
      </c>
      <c r="E11" s="26">
        <v>15026</v>
      </c>
      <c r="F11" s="27">
        <f t="shared" si="7"/>
        <v>611630</v>
      </c>
      <c r="G11" s="221">
        <v>626656</v>
      </c>
      <c r="H11" s="189">
        <v>9</v>
      </c>
      <c r="I11" s="142">
        <f t="shared" si="0"/>
        <v>8636742</v>
      </c>
      <c r="J11" s="142">
        <f t="shared" si="1"/>
        <v>5639904</v>
      </c>
      <c r="K11" s="142">
        <f t="shared" si="8"/>
        <v>14276646</v>
      </c>
      <c r="L11" s="143">
        <f t="shared" si="2"/>
        <v>0.0018967800589620484</v>
      </c>
      <c r="M11" s="143">
        <f t="shared" si="3"/>
        <v>0.0026642297457545377</v>
      </c>
      <c r="N11" s="214">
        <v>22.5</v>
      </c>
      <c r="O11" s="63">
        <f t="shared" si="9"/>
        <v>35691615</v>
      </c>
      <c r="P11" s="64" t="str">
        <f t="shared" si="4"/>
        <v>16382 / 959638</v>
      </c>
      <c r="Q11" s="64" t="str">
        <f t="shared" si="5"/>
        <v>15026 / 626656</v>
      </c>
      <c r="T11" s="18"/>
      <c r="U11" s="18"/>
      <c r="W11" s="18"/>
      <c r="X11" s="18"/>
      <c r="Y11" s="18"/>
      <c r="Z11" s="18"/>
      <c r="AA11" s="18"/>
      <c r="AB11" s="18"/>
    </row>
    <row r="12" spans="1:28" ht="12.75" hidden="1">
      <c r="A12" s="145">
        <f>COUNT(D5:D11)</f>
        <v>7</v>
      </c>
      <c r="B12" s="146">
        <f>SUM(B5:B11)</f>
        <v>48165</v>
      </c>
      <c r="C12" s="147">
        <v>23009</v>
      </c>
      <c r="D12" s="146">
        <f>SUM(D5:D11)</f>
        <v>3376199</v>
      </c>
      <c r="E12" s="146">
        <f>SUM(E5:E11)</f>
        <v>22841</v>
      </c>
      <c r="F12" s="147">
        <v>28669.98</v>
      </c>
      <c r="G12" s="146">
        <f>SUM(G5:G11)</f>
        <v>1146532</v>
      </c>
      <c r="H12" s="148">
        <f>K12/(D12+G12)</f>
        <v>8.267503638841223</v>
      </c>
      <c r="I12" s="149">
        <f>SUM(I5:I11)</f>
        <v>28009840</v>
      </c>
      <c r="J12" s="149">
        <f>SUM(J5:J11)</f>
        <v>9381855</v>
      </c>
      <c r="K12" s="149">
        <f>SUM(K5:K11)</f>
        <v>37391695</v>
      </c>
      <c r="L12" s="150">
        <f t="shared" si="2"/>
        <v>0.0017195742639015432</v>
      </c>
      <c r="M12" s="150">
        <f t="shared" si="3"/>
        <v>0.0024345931588156075</v>
      </c>
      <c r="N12" s="151">
        <f>O12/(D12+G12)</f>
        <v>22.5</v>
      </c>
      <c r="O12" s="152">
        <f>SUM(O5:O11)</f>
        <v>101761447.5</v>
      </c>
      <c r="P12" s="65" t="str">
        <f t="shared" si="4"/>
        <v>48165 / 3376199</v>
      </c>
      <c r="Q12" s="65" t="str">
        <f t="shared" si="5"/>
        <v>22841 / 1146532</v>
      </c>
      <c r="T12" s="18"/>
      <c r="U12" s="18"/>
      <c r="W12" s="18"/>
      <c r="X12" s="18"/>
      <c r="Y12" s="18"/>
      <c r="Z12" s="18"/>
      <c r="AA12" s="18"/>
      <c r="AB12" s="18"/>
    </row>
    <row r="13" spans="2:28" ht="15.75" hidden="1" thickBot="1">
      <c r="B13" s="2"/>
      <c r="C13" s="2"/>
      <c r="E13" s="3"/>
      <c r="F13" s="29"/>
      <c r="S13" s="9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5.75" hidden="1" thickBot="1">
      <c r="A14" s="18"/>
      <c r="B14" s="34" t="s">
        <v>51</v>
      </c>
      <c r="C14" s="199">
        <v>0.020128007799605982</v>
      </c>
      <c r="D14" s="255" t="s">
        <v>13</v>
      </c>
      <c r="E14" s="256"/>
      <c r="F14" s="257"/>
      <c r="S14" s="9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26.25" hidden="1" thickBot="1">
      <c r="A15" s="185">
        <f>I44</f>
        <v>0.0024345931588156075</v>
      </c>
      <c r="B15" s="186" t="s">
        <v>52</v>
      </c>
      <c r="C15" s="12"/>
      <c r="D15" s="10" t="s">
        <v>12</v>
      </c>
      <c r="E15" s="11" t="s">
        <v>21</v>
      </c>
      <c r="F15" s="10" t="s">
        <v>22</v>
      </c>
      <c r="S15" s="9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5.75" hidden="1" thickBot="1">
      <c r="A16" s="244">
        <f>E44</f>
        <v>8.267503638841223</v>
      </c>
      <c r="B16" s="188" t="s">
        <v>53</v>
      </c>
      <c r="C16" s="12"/>
      <c r="D16" s="200">
        <v>0.69</v>
      </c>
      <c r="E16" s="201">
        <v>0.57</v>
      </c>
      <c r="F16" s="202">
        <v>0.84</v>
      </c>
      <c r="G16" s="12"/>
      <c r="S16" s="9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5.75" hidden="1" thickBot="1">
      <c r="A17" s="36"/>
      <c r="B17" s="35"/>
      <c r="C17" s="18"/>
      <c r="D17" s="18"/>
      <c r="E17" s="18"/>
      <c r="F17" s="18"/>
      <c r="G17" s="18"/>
      <c r="S17" s="9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5.75" hidden="1" thickBot="1">
      <c r="A18" s="36"/>
      <c r="B18" s="37"/>
      <c r="C18" s="38"/>
      <c r="D18" s="39">
        <f>C14*D16</f>
        <v>0.013888325381728127</v>
      </c>
      <c r="E18" s="40">
        <f>C14*E16</f>
        <v>0.011472964445775408</v>
      </c>
      <c r="F18" s="41">
        <f>C14*F16</f>
        <v>0.016907526551669026</v>
      </c>
      <c r="G18" s="18"/>
      <c r="S18" s="9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5.75" hidden="1" thickBot="1">
      <c r="A19" s="36"/>
      <c r="B19" s="35"/>
      <c r="C19" s="18"/>
      <c r="D19" s="18"/>
      <c r="E19" s="18"/>
      <c r="F19" s="18"/>
      <c r="G19" s="18"/>
      <c r="S19" s="9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5.75" hidden="1" thickBot="1">
      <c r="A20" s="36"/>
      <c r="B20" s="42"/>
      <c r="C20" s="43" t="s">
        <v>2</v>
      </c>
      <c r="D20" s="44">
        <f>C14-D18</f>
        <v>0.0062396824178778554</v>
      </c>
      <c r="E20" s="45">
        <f>C14-F18</f>
        <v>0.0032204812479369564</v>
      </c>
      <c r="F20" s="46">
        <f>C14-E18</f>
        <v>0.008655043353830574</v>
      </c>
      <c r="G20" s="18"/>
      <c r="S20" s="9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5.75" hidden="1" thickBot="1">
      <c r="A21" s="36"/>
      <c r="B21" s="47"/>
      <c r="C21" s="48" t="s">
        <v>3</v>
      </c>
      <c r="D21" s="49">
        <f>1/D20</f>
        <v>160.26456685276372</v>
      </c>
      <c r="E21" s="50">
        <f>1/F20</f>
        <v>115.53957145199246</v>
      </c>
      <c r="F21" s="51">
        <f>1/E20</f>
        <v>310.51259827722987</v>
      </c>
      <c r="G21" s="18"/>
      <c r="S21" s="9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5" hidden="1">
      <c r="A22" s="36"/>
      <c r="B22" s="35"/>
      <c r="C22" s="12"/>
      <c r="D22" s="12"/>
      <c r="E22" s="12"/>
      <c r="F22" s="12"/>
      <c r="G22" s="18"/>
      <c r="S22" s="9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5" hidden="1">
      <c r="A23" s="36"/>
      <c r="B23" s="129" t="s">
        <v>4</v>
      </c>
      <c r="C23" s="130"/>
      <c r="D23" s="130"/>
      <c r="E23" s="131">
        <f>ROUND(D16,2)</f>
        <v>0.69</v>
      </c>
      <c r="F23" s="132">
        <f>ROUND(D20,4)</f>
        <v>0.0062</v>
      </c>
      <c r="G23" s="133">
        <f>ROUND(D21,0)</f>
        <v>160</v>
      </c>
      <c r="S23" s="9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" hidden="1">
      <c r="A24" s="36"/>
      <c r="B24" s="52" t="s">
        <v>6</v>
      </c>
      <c r="C24" s="53">
        <f>ROUND(D18,4)</f>
        <v>0.0139</v>
      </c>
      <c r="D24" s="54">
        <f>ROUND(C14,4)</f>
        <v>0.0201</v>
      </c>
      <c r="E24" s="6">
        <f>ROUND(E16,2)</f>
        <v>0.57</v>
      </c>
      <c r="F24" s="7">
        <f>ROUND(E20,4)</f>
        <v>0.0032</v>
      </c>
      <c r="G24" s="8">
        <f>ROUND(E21,0)</f>
        <v>116</v>
      </c>
      <c r="S24" s="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 hidden="1">
      <c r="A25" s="36"/>
      <c r="B25" s="52" t="s">
        <v>5</v>
      </c>
      <c r="C25" s="14"/>
      <c r="D25" s="14"/>
      <c r="E25" s="6">
        <f>ROUND(F16,2)</f>
        <v>0.84</v>
      </c>
      <c r="F25" s="7">
        <f>ROUND(F20,4)</f>
        <v>0.0087</v>
      </c>
      <c r="G25" s="8">
        <f>ROUND(F21,0)</f>
        <v>311</v>
      </c>
      <c r="S25" s="9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" hidden="1">
      <c r="A26" s="36"/>
      <c r="B26" s="52" t="s">
        <v>7</v>
      </c>
      <c r="C26" s="134" t="s">
        <v>54</v>
      </c>
      <c r="D26" s="134" t="s">
        <v>11</v>
      </c>
      <c r="E26" s="135" t="s">
        <v>8</v>
      </c>
      <c r="F26" s="135" t="s">
        <v>9</v>
      </c>
      <c r="G26" s="134" t="s">
        <v>3</v>
      </c>
      <c r="S26" s="9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5" hidden="1">
      <c r="A27" s="36"/>
      <c r="B27" s="55" t="s">
        <v>0</v>
      </c>
      <c r="C27" s="134" t="str">
        <f>CONCATENATE(C24*100,B26)</f>
        <v>1,39%</v>
      </c>
      <c r="D27" s="134" t="str">
        <f>CONCATENATE(D24*100,B26)</f>
        <v>2,01%</v>
      </c>
      <c r="E27" s="134" t="str">
        <f>CONCATENATE(E23," ",B23,E24,B24,E25,B25)</f>
        <v>0,69 (0,57-0,84)</v>
      </c>
      <c r="F27" s="134" t="str">
        <f>CONCATENATE(F23*100,B26," ",B23,F24*100,B26," ",B27," ",F25*100,B26,B25)</f>
        <v>0,62% (0,32% a 0,87%)</v>
      </c>
      <c r="G27" s="134" t="str">
        <f>CONCATENATE(G23," ",B23,G24," ",B27," ",G25,B25)</f>
        <v>160 (116 a 311)</v>
      </c>
      <c r="S27" s="9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28.5" customHeight="1" hidden="1">
      <c r="A28" s="56"/>
      <c r="B28" s="4"/>
      <c r="C28" s="19"/>
      <c r="D28" s="19"/>
      <c r="E28" s="19"/>
      <c r="F28" s="19"/>
      <c r="G28" s="19"/>
      <c r="S28" s="9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5.75" hidden="1" thickBot="1">
      <c r="A29" s="185">
        <f>A15*A16</f>
        <v>0.020128007799605982</v>
      </c>
      <c r="B29" s="186" t="s">
        <v>55</v>
      </c>
      <c r="C29" s="18"/>
      <c r="D29" s="18"/>
      <c r="E29" s="18"/>
      <c r="F29" s="18"/>
      <c r="G29" s="18"/>
      <c r="S29" s="9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5.75" hidden="1" thickBot="1">
      <c r="A30" s="57"/>
      <c r="B30" s="18"/>
      <c r="C30" s="193" t="s">
        <v>56</v>
      </c>
      <c r="D30" s="194" t="s">
        <v>11</v>
      </c>
      <c r="E30" s="194" t="s">
        <v>8</v>
      </c>
      <c r="F30" s="194" t="s">
        <v>2</v>
      </c>
      <c r="G30" s="195" t="s">
        <v>3</v>
      </c>
      <c r="S30" s="9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26.25" hidden="1" thickBot="1">
      <c r="A31" s="58"/>
      <c r="B31" s="15"/>
      <c r="C31" s="190" t="str">
        <f>C27</f>
        <v>1,39%</v>
      </c>
      <c r="D31" s="191" t="str">
        <f>D27</f>
        <v>2,01%</v>
      </c>
      <c r="E31" s="191" t="str">
        <f>E27</f>
        <v>0,69 (0,57-0,84)</v>
      </c>
      <c r="F31" s="191" t="str">
        <f>F27</f>
        <v>0,62% (0,32% a 0,87%)</v>
      </c>
      <c r="G31" s="192" t="str">
        <f>G27</f>
        <v>160 (116 a 311)</v>
      </c>
      <c r="S31" s="9"/>
      <c r="T31" s="18"/>
      <c r="U31" s="18"/>
      <c r="V31" s="18"/>
      <c r="W31" s="18"/>
      <c r="X31" s="18"/>
      <c r="Y31" s="18"/>
      <c r="Z31" s="18"/>
      <c r="AA31" s="18"/>
      <c r="AB31" s="18"/>
    </row>
    <row r="32" spans="2:28" ht="15" hidden="1">
      <c r="B32" s="2"/>
      <c r="C32" s="2"/>
      <c r="E32" s="3"/>
      <c r="F32" s="29"/>
      <c r="S32" s="9"/>
      <c r="T32" s="18"/>
      <c r="U32" s="18"/>
      <c r="V32" s="18"/>
      <c r="W32" s="18"/>
      <c r="X32" s="18"/>
      <c r="Y32" s="18"/>
      <c r="Z32" s="18"/>
      <c r="AA32" s="18"/>
      <c r="AB32" s="18"/>
    </row>
    <row r="33" spans="4:28" ht="9" customHeight="1" thickBot="1">
      <c r="D33" s="3"/>
      <c r="E33" s="3"/>
      <c r="S33" s="9"/>
      <c r="T33" s="18"/>
      <c r="U33" s="18"/>
      <c r="V33" s="18"/>
      <c r="W33" s="18"/>
      <c r="X33" s="18"/>
      <c r="Y33" s="18"/>
      <c r="Z33" s="18"/>
      <c r="AA33" s="18"/>
      <c r="AB33" s="18"/>
    </row>
    <row r="34" spans="1:21" ht="22.5" customHeight="1" thickBot="1">
      <c r="A34" s="237" t="s">
        <v>331</v>
      </c>
      <c r="B34" s="184" t="str">
        <f>B2</f>
        <v>CAMBIOS en CIN2+, mujeres 20 a 24 años, seguimiento 5 a 8 años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  <c r="S34" s="9"/>
      <c r="T34" s="18"/>
      <c r="U34" s="18"/>
    </row>
    <row r="35" spans="1:21" ht="36" customHeight="1" thickBot="1">
      <c r="A35" s="262" t="s">
        <v>28</v>
      </c>
      <c r="B35" s="262" t="s">
        <v>29</v>
      </c>
      <c r="C35" s="273" t="s">
        <v>30</v>
      </c>
      <c r="D35" s="250" t="s">
        <v>31</v>
      </c>
      <c r="E35" s="262" t="s">
        <v>32</v>
      </c>
      <c r="F35" s="262" t="s">
        <v>82</v>
      </c>
      <c r="G35" s="262" t="s">
        <v>83</v>
      </c>
      <c r="H35" s="262" t="s">
        <v>86</v>
      </c>
      <c r="I35" s="262" t="s">
        <v>87</v>
      </c>
      <c r="J35" s="262" t="s">
        <v>33</v>
      </c>
      <c r="K35" s="275" t="s">
        <v>34</v>
      </c>
      <c r="L35" s="259" t="s">
        <v>35</v>
      </c>
      <c r="M35" s="260"/>
      <c r="N35" s="260"/>
      <c r="O35" s="261"/>
      <c r="S35" s="9"/>
      <c r="T35" s="18"/>
      <c r="U35" s="18"/>
    </row>
    <row r="36" spans="1:21" ht="43.5" customHeight="1" thickBot="1">
      <c r="A36" s="263"/>
      <c r="B36" s="263"/>
      <c r="C36" s="274"/>
      <c r="D36" s="251"/>
      <c r="E36" s="263"/>
      <c r="F36" s="263"/>
      <c r="G36" s="263"/>
      <c r="H36" s="263"/>
      <c r="I36" s="263"/>
      <c r="J36" s="263"/>
      <c r="K36" s="276"/>
      <c r="L36" s="232" t="s">
        <v>36</v>
      </c>
      <c r="M36" s="233" t="s">
        <v>2</v>
      </c>
      <c r="N36" s="234" t="s">
        <v>3</v>
      </c>
      <c r="O36" s="206" t="s">
        <v>37</v>
      </c>
      <c r="S36" s="9"/>
      <c r="T36" s="18"/>
      <c r="U36" s="18"/>
    </row>
    <row r="37" spans="1:21" ht="15" customHeight="1">
      <c r="A37" s="265">
        <v>8</v>
      </c>
      <c r="B37" s="141" t="str">
        <f aca="true" t="shared" si="10" ref="B37:B43">A5</f>
        <v>Nygard 2017, 22,5, 5y</v>
      </c>
      <c r="C37" s="66" t="s">
        <v>38</v>
      </c>
      <c r="D37" s="67"/>
      <c r="E37" s="153">
        <f aca="true" t="shared" si="11" ref="E37:E44">H5</f>
        <v>5</v>
      </c>
      <c r="F37" s="154" t="str">
        <f aca="true" t="shared" si="12" ref="F37:F44">P5</f>
        <v>328 / 29006</v>
      </c>
      <c r="G37" s="155">
        <f aca="true" t="shared" si="13" ref="G37:G44">L5</f>
        <v>0.0022616010480590223</v>
      </c>
      <c r="H37" s="154" t="str">
        <f aca="true" t="shared" si="14" ref="H37:H44">Q5</f>
        <v>776 / 142582</v>
      </c>
      <c r="I37" s="156">
        <f aca="true" t="shared" si="15" ref="I37:I44">M5</f>
        <v>0.0010884964441514357</v>
      </c>
      <c r="J37" s="157">
        <v>22.5</v>
      </c>
      <c r="K37" s="28">
        <v>0.14103143384507935</v>
      </c>
      <c r="L37" s="235" t="s">
        <v>240</v>
      </c>
      <c r="M37" s="235" t="s">
        <v>241</v>
      </c>
      <c r="N37" s="235" t="s">
        <v>242</v>
      </c>
      <c r="O37" s="160"/>
      <c r="Q37" s="13">
        <v>3</v>
      </c>
      <c r="R37" s="70">
        <f>Q37*K37</f>
        <v>0.4230943015352381</v>
      </c>
      <c r="S37" s="9"/>
      <c r="T37" s="18"/>
      <c r="U37" s="18"/>
    </row>
    <row r="38" spans="1:21" ht="15" customHeight="1">
      <c r="A38" s="266"/>
      <c r="B38" s="141" t="str">
        <f t="shared" si="10"/>
        <v>Bernard 2017, 22,5, 8y</v>
      </c>
      <c r="C38" s="66" t="s">
        <v>38</v>
      </c>
      <c r="D38" s="67"/>
      <c r="E38" s="153">
        <f t="shared" si="11"/>
        <v>8</v>
      </c>
      <c r="F38" s="154" t="str">
        <f t="shared" si="12"/>
        <v>1265 / 81004</v>
      </c>
      <c r="G38" s="155">
        <f t="shared" si="13"/>
        <v>0.0019520640956002173</v>
      </c>
      <c r="H38" s="154" t="str">
        <f t="shared" si="14"/>
        <v>527 / 29887</v>
      </c>
      <c r="I38" s="155">
        <f t="shared" si="15"/>
        <v>0.002204135577341319</v>
      </c>
      <c r="J38" s="157">
        <v>22.5</v>
      </c>
      <c r="K38" s="28">
        <v>0.14438061807552374</v>
      </c>
      <c r="L38" s="235" t="s">
        <v>243</v>
      </c>
      <c r="M38" s="235" t="s">
        <v>244</v>
      </c>
      <c r="N38" s="235" t="s">
        <v>245</v>
      </c>
      <c r="O38" s="128"/>
      <c r="Q38" s="13">
        <v>3</v>
      </c>
      <c r="R38" s="70">
        <f aca="true" t="shared" si="16" ref="R38:R43">Q38*K38</f>
        <v>0.43314185422657125</v>
      </c>
      <c r="S38" s="9"/>
      <c r="T38" s="18"/>
      <c r="U38" s="18"/>
    </row>
    <row r="39" spans="1:21" ht="15" customHeight="1">
      <c r="A39" s="266"/>
      <c r="B39" s="141" t="str">
        <f t="shared" si="10"/>
        <v>Niccolai 2017, 22,5, 8y</v>
      </c>
      <c r="C39" s="66" t="s">
        <v>38</v>
      </c>
      <c r="D39" s="67"/>
      <c r="E39" s="153">
        <f t="shared" si="11"/>
        <v>8</v>
      </c>
      <c r="F39" s="154" t="str">
        <f t="shared" si="12"/>
        <v>652 / 93540</v>
      </c>
      <c r="G39" s="155">
        <f t="shared" si="13"/>
        <v>0.000871285011759675</v>
      </c>
      <c r="H39" s="154" t="str">
        <f t="shared" si="14"/>
        <v>624 / 30978</v>
      </c>
      <c r="I39" s="155">
        <f t="shared" si="15"/>
        <v>0.0025179159403447607</v>
      </c>
      <c r="J39" s="157">
        <v>22.5</v>
      </c>
      <c r="K39" s="28">
        <v>0.14345136461719318</v>
      </c>
      <c r="L39" s="235" t="s">
        <v>246</v>
      </c>
      <c r="M39" s="235" t="s">
        <v>247</v>
      </c>
      <c r="N39" s="235" t="s">
        <v>248</v>
      </c>
      <c r="O39" s="128"/>
      <c r="Q39" s="13">
        <v>3</v>
      </c>
      <c r="R39" s="70">
        <f t="shared" si="16"/>
        <v>0.4303540938515795</v>
      </c>
      <c r="S39" s="9"/>
      <c r="T39" s="18"/>
      <c r="U39" s="18"/>
    </row>
    <row r="40" spans="1:21" ht="15" customHeight="1">
      <c r="A40" s="266"/>
      <c r="B40" s="141" t="str">
        <f t="shared" si="10"/>
        <v>Gargano 2018, 22,5, 9y</v>
      </c>
      <c r="C40" s="66" t="s">
        <v>38</v>
      </c>
      <c r="D40" s="67"/>
      <c r="E40" s="153">
        <f t="shared" si="11"/>
        <v>9</v>
      </c>
      <c r="F40" s="154" t="str">
        <f t="shared" si="12"/>
        <v>1872 / 193328</v>
      </c>
      <c r="G40" s="155">
        <f t="shared" si="13"/>
        <v>0.0010758917487378962</v>
      </c>
      <c r="H40" s="154" t="str">
        <f t="shared" si="14"/>
        <v>659 / 52471</v>
      </c>
      <c r="I40" s="155">
        <f t="shared" si="15"/>
        <v>0.0013954798311871742</v>
      </c>
      <c r="J40" s="157">
        <v>22.5</v>
      </c>
      <c r="K40" s="28">
        <v>0.1456667420958267</v>
      </c>
      <c r="L40" s="235" t="s">
        <v>249</v>
      </c>
      <c r="M40" s="235" t="s">
        <v>250</v>
      </c>
      <c r="N40" s="235" t="s">
        <v>251</v>
      </c>
      <c r="O40" s="128"/>
      <c r="Q40" s="13">
        <v>3</v>
      </c>
      <c r="R40" s="70">
        <f t="shared" si="16"/>
        <v>0.4370002262874801</v>
      </c>
      <c r="S40" s="9"/>
      <c r="T40" s="18"/>
      <c r="U40" s="18"/>
    </row>
    <row r="41" spans="1:21" ht="15" customHeight="1">
      <c r="A41" s="266"/>
      <c r="B41" s="141" t="str">
        <f t="shared" si="10"/>
        <v>Flagg 2016, 22,5, 8y</v>
      </c>
      <c r="C41" s="66" t="s">
        <v>38</v>
      </c>
      <c r="D41" s="67"/>
      <c r="E41" s="153">
        <f t="shared" si="11"/>
        <v>8</v>
      </c>
      <c r="F41" s="154" t="str">
        <f t="shared" si="12"/>
        <v>27552 / 1986833</v>
      </c>
      <c r="G41" s="155">
        <f t="shared" si="13"/>
        <v>0.001733411917357926</v>
      </c>
      <c r="H41" s="154" t="str">
        <f t="shared" si="14"/>
        <v>4981 / 243067</v>
      </c>
      <c r="I41" s="155">
        <f t="shared" si="15"/>
        <v>0.002561536531079908</v>
      </c>
      <c r="J41" s="157">
        <v>22.5</v>
      </c>
      <c r="K41" s="28">
        <v>0.1495560859589786</v>
      </c>
      <c r="L41" s="235" t="s">
        <v>252</v>
      </c>
      <c r="M41" s="235" t="s">
        <v>253</v>
      </c>
      <c r="N41" s="235" t="s">
        <v>254</v>
      </c>
      <c r="O41" s="128"/>
      <c r="Q41" s="13">
        <v>3</v>
      </c>
      <c r="R41" s="70">
        <f t="shared" si="16"/>
        <v>0.44866825787693576</v>
      </c>
      <c r="S41" s="9"/>
      <c r="T41" s="18"/>
      <c r="U41" s="18"/>
    </row>
    <row r="42" spans="1:21" ht="15" customHeight="1">
      <c r="A42" s="266"/>
      <c r="B42" s="141" t="str">
        <f t="shared" si="10"/>
        <v>Pollock 2014, 22,5, 6y</v>
      </c>
      <c r="C42" s="66" t="s">
        <v>38</v>
      </c>
      <c r="D42" s="67"/>
      <c r="E42" s="153">
        <f t="shared" si="11"/>
        <v>6</v>
      </c>
      <c r="F42" s="154" t="str">
        <f t="shared" si="12"/>
        <v>114 / 32850</v>
      </c>
      <c r="G42" s="155">
        <f t="shared" si="13"/>
        <v>0.0005783866057838661</v>
      </c>
      <c r="H42" s="154" t="str">
        <f t="shared" si="14"/>
        <v>248 / 20891</v>
      </c>
      <c r="I42" s="155">
        <f t="shared" si="15"/>
        <v>0.0019785234470984315</v>
      </c>
      <c r="J42" s="157">
        <v>22.5</v>
      </c>
      <c r="K42" s="28">
        <v>0.12611817037404063</v>
      </c>
      <c r="L42" s="235" t="s">
        <v>255</v>
      </c>
      <c r="M42" s="235" t="s">
        <v>256</v>
      </c>
      <c r="N42" s="235" t="s">
        <v>257</v>
      </c>
      <c r="O42" s="160"/>
      <c r="Q42" s="13">
        <v>3.5</v>
      </c>
      <c r="R42" s="70">
        <f t="shared" si="16"/>
        <v>0.44141359630914223</v>
      </c>
      <c r="S42" s="9"/>
      <c r="T42" s="18"/>
      <c r="U42" s="18"/>
    </row>
    <row r="43" spans="1:21" ht="15" customHeight="1" thickBot="1">
      <c r="A43" s="267"/>
      <c r="B43" s="141" t="str">
        <f t="shared" si="10"/>
        <v>Brotherton 2011, 22,5, 9y</v>
      </c>
      <c r="C43" s="66" t="s">
        <v>38</v>
      </c>
      <c r="D43" s="67"/>
      <c r="E43" s="153">
        <f t="shared" si="11"/>
        <v>9</v>
      </c>
      <c r="F43" s="154" t="str">
        <f t="shared" si="12"/>
        <v>16382 / 959638</v>
      </c>
      <c r="G43" s="155">
        <f t="shared" si="13"/>
        <v>0.0018967800589620484</v>
      </c>
      <c r="H43" s="154" t="str">
        <f t="shared" si="14"/>
        <v>15026 / 626656</v>
      </c>
      <c r="I43" s="155">
        <f t="shared" si="15"/>
        <v>0.0026642297457545377</v>
      </c>
      <c r="J43" s="157">
        <v>22.5</v>
      </c>
      <c r="K43" s="28">
        <v>0.14979558503335763</v>
      </c>
      <c r="L43" s="236" t="s">
        <v>258</v>
      </c>
      <c r="M43" s="235" t="s">
        <v>259</v>
      </c>
      <c r="N43" s="235" t="s">
        <v>260</v>
      </c>
      <c r="O43" s="160"/>
      <c r="Q43" s="13">
        <v>3</v>
      </c>
      <c r="R43" s="70">
        <f t="shared" si="16"/>
        <v>0.44938675510007287</v>
      </c>
      <c r="S43" s="9"/>
      <c r="T43" s="18"/>
      <c r="U43" s="18"/>
    </row>
    <row r="44" spans="1:21" ht="21.75" thickBot="1">
      <c r="A44" s="161" t="s">
        <v>39</v>
      </c>
      <c r="B44" s="162">
        <f>COUNT(E37:E43)</f>
        <v>7</v>
      </c>
      <c r="C44" s="163"/>
      <c r="D44" s="71" t="s">
        <v>99</v>
      </c>
      <c r="E44" s="164">
        <f t="shared" si="11"/>
        <v>8.267503638841223</v>
      </c>
      <c r="F44" s="165" t="str">
        <f t="shared" si="12"/>
        <v>48165 / 3376199</v>
      </c>
      <c r="G44" s="166">
        <f t="shared" si="13"/>
        <v>0.0017195742639015432</v>
      </c>
      <c r="H44" s="165" t="str">
        <f t="shared" si="14"/>
        <v>22841 / 1146532</v>
      </c>
      <c r="I44" s="166">
        <f t="shared" si="15"/>
        <v>0.0024345931588156075</v>
      </c>
      <c r="J44" s="164">
        <v>22.5</v>
      </c>
      <c r="K44" s="167">
        <v>0.9999999999999998</v>
      </c>
      <c r="L44" s="120" t="s">
        <v>261</v>
      </c>
      <c r="M44" s="72"/>
      <c r="N44" s="73"/>
      <c r="O44" s="74"/>
      <c r="R44" s="168">
        <f>SUM(R37:R43)</f>
        <v>3.06305908518702</v>
      </c>
      <c r="S44" s="9"/>
      <c r="T44" s="18"/>
      <c r="U44" s="18"/>
    </row>
    <row r="45" spans="1:15" ht="13.5" thickBot="1">
      <c r="A45" s="75"/>
      <c r="B45" s="75"/>
      <c r="C45" s="76"/>
      <c r="D45" s="77"/>
      <c r="E45" s="78"/>
      <c r="F45" s="79"/>
      <c r="G45" s="80"/>
      <c r="H45" s="79"/>
      <c r="I45" s="81"/>
      <c r="J45" s="82"/>
      <c r="K45" s="83"/>
      <c r="L45" s="72"/>
      <c r="M45" s="73"/>
      <c r="N45" s="73"/>
      <c r="O45" s="83"/>
    </row>
    <row r="46" spans="1:256" ht="48" thickBot="1">
      <c r="A46" s="84"/>
      <c r="B46" s="268" t="s">
        <v>90</v>
      </c>
      <c r="C46" s="269"/>
      <c r="D46" s="269"/>
      <c r="E46" s="269"/>
      <c r="F46" s="269"/>
      <c r="G46" s="269"/>
      <c r="H46" s="269"/>
      <c r="I46" s="270"/>
      <c r="J46" s="85" t="s">
        <v>84</v>
      </c>
      <c r="K46" s="169" t="s">
        <v>88</v>
      </c>
      <c r="L46" s="86" t="s">
        <v>36</v>
      </c>
      <c r="M46" s="87" t="s">
        <v>2</v>
      </c>
      <c r="N46" s="88" t="s">
        <v>3</v>
      </c>
      <c r="O46" s="7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5" ht="18.75">
      <c r="A47" s="271" t="s">
        <v>40</v>
      </c>
      <c r="B47" s="89" t="s">
        <v>41</v>
      </c>
      <c r="C47" s="90">
        <f>I44</f>
        <v>0.0024345931588156075</v>
      </c>
      <c r="D47" s="91" t="s">
        <v>42</v>
      </c>
      <c r="E47" s="91"/>
      <c r="F47" s="91"/>
      <c r="G47" s="91"/>
      <c r="H47" s="92">
        <f>J44</f>
        <v>22.5</v>
      </c>
      <c r="I47" s="93" t="s">
        <v>43</v>
      </c>
      <c r="J47" s="94">
        <v>0.0017</v>
      </c>
      <c r="K47" s="95">
        <v>0.0024</v>
      </c>
      <c r="L47" s="121" t="s">
        <v>261</v>
      </c>
      <c r="M47" s="96" t="s">
        <v>317</v>
      </c>
      <c r="N47" s="229" t="s">
        <v>318</v>
      </c>
      <c r="O47" s="97" t="s">
        <v>44</v>
      </c>
    </row>
    <row r="48" spans="1:15" ht="19.5" thickBot="1">
      <c r="A48" s="272"/>
      <c r="B48" s="170" t="s">
        <v>41</v>
      </c>
      <c r="C48" s="171">
        <f>I44*E44</f>
        <v>0.020128007799605982</v>
      </c>
      <c r="D48" s="172" t="s">
        <v>45</v>
      </c>
      <c r="E48" s="173"/>
      <c r="F48" s="174"/>
      <c r="G48" s="175">
        <f>E44</f>
        <v>8.267503638841223</v>
      </c>
      <c r="H48" s="172" t="s">
        <v>46</v>
      </c>
      <c r="I48" s="176"/>
      <c r="J48" s="177">
        <v>0.0139</v>
      </c>
      <c r="K48" s="178">
        <v>0.0201</v>
      </c>
      <c r="L48" s="179" t="s">
        <v>261</v>
      </c>
      <c r="M48" s="180" t="s">
        <v>319</v>
      </c>
      <c r="N48" s="230" t="s">
        <v>320</v>
      </c>
      <c r="O48" s="181" t="s">
        <v>321</v>
      </c>
    </row>
    <row r="49" spans="1:15" ht="19.5" thickBot="1">
      <c r="A49" s="100"/>
      <c r="B49" s="101"/>
      <c r="C49" s="102"/>
      <c r="D49" s="103"/>
      <c r="E49" s="104"/>
      <c r="F49" s="105"/>
      <c r="G49" s="106"/>
      <c r="H49" s="103"/>
      <c r="I49" s="105"/>
      <c r="J49" s="107"/>
      <c r="K49" s="107"/>
      <c r="L49" s="108"/>
      <c r="M49" s="109"/>
      <c r="N49" s="109"/>
      <c r="O49" s="110"/>
    </row>
    <row r="50" spans="1:15" ht="19.5" thickBot="1">
      <c r="A50" s="111"/>
      <c r="B50" s="111"/>
      <c r="C50" s="83"/>
      <c r="D50" s="83"/>
      <c r="E50" s="83"/>
      <c r="F50" s="83"/>
      <c r="G50" s="83"/>
      <c r="H50" s="83"/>
      <c r="I50" s="207"/>
      <c r="J50" s="208"/>
      <c r="K50" s="209" t="s">
        <v>47</v>
      </c>
      <c r="L50" s="231" t="s">
        <v>322</v>
      </c>
      <c r="M50" s="115"/>
      <c r="N50" s="116"/>
      <c r="O50" s="117"/>
    </row>
    <row r="51" spans="1:11" ht="12.75">
      <c r="A51" s="20"/>
      <c r="C51" s="2"/>
      <c r="I51" s="5" t="s">
        <v>48</v>
      </c>
      <c r="J51" s="211">
        <v>7</v>
      </c>
      <c r="K51" s="211">
        <f>J51</f>
        <v>7</v>
      </c>
    </row>
    <row r="52" spans="1:12" ht="12.75">
      <c r="A52" s="20"/>
      <c r="C52" s="2"/>
      <c r="I52" s="13"/>
      <c r="J52" s="144" t="s">
        <v>14</v>
      </c>
      <c r="K52" s="144" t="s">
        <v>15</v>
      </c>
      <c r="L52" s="144" t="s">
        <v>49</v>
      </c>
    </row>
    <row r="53" spans="9:14" ht="17.25">
      <c r="I53" s="118" t="s">
        <v>50</v>
      </c>
      <c r="J53" s="126">
        <f>J47*1000*J51</f>
        <v>11.9</v>
      </c>
      <c r="K53" s="124">
        <f>K47*1000*K51</f>
        <v>16.8</v>
      </c>
      <c r="L53" s="125">
        <f>((J53*I12)+(K53*J12))/K12</f>
        <v>13.129446525491824</v>
      </c>
      <c r="M53" s="119"/>
      <c r="N53" s="119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</sheetData>
  <sheetProtection/>
  <mergeCells count="20">
    <mergeCell ref="L35:O35"/>
    <mergeCell ref="B46:I46"/>
    <mergeCell ref="A47:A48"/>
    <mergeCell ref="F35:F36"/>
    <mergeCell ref="G35:G36"/>
    <mergeCell ref="H35:H36"/>
    <mergeCell ref="I35:I36"/>
    <mergeCell ref="J35:J36"/>
    <mergeCell ref="K35:K36"/>
    <mergeCell ref="A37:A43"/>
    <mergeCell ref="B3:D3"/>
    <mergeCell ref="E3:G3"/>
    <mergeCell ref="I3:K3"/>
    <mergeCell ref="L3:M3"/>
    <mergeCell ref="D14:F14"/>
    <mergeCell ref="A35:A36"/>
    <mergeCell ref="B35:B36"/>
    <mergeCell ref="C35:C36"/>
    <mergeCell ref="D35:D36"/>
    <mergeCell ref="E35:E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0"/>
  <sheetViews>
    <sheetView zoomScalePageLayoutView="0" workbookViewId="0" topLeftCell="A1">
      <selection activeCell="A1" sqref="A1"/>
    </sheetView>
  </sheetViews>
  <sheetFormatPr defaultColWidth="16.00390625" defaultRowHeight="12.75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6.140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1.57421875" style="2" customWidth="1"/>
    <col min="15" max="15" width="16.7109375" style="2" customWidth="1"/>
    <col min="16" max="16" width="16.00390625" style="2" customWidth="1"/>
    <col min="17" max="17" width="13.8515625" style="2" hidden="1" customWidth="1"/>
    <col min="18" max="18" width="0" style="2" hidden="1" customWidth="1"/>
    <col min="19" max="19" width="34.8515625" style="2" customWidth="1"/>
    <col min="20" max="16384" width="16.00390625" style="2" customWidth="1"/>
  </cols>
  <sheetData>
    <row r="1" spans="1:28" ht="15">
      <c r="A1" s="2" t="s">
        <v>343</v>
      </c>
      <c r="S1" s="9"/>
      <c r="T1" s="18"/>
      <c r="U1" s="18"/>
      <c r="V1" s="18"/>
      <c r="W1" s="18"/>
      <c r="X1" s="18"/>
      <c r="Y1" s="18"/>
      <c r="Z1" s="18"/>
      <c r="AA1" s="18"/>
      <c r="AB1" s="18"/>
    </row>
    <row r="2" spans="1:28" ht="12.75" hidden="1">
      <c r="A2" s="210" t="s">
        <v>89</v>
      </c>
      <c r="B2" s="196" t="str">
        <f>A4</f>
        <v>CAMBIOS en CIN2+, mujeres 25 a 29 años, seguimiento 5 a 8 años</v>
      </c>
      <c r="C2" s="197"/>
      <c r="D2" s="198"/>
      <c r="E2" s="198"/>
      <c r="F2" s="198"/>
      <c r="G2" s="198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5.5" hidden="1">
      <c r="A3" s="21" t="s">
        <v>16</v>
      </c>
      <c r="B3" s="280" t="s">
        <v>17</v>
      </c>
      <c r="C3" s="280"/>
      <c r="D3" s="280"/>
      <c r="E3" s="280" t="s">
        <v>18</v>
      </c>
      <c r="F3" s="280"/>
      <c r="G3" s="280"/>
      <c r="H3" s="136" t="s">
        <v>23</v>
      </c>
      <c r="I3" s="252" t="s">
        <v>24</v>
      </c>
      <c r="J3" s="253"/>
      <c r="K3" s="254"/>
      <c r="L3" s="252" t="s">
        <v>25</v>
      </c>
      <c r="M3" s="254"/>
      <c r="N3" s="137" t="s">
        <v>26</v>
      </c>
      <c r="O3" s="17"/>
      <c r="T3" s="18"/>
      <c r="U3" s="18"/>
      <c r="W3" s="18"/>
      <c r="X3" s="18"/>
      <c r="Y3" s="18"/>
      <c r="Z3" s="18"/>
      <c r="AA3" s="18"/>
      <c r="AB3" s="18"/>
    </row>
    <row r="4" spans="1:28" ht="38.25" hidden="1">
      <c r="A4" s="22" t="s">
        <v>314</v>
      </c>
      <c r="B4" s="23" t="s">
        <v>19</v>
      </c>
      <c r="C4" s="23" t="s">
        <v>20</v>
      </c>
      <c r="D4" s="23" t="s">
        <v>1</v>
      </c>
      <c r="E4" s="23" t="s">
        <v>19</v>
      </c>
      <c r="F4" s="23" t="s">
        <v>20</v>
      </c>
      <c r="G4" s="23" t="s">
        <v>1</v>
      </c>
      <c r="H4" s="138" t="s">
        <v>27</v>
      </c>
      <c r="I4" s="60" t="s">
        <v>14</v>
      </c>
      <c r="J4" s="61" t="s">
        <v>15</v>
      </c>
      <c r="K4" s="60" t="s">
        <v>1</v>
      </c>
      <c r="L4" s="139" t="s">
        <v>14</v>
      </c>
      <c r="M4" s="140" t="s">
        <v>85</v>
      </c>
      <c r="N4" s="59" t="s">
        <v>27</v>
      </c>
      <c r="O4" s="17"/>
      <c r="P4" s="2" t="s">
        <v>10</v>
      </c>
      <c r="Q4" s="2" t="s">
        <v>10</v>
      </c>
      <c r="T4" s="18"/>
      <c r="U4" s="18"/>
      <c r="W4" s="18"/>
      <c r="X4" s="18"/>
      <c r="Y4" s="18"/>
      <c r="Z4" s="18"/>
      <c r="AA4" s="18"/>
      <c r="AB4" s="18"/>
    </row>
    <row r="5" spans="1:28" ht="12.75" hidden="1">
      <c r="A5" s="25" t="s">
        <v>228</v>
      </c>
      <c r="B5" s="26">
        <v>1200</v>
      </c>
      <c r="C5" s="27">
        <f aca="true" t="shared" si="0" ref="C5:C10">D5-B5</f>
        <v>103091</v>
      </c>
      <c r="D5" s="221">
        <v>104291</v>
      </c>
      <c r="E5" s="26">
        <v>2294</v>
      </c>
      <c r="F5" s="27">
        <f aca="true" t="shared" si="1" ref="F5:F10">G5-E5</f>
        <v>306228</v>
      </c>
      <c r="G5" s="221">
        <v>308522</v>
      </c>
      <c r="H5" s="189">
        <v>5</v>
      </c>
      <c r="I5" s="142">
        <f aca="true" t="shared" si="2" ref="I5:I10">D5*H5</f>
        <v>521455</v>
      </c>
      <c r="J5" s="142">
        <f aca="true" t="shared" si="3" ref="J5:J10">G5*H5</f>
        <v>1542610</v>
      </c>
      <c r="K5" s="142">
        <f aca="true" t="shared" si="4" ref="K5:K10">I5+J5</f>
        <v>2064065</v>
      </c>
      <c r="L5" s="143">
        <f aca="true" t="shared" si="5" ref="L5:L11">B5/I5</f>
        <v>0.0023012532241516526</v>
      </c>
      <c r="M5" s="143">
        <f aca="true" t="shared" si="6" ref="M5:M11">E5/J5</f>
        <v>0.0014870900616487642</v>
      </c>
      <c r="N5" s="214">
        <v>27.5</v>
      </c>
      <c r="O5" s="63">
        <f aca="true" t="shared" si="7" ref="O5:O10">N5*(D5+G5)</f>
        <v>11352357.5</v>
      </c>
      <c r="P5" s="64" t="str">
        <f aca="true" t="shared" si="8" ref="P5:P11">CONCATENATE(B5," ",$P$4," ",D5)</f>
        <v>1200 / 104291</v>
      </c>
      <c r="Q5" s="64" t="str">
        <f aca="true" t="shared" si="9" ref="Q5:Q11">CONCATENATE(E5," ",$Q$4," ",G5)</f>
        <v>2294 / 308522</v>
      </c>
      <c r="T5" s="18"/>
      <c r="U5" s="18"/>
      <c r="W5" s="18"/>
      <c r="X5" s="18"/>
      <c r="Y5" s="18"/>
      <c r="Z5" s="18"/>
      <c r="AA5" s="18"/>
      <c r="AB5" s="18"/>
    </row>
    <row r="6" spans="1:28" ht="12.75" hidden="1">
      <c r="A6" s="25" t="s">
        <v>229</v>
      </c>
      <c r="B6" s="26">
        <v>1595</v>
      </c>
      <c r="C6" s="27">
        <f t="shared" si="0"/>
        <v>90544</v>
      </c>
      <c r="D6" s="221">
        <v>92139</v>
      </c>
      <c r="E6" s="26">
        <v>358</v>
      </c>
      <c r="F6" s="27">
        <f t="shared" si="1"/>
        <v>28346</v>
      </c>
      <c r="G6" s="221">
        <v>28704</v>
      </c>
      <c r="H6" s="189">
        <v>8</v>
      </c>
      <c r="I6" s="142">
        <f t="shared" si="2"/>
        <v>737112</v>
      </c>
      <c r="J6" s="142">
        <f t="shared" si="3"/>
        <v>229632</v>
      </c>
      <c r="K6" s="142">
        <f t="shared" si="4"/>
        <v>966744</v>
      </c>
      <c r="L6" s="143">
        <f t="shared" si="5"/>
        <v>0.0021638502697012125</v>
      </c>
      <c r="M6" s="143">
        <f t="shared" si="6"/>
        <v>0.0015590161649944258</v>
      </c>
      <c r="N6" s="214">
        <v>27.5</v>
      </c>
      <c r="O6" s="63">
        <f t="shared" si="7"/>
        <v>3323182.5</v>
      </c>
      <c r="P6" s="64" t="str">
        <f t="shared" si="8"/>
        <v>1595 / 92139</v>
      </c>
      <c r="Q6" s="64" t="str">
        <f t="shared" si="9"/>
        <v>358 / 28704</v>
      </c>
      <c r="T6" s="18"/>
      <c r="U6" s="18"/>
      <c r="W6" s="18"/>
      <c r="X6" s="18"/>
      <c r="Y6" s="18"/>
      <c r="Z6" s="18"/>
      <c r="AA6" s="18"/>
      <c r="AB6" s="18"/>
    </row>
    <row r="7" spans="1:28" ht="12.75" hidden="1">
      <c r="A7" s="25" t="s">
        <v>230</v>
      </c>
      <c r="B7" s="26">
        <v>868</v>
      </c>
      <c r="C7" s="27">
        <f>D7-B7</f>
        <v>100434</v>
      </c>
      <c r="D7" s="221">
        <v>101302</v>
      </c>
      <c r="E7" s="26">
        <v>491</v>
      </c>
      <c r="F7" s="27">
        <f t="shared" si="1"/>
        <v>54446</v>
      </c>
      <c r="G7" s="221">
        <v>54937</v>
      </c>
      <c r="H7" s="189">
        <v>8</v>
      </c>
      <c r="I7" s="142">
        <f t="shared" si="2"/>
        <v>810416</v>
      </c>
      <c r="J7" s="142">
        <f t="shared" si="3"/>
        <v>439496</v>
      </c>
      <c r="K7" s="142">
        <f t="shared" si="4"/>
        <v>1249912</v>
      </c>
      <c r="L7" s="143">
        <f t="shared" si="5"/>
        <v>0.0010710548656492468</v>
      </c>
      <c r="M7" s="143">
        <f t="shared" si="6"/>
        <v>0.0011171887798751296</v>
      </c>
      <c r="N7" s="214">
        <v>27.5</v>
      </c>
      <c r="O7" s="63">
        <f t="shared" si="7"/>
        <v>4296572.5</v>
      </c>
      <c r="P7" s="64" t="str">
        <f t="shared" si="8"/>
        <v>868 / 101302</v>
      </c>
      <c r="Q7" s="64" t="str">
        <f t="shared" si="9"/>
        <v>491 / 54937</v>
      </c>
      <c r="T7" s="18"/>
      <c r="U7" s="18"/>
      <c r="W7" s="18"/>
      <c r="X7" s="18"/>
      <c r="Y7" s="18"/>
      <c r="Z7" s="18"/>
      <c r="AA7" s="18"/>
      <c r="AB7" s="18"/>
    </row>
    <row r="8" spans="1:28" ht="12.75" hidden="1">
      <c r="A8" s="25" t="s">
        <v>231</v>
      </c>
      <c r="B8" s="26">
        <v>3566</v>
      </c>
      <c r="C8" s="27">
        <f t="shared" si="0"/>
        <v>289374</v>
      </c>
      <c r="D8" s="221">
        <v>292940</v>
      </c>
      <c r="E8" s="26">
        <v>731</v>
      </c>
      <c r="F8" s="27">
        <f t="shared" si="1"/>
        <v>73783</v>
      </c>
      <c r="G8" s="221">
        <v>74514</v>
      </c>
      <c r="H8" s="189">
        <v>9</v>
      </c>
      <c r="I8" s="142">
        <f t="shared" si="2"/>
        <v>2636460</v>
      </c>
      <c r="J8" s="142">
        <f t="shared" si="3"/>
        <v>670626</v>
      </c>
      <c r="K8" s="142">
        <f t="shared" si="4"/>
        <v>3307086</v>
      </c>
      <c r="L8" s="143">
        <f t="shared" si="5"/>
        <v>0.0013525712508439347</v>
      </c>
      <c r="M8" s="143">
        <f t="shared" si="6"/>
        <v>0.0010900263336047216</v>
      </c>
      <c r="N8" s="214">
        <v>27.5</v>
      </c>
      <c r="O8" s="63">
        <f t="shared" si="7"/>
        <v>10104985</v>
      </c>
      <c r="P8" s="64" t="str">
        <f t="shared" si="8"/>
        <v>3566 / 292940</v>
      </c>
      <c r="Q8" s="64" t="str">
        <f t="shared" si="9"/>
        <v>731 / 74514</v>
      </c>
      <c r="T8" s="18"/>
      <c r="U8" s="18"/>
      <c r="W8" s="18"/>
      <c r="X8" s="18"/>
      <c r="Y8" s="18"/>
      <c r="Z8" s="18"/>
      <c r="AA8" s="18"/>
      <c r="AB8" s="18"/>
    </row>
    <row r="9" spans="1:28" ht="12.75" hidden="1">
      <c r="A9" s="25" t="s">
        <v>232</v>
      </c>
      <c r="B9" s="26">
        <v>28506</v>
      </c>
      <c r="C9" s="27">
        <f t="shared" si="0"/>
        <v>1974863</v>
      </c>
      <c r="D9" s="221">
        <v>2003369</v>
      </c>
      <c r="E9" s="26">
        <v>4811</v>
      </c>
      <c r="F9" s="27">
        <f t="shared" si="1"/>
        <v>333900</v>
      </c>
      <c r="G9" s="221">
        <v>338711</v>
      </c>
      <c r="H9" s="189">
        <v>8</v>
      </c>
      <c r="I9" s="142">
        <f t="shared" si="2"/>
        <v>16026952</v>
      </c>
      <c r="J9" s="142">
        <f t="shared" si="3"/>
        <v>2709688</v>
      </c>
      <c r="K9" s="142">
        <f t="shared" si="4"/>
        <v>18736640</v>
      </c>
      <c r="L9" s="143">
        <f t="shared" si="5"/>
        <v>0.0017786288996185925</v>
      </c>
      <c r="M9" s="143">
        <f t="shared" si="6"/>
        <v>0.0017754811624068896</v>
      </c>
      <c r="N9" s="214">
        <v>27.5</v>
      </c>
      <c r="O9" s="63">
        <f t="shared" si="7"/>
        <v>64407200</v>
      </c>
      <c r="P9" s="64" t="str">
        <f t="shared" si="8"/>
        <v>28506 / 2003369</v>
      </c>
      <c r="Q9" s="64" t="str">
        <f t="shared" si="9"/>
        <v>4811 / 338711</v>
      </c>
      <c r="T9" s="18"/>
      <c r="U9" s="18"/>
      <c r="W9" s="18"/>
      <c r="X9" s="18"/>
      <c r="Y9" s="18"/>
      <c r="Z9" s="18"/>
      <c r="AA9" s="18"/>
      <c r="AB9" s="18"/>
    </row>
    <row r="10" spans="1:28" ht="12.75" hidden="1">
      <c r="A10" s="25" t="s">
        <v>233</v>
      </c>
      <c r="B10" s="26">
        <v>30885</v>
      </c>
      <c r="C10" s="27">
        <f t="shared" si="0"/>
        <v>1231782</v>
      </c>
      <c r="D10" s="221">
        <v>1262667</v>
      </c>
      <c r="E10" s="26">
        <v>16145</v>
      </c>
      <c r="F10" s="27">
        <f t="shared" si="1"/>
        <v>708329</v>
      </c>
      <c r="G10" s="221">
        <v>724474</v>
      </c>
      <c r="H10" s="189">
        <v>9</v>
      </c>
      <c r="I10" s="142">
        <f t="shared" si="2"/>
        <v>11364003</v>
      </c>
      <c r="J10" s="142">
        <f t="shared" si="3"/>
        <v>6520266</v>
      </c>
      <c r="K10" s="142">
        <f t="shared" si="4"/>
        <v>17884269</v>
      </c>
      <c r="L10" s="143">
        <f t="shared" si="5"/>
        <v>0.0027177923131488087</v>
      </c>
      <c r="M10" s="143">
        <f t="shared" si="6"/>
        <v>0.002476125974001674</v>
      </c>
      <c r="N10" s="214">
        <v>27.5</v>
      </c>
      <c r="O10" s="63">
        <f t="shared" si="7"/>
        <v>54646377.5</v>
      </c>
      <c r="P10" s="64" t="str">
        <f t="shared" si="8"/>
        <v>30885 / 1262667</v>
      </c>
      <c r="Q10" s="64" t="str">
        <f t="shared" si="9"/>
        <v>16145 / 724474</v>
      </c>
      <c r="T10" s="18"/>
      <c r="U10" s="18"/>
      <c r="W10" s="18"/>
      <c r="X10" s="18"/>
      <c r="Y10" s="18"/>
      <c r="Z10" s="18"/>
      <c r="AA10" s="18"/>
      <c r="AB10" s="18"/>
    </row>
    <row r="11" spans="1:28" ht="12.75" hidden="1">
      <c r="A11" s="145">
        <f>COUNT(D5:D10)</f>
        <v>6</v>
      </c>
      <c r="B11" s="146">
        <f>SUM(B5:B10)</f>
        <v>66620</v>
      </c>
      <c r="C11" s="147">
        <v>23009</v>
      </c>
      <c r="D11" s="146">
        <f>SUM(D5:D10)</f>
        <v>3856708</v>
      </c>
      <c r="E11" s="146">
        <f>SUM(E5:E10)</f>
        <v>24830</v>
      </c>
      <c r="F11" s="147">
        <v>28669.98</v>
      </c>
      <c r="G11" s="146">
        <f>SUM(G5:G10)</f>
        <v>1529862</v>
      </c>
      <c r="H11" s="148">
        <f>K11/(D11+G11)</f>
        <v>8.207210896730201</v>
      </c>
      <c r="I11" s="149">
        <f>SUM(I5:I10)</f>
        <v>32096398</v>
      </c>
      <c r="J11" s="149">
        <f>SUM(J5:J10)</f>
        <v>12112318</v>
      </c>
      <c r="K11" s="149">
        <f>SUM(K5:K10)</f>
        <v>44208716</v>
      </c>
      <c r="L11" s="150">
        <f t="shared" si="5"/>
        <v>0.0020756223174949414</v>
      </c>
      <c r="M11" s="150">
        <f t="shared" si="6"/>
        <v>0.002049979202989882</v>
      </c>
      <c r="N11" s="151">
        <f>O11/(D11+G11)</f>
        <v>27.5</v>
      </c>
      <c r="O11" s="152">
        <f>SUM(O5:O10)</f>
        <v>148130675</v>
      </c>
      <c r="P11" s="65" t="str">
        <f t="shared" si="8"/>
        <v>66620 / 3856708</v>
      </c>
      <c r="Q11" s="65" t="str">
        <f t="shared" si="9"/>
        <v>24830 / 1529862</v>
      </c>
      <c r="T11" s="18"/>
      <c r="U11" s="18"/>
      <c r="W11" s="18"/>
      <c r="X11" s="18"/>
      <c r="Y11" s="18"/>
      <c r="Z11" s="18"/>
      <c r="AA11" s="18"/>
      <c r="AB11" s="18"/>
    </row>
    <row r="12" spans="2:28" ht="15.75" hidden="1" thickBot="1">
      <c r="B12" s="2"/>
      <c r="C12" s="2"/>
      <c r="E12" s="3"/>
      <c r="F12" s="29"/>
      <c r="S12" s="9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5.75" hidden="1" thickBot="1">
      <c r="A13" s="18"/>
      <c r="B13" s="34" t="s">
        <v>51</v>
      </c>
      <c r="C13" s="199">
        <v>0.01682461165284885</v>
      </c>
      <c r="D13" s="255" t="s">
        <v>13</v>
      </c>
      <c r="E13" s="256"/>
      <c r="F13" s="257"/>
      <c r="S13" s="9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26.25" hidden="1" thickBot="1">
      <c r="A14" s="185">
        <f>I42</f>
        <v>0.002049979202989882</v>
      </c>
      <c r="B14" s="186" t="s">
        <v>52</v>
      </c>
      <c r="C14" s="12"/>
      <c r="D14" s="10" t="s">
        <v>12</v>
      </c>
      <c r="E14" s="11" t="s">
        <v>21</v>
      </c>
      <c r="F14" s="10" t="s">
        <v>22</v>
      </c>
      <c r="S14" s="9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5.75" hidden="1" thickBot="1">
      <c r="A15" s="187">
        <f>E42</f>
        <v>8.207210896730201</v>
      </c>
      <c r="B15" s="188" t="s">
        <v>53</v>
      </c>
      <c r="C15" s="12"/>
      <c r="D15" s="200">
        <v>1.19</v>
      </c>
      <c r="E15" s="201">
        <v>1.06</v>
      </c>
      <c r="F15" s="202">
        <v>1.32</v>
      </c>
      <c r="G15" s="12"/>
      <c r="S15" s="9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5.75" hidden="1" thickBot="1">
      <c r="A16" s="36"/>
      <c r="B16" s="35"/>
      <c r="C16" s="18"/>
      <c r="D16" s="18"/>
      <c r="E16" s="18"/>
      <c r="F16" s="18"/>
      <c r="G16" s="18"/>
      <c r="S16" s="9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5.75" hidden="1" thickBot="1">
      <c r="A17" s="36"/>
      <c r="B17" s="37"/>
      <c r="C17" s="38"/>
      <c r="D17" s="39">
        <f>C13*D15</f>
        <v>0.02002128786689013</v>
      </c>
      <c r="E17" s="40">
        <f>C13*E15</f>
        <v>0.017834088352019783</v>
      </c>
      <c r="F17" s="41">
        <f>C13*F15</f>
        <v>0.022208487381760483</v>
      </c>
      <c r="G17" s="18"/>
      <c r="S17" s="9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5.75" hidden="1" thickBot="1">
      <c r="A18" s="36"/>
      <c r="B18" s="35"/>
      <c r="C18" s="18"/>
      <c r="D18" s="18"/>
      <c r="E18" s="18"/>
      <c r="F18" s="18"/>
      <c r="G18" s="18"/>
      <c r="S18" s="9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5.75" hidden="1" thickBot="1">
      <c r="A19" s="36"/>
      <c r="B19" s="42"/>
      <c r="C19" s="43" t="s">
        <v>2</v>
      </c>
      <c r="D19" s="44">
        <f>C13-D17</f>
        <v>-0.0031966762140412802</v>
      </c>
      <c r="E19" s="45">
        <f>C13-F17</f>
        <v>-0.005383875728911632</v>
      </c>
      <c r="F19" s="46">
        <f>C13-E17</f>
        <v>-0.0010094766991709317</v>
      </c>
      <c r="G19" s="18"/>
      <c r="S19" s="9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5.75" hidden="1" thickBot="1">
      <c r="A20" s="36"/>
      <c r="B20" s="47"/>
      <c r="C20" s="48" t="s">
        <v>3</v>
      </c>
      <c r="D20" s="49">
        <f>1/D19</f>
        <v>-312.8249259676465</v>
      </c>
      <c r="E20" s="50">
        <f>1/F19</f>
        <v>-990.6122655642129</v>
      </c>
      <c r="F20" s="51">
        <f>1/E19</f>
        <v>-185.73979979329002</v>
      </c>
      <c r="G20" s="18"/>
      <c r="S20" s="9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5" hidden="1">
      <c r="A21" s="36"/>
      <c r="B21" s="35"/>
      <c r="C21" s="12"/>
      <c r="D21" s="12"/>
      <c r="E21" s="12"/>
      <c r="F21" s="12"/>
      <c r="G21" s="18"/>
      <c r="S21" s="9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5" hidden="1">
      <c r="A22" s="36"/>
      <c r="B22" s="129" t="s">
        <v>4</v>
      </c>
      <c r="C22" s="130"/>
      <c r="D22" s="130"/>
      <c r="E22" s="131">
        <f>ROUND(D15,2)</f>
        <v>1.19</v>
      </c>
      <c r="F22" s="132">
        <f>ROUND(D19,4)</f>
        <v>-0.0032</v>
      </c>
      <c r="G22" s="133">
        <f>ROUND(D20,0)</f>
        <v>-313</v>
      </c>
      <c r="S22" s="9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5" hidden="1">
      <c r="A23" s="36"/>
      <c r="B23" s="52" t="s">
        <v>6</v>
      </c>
      <c r="C23" s="53">
        <f>ROUND(D17,4)</f>
        <v>0.02</v>
      </c>
      <c r="D23" s="54">
        <f>ROUND(C13,4)</f>
        <v>0.0168</v>
      </c>
      <c r="E23" s="6">
        <f>ROUND(E15,2)</f>
        <v>1.06</v>
      </c>
      <c r="F23" s="7">
        <f>ROUND(E19,4)</f>
        <v>-0.0054</v>
      </c>
      <c r="G23" s="8">
        <f>ROUND(E20,0)</f>
        <v>-991</v>
      </c>
      <c r="S23" s="9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" hidden="1">
      <c r="A24" s="36"/>
      <c r="B24" s="52" t="s">
        <v>5</v>
      </c>
      <c r="C24" s="14"/>
      <c r="D24" s="14"/>
      <c r="E24" s="6">
        <f>ROUND(F15,2)</f>
        <v>1.32</v>
      </c>
      <c r="F24" s="7">
        <f>ROUND(F19,4)</f>
        <v>-0.001</v>
      </c>
      <c r="G24" s="8">
        <f>ROUND(F20,0)</f>
        <v>-186</v>
      </c>
      <c r="S24" s="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 hidden="1">
      <c r="A25" s="36"/>
      <c r="B25" s="52" t="s">
        <v>7</v>
      </c>
      <c r="C25" s="134" t="s">
        <v>54</v>
      </c>
      <c r="D25" s="134" t="s">
        <v>11</v>
      </c>
      <c r="E25" s="135" t="s">
        <v>8</v>
      </c>
      <c r="F25" s="135" t="s">
        <v>9</v>
      </c>
      <c r="G25" s="134" t="s">
        <v>3</v>
      </c>
      <c r="S25" s="9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" hidden="1">
      <c r="A26" s="36"/>
      <c r="B26" s="55" t="s">
        <v>0</v>
      </c>
      <c r="C26" s="134" t="str">
        <f>CONCATENATE(C23*100,B25)</f>
        <v>2%</v>
      </c>
      <c r="D26" s="134" t="str">
        <f>CONCATENATE(D23*100,B25)</f>
        <v>1,68%</v>
      </c>
      <c r="E26" s="134" t="str">
        <f>CONCATENATE(E22," ",B22,E23,B23,E24,B24)</f>
        <v>1,19 (1,06-1,32)</v>
      </c>
      <c r="F26" s="134" t="str">
        <f>CONCATENATE(F22*100,B25," ",B22,F23*100,B25," ",B26," ",F24*100,B25,B24)</f>
        <v>-0,32% (-0,54% a -0,1%)</v>
      </c>
      <c r="G26" s="134" t="str">
        <f>CONCATENATE(G22," ",B22,G23," ",B26," ",G24,B24)</f>
        <v>-313 (-991 a -186)</v>
      </c>
      <c r="S26" s="9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5" hidden="1">
      <c r="A27" s="56"/>
      <c r="B27" s="4"/>
      <c r="C27" s="19"/>
      <c r="D27" s="19"/>
      <c r="E27" s="19"/>
      <c r="F27" s="19"/>
      <c r="G27" s="19"/>
      <c r="S27" s="9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5.75" hidden="1" thickBot="1">
      <c r="A28" s="185">
        <f>A14*A15</f>
        <v>0.01682461165284885</v>
      </c>
      <c r="B28" s="186" t="s">
        <v>55</v>
      </c>
      <c r="C28" s="18"/>
      <c r="D28" s="18"/>
      <c r="E28" s="18"/>
      <c r="F28" s="18"/>
      <c r="G28" s="18"/>
      <c r="S28" s="9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5.75" hidden="1" thickBot="1">
      <c r="A29" s="57"/>
      <c r="B29" s="18"/>
      <c r="C29" s="193" t="s">
        <v>56</v>
      </c>
      <c r="D29" s="194" t="s">
        <v>11</v>
      </c>
      <c r="E29" s="194" t="s">
        <v>8</v>
      </c>
      <c r="F29" s="194" t="s">
        <v>2</v>
      </c>
      <c r="G29" s="195" t="s">
        <v>3</v>
      </c>
      <c r="S29" s="9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26.25" hidden="1" thickBot="1">
      <c r="A30" s="58"/>
      <c r="B30" s="15"/>
      <c r="C30" s="190" t="str">
        <f>C26</f>
        <v>2%</v>
      </c>
      <c r="D30" s="191" t="str">
        <f>D26</f>
        <v>1,68%</v>
      </c>
      <c r="E30" s="191" t="str">
        <f>E26</f>
        <v>1,19 (1,06-1,32)</v>
      </c>
      <c r="F30" s="191" t="str">
        <f>F26</f>
        <v>-0,32% (-0,54% a -0,1%)</v>
      </c>
      <c r="G30" s="192" t="str">
        <f>G26</f>
        <v>-313 (-991 a -186)</v>
      </c>
      <c r="S30" s="9"/>
      <c r="T30" s="18"/>
      <c r="U30" s="18"/>
      <c r="V30" s="18"/>
      <c r="W30" s="18"/>
      <c r="X30" s="18"/>
      <c r="Y30" s="18"/>
      <c r="Z30" s="18"/>
      <c r="AA30" s="18"/>
      <c r="AB30" s="18"/>
    </row>
    <row r="31" spans="2:28" ht="15" hidden="1">
      <c r="B31" s="2"/>
      <c r="C31" s="2"/>
      <c r="E31" s="3"/>
      <c r="F31" s="29"/>
      <c r="S31" s="9"/>
      <c r="T31" s="18"/>
      <c r="U31" s="18"/>
      <c r="V31" s="18"/>
      <c r="W31" s="18"/>
      <c r="X31" s="18"/>
      <c r="Y31" s="18"/>
      <c r="Z31" s="18"/>
      <c r="AA31" s="18"/>
      <c r="AB31" s="18"/>
    </row>
    <row r="32" spans="4:28" ht="13.5" customHeight="1" thickBot="1">
      <c r="D32" s="3"/>
      <c r="E32" s="3"/>
      <c r="S32" s="9"/>
      <c r="T32" s="18"/>
      <c r="U32" s="18"/>
      <c r="V32" s="18"/>
      <c r="W32" s="18"/>
      <c r="X32" s="18"/>
      <c r="Y32" s="18"/>
      <c r="Z32" s="18"/>
      <c r="AA32" s="18"/>
      <c r="AB32" s="18"/>
    </row>
    <row r="33" spans="1:21" ht="22.5" customHeight="1" thickBot="1">
      <c r="A33" s="237" t="s">
        <v>332</v>
      </c>
      <c r="B33" s="184" t="str">
        <f>B2</f>
        <v>CAMBIOS en CIN2+, mujeres 25 a 29 años, seguimiento 5 a 8 años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3"/>
      <c r="S33" s="9"/>
      <c r="T33" s="18"/>
      <c r="U33" s="18"/>
    </row>
    <row r="34" spans="1:21" ht="36" customHeight="1" thickBot="1">
      <c r="A34" s="262" t="s">
        <v>28</v>
      </c>
      <c r="B34" s="262" t="s">
        <v>29</v>
      </c>
      <c r="C34" s="273" t="s">
        <v>30</v>
      </c>
      <c r="D34" s="250" t="s">
        <v>31</v>
      </c>
      <c r="E34" s="262" t="s">
        <v>32</v>
      </c>
      <c r="F34" s="262" t="s">
        <v>82</v>
      </c>
      <c r="G34" s="262" t="s">
        <v>83</v>
      </c>
      <c r="H34" s="262" t="s">
        <v>86</v>
      </c>
      <c r="I34" s="262" t="s">
        <v>87</v>
      </c>
      <c r="J34" s="262" t="s">
        <v>33</v>
      </c>
      <c r="K34" s="275" t="s">
        <v>34</v>
      </c>
      <c r="L34" s="259" t="s">
        <v>35</v>
      </c>
      <c r="M34" s="260"/>
      <c r="N34" s="260"/>
      <c r="O34" s="261"/>
      <c r="S34" s="9"/>
      <c r="T34" s="18"/>
      <c r="U34" s="18"/>
    </row>
    <row r="35" spans="1:21" ht="43.5" customHeight="1" thickBot="1">
      <c r="A35" s="263"/>
      <c r="B35" s="263"/>
      <c r="C35" s="274"/>
      <c r="D35" s="251"/>
      <c r="E35" s="263"/>
      <c r="F35" s="263"/>
      <c r="G35" s="263"/>
      <c r="H35" s="263"/>
      <c r="I35" s="263"/>
      <c r="J35" s="263"/>
      <c r="K35" s="276"/>
      <c r="L35" s="232" t="s">
        <v>36</v>
      </c>
      <c r="M35" s="233" t="s">
        <v>2</v>
      </c>
      <c r="N35" s="234" t="s">
        <v>3</v>
      </c>
      <c r="O35" s="206" t="s">
        <v>37</v>
      </c>
      <c r="S35" s="9"/>
      <c r="T35" s="18"/>
      <c r="U35" s="18"/>
    </row>
    <row r="36" spans="1:21" ht="15" customHeight="1">
      <c r="A36" s="265">
        <v>8</v>
      </c>
      <c r="B36" s="141" t="str">
        <f aca="true" t="shared" si="10" ref="B36:B41">A5</f>
        <v>Nygard 2017, 27,5, 5y</v>
      </c>
      <c r="C36" s="66" t="s">
        <v>38</v>
      </c>
      <c r="D36" s="67"/>
      <c r="E36" s="153">
        <f aca="true" t="shared" si="11" ref="E36:E42">H5</f>
        <v>5</v>
      </c>
      <c r="F36" s="154" t="str">
        <f aca="true" t="shared" si="12" ref="F36:F42">P5</f>
        <v>1200 / 104291</v>
      </c>
      <c r="G36" s="155">
        <f aca="true" t="shared" si="13" ref="G36:G42">L5</f>
        <v>0.0023012532241516526</v>
      </c>
      <c r="H36" s="154" t="str">
        <f aca="true" t="shared" si="14" ref="H36:H42">Q5</f>
        <v>2294 / 308522</v>
      </c>
      <c r="I36" s="156">
        <f aca="true" t="shared" si="15" ref="I36:I42">M5</f>
        <v>0.0014870900616487642</v>
      </c>
      <c r="J36" s="157">
        <v>27.5</v>
      </c>
      <c r="K36" s="28">
        <v>0.1692321874209711</v>
      </c>
      <c r="L36" s="235" t="s">
        <v>262</v>
      </c>
      <c r="M36" s="235" t="s">
        <v>263</v>
      </c>
      <c r="N36" s="235" t="s">
        <v>264</v>
      </c>
      <c r="O36" s="160"/>
      <c r="Q36" s="13">
        <v>3</v>
      </c>
      <c r="R36" s="70">
        <f aca="true" t="shared" si="16" ref="R36:R41">Q36*K36</f>
        <v>0.5076965622629133</v>
      </c>
      <c r="S36" s="9"/>
      <c r="T36" s="18"/>
      <c r="U36" s="18"/>
    </row>
    <row r="37" spans="1:21" ht="15" customHeight="1">
      <c r="A37" s="266"/>
      <c r="B37" s="141" t="str">
        <f t="shared" si="10"/>
        <v>Bernard 2017, 27,5, 8y</v>
      </c>
      <c r="C37" s="66" t="s">
        <v>38</v>
      </c>
      <c r="D37" s="67"/>
      <c r="E37" s="153">
        <f t="shared" si="11"/>
        <v>8</v>
      </c>
      <c r="F37" s="154" t="str">
        <f t="shared" si="12"/>
        <v>1595 / 92139</v>
      </c>
      <c r="G37" s="155">
        <f t="shared" si="13"/>
        <v>0.0021638502697012125</v>
      </c>
      <c r="H37" s="154" t="str">
        <f t="shared" si="14"/>
        <v>358 / 28704</v>
      </c>
      <c r="I37" s="155">
        <f t="shared" si="15"/>
        <v>0.0015590161649944258</v>
      </c>
      <c r="J37" s="157">
        <v>27.5</v>
      </c>
      <c r="K37" s="28">
        <v>0.1517591283683743</v>
      </c>
      <c r="L37" s="235" t="s">
        <v>265</v>
      </c>
      <c r="M37" s="235" t="s">
        <v>266</v>
      </c>
      <c r="N37" s="235" t="s">
        <v>267</v>
      </c>
      <c r="O37" s="128"/>
      <c r="Q37" s="13">
        <v>3</v>
      </c>
      <c r="R37" s="70">
        <f t="shared" si="16"/>
        <v>0.4552773851051229</v>
      </c>
      <c r="S37" s="9"/>
      <c r="T37" s="18"/>
      <c r="U37" s="18"/>
    </row>
    <row r="38" spans="1:21" ht="15" customHeight="1">
      <c r="A38" s="266"/>
      <c r="B38" s="141" t="str">
        <f t="shared" si="10"/>
        <v>Niccolai 2017, 27,5, 8y</v>
      </c>
      <c r="C38" s="66" t="s">
        <v>38</v>
      </c>
      <c r="D38" s="67"/>
      <c r="E38" s="153">
        <f t="shared" si="11"/>
        <v>8</v>
      </c>
      <c r="F38" s="154" t="str">
        <f t="shared" si="12"/>
        <v>868 / 101302</v>
      </c>
      <c r="G38" s="155">
        <f t="shared" si="13"/>
        <v>0.0010710548656492468</v>
      </c>
      <c r="H38" s="154" t="str">
        <f t="shared" si="14"/>
        <v>491 / 54937</v>
      </c>
      <c r="I38" s="155">
        <f t="shared" si="15"/>
        <v>0.0011171887798751296</v>
      </c>
      <c r="J38" s="157">
        <v>27.5</v>
      </c>
      <c r="K38" s="28">
        <v>0.15335816246663464</v>
      </c>
      <c r="L38" s="235" t="s">
        <v>268</v>
      </c>
      <c r="M38" s="235" t="s">
        <v>269</v>
      </c>
      <c r="N38" s="235" t="s">
        <v>270</v>
      </c>
      <c r="O38" s="128"/>
      <c r="Q38" s="13">
        <v>3</v>
      </c>
      <c r="R38" s="70">
        <f t="shared" si="16"/>
        <v>0.4600744873999039</v>
      </c>
      <c r="S38" s="9"/>
      <c r="T38" s="18"/>
      <c r="U38" s="18"/>
    </row>
    <row r="39" spans="1:21" ht="15" customHeight="1">
      <c r="A39" s="266"/>
      <c r="B39" s="141" t="str">
        <f t="shared" si="10"/>
        <v>Gargano 2018, 27,5, 9y</v>
      </c>
      <c r="C39" s="66" t="s">
        <v>38</v>
      </c>
      <c r="D39" s="67"/>
      <c r="E39" s="153">
        <f t="shared" si="11"/>
        <v>9</v>
      </c>
      <c r="F39" s="154" t="str">
        <f t="shared" si="12"/>
        <v>3566 / 292940</v>
      </c>
      <c r="G39" s="155">
        <f t="shared" si="13"/>
        <v>0.0013525712508439347</v>
      </c>
      <c r="H39" s="154" t="str">
        <f t="shared" si="14"/>
        <v>731 / 74514</v>
      </c>
      <c r="I39" s="155">
        <f t="shared" si="15"/>
        <v>0.0010900263336047216</v>
      </c>
      <c r="J39" s="157">
        <v>27.5</v>
      </c>
      <c r="K39" s="28">
        <v>0.16585006558209084</v>
      </c>
      <c r="L39" s="235" t="s">
        <v>271</v>
      </c>
      <c r="M39" s="235" t="s">
        <v>272</v>
      </c>
      <c r="N39" s="235" t="s">
        <v>273</v>
      </c>
      <c r="O39" s="128"/>
      <c r="Q39" s="13">
        <v>3</v>
      </c>
      <c r="R39" s="70">
        <f t="shared" si="16"/>
        <v>0.49755019674627254</v>
      </c>
      <c r="S39" s="9"/>
      <c r="T39" s="18"/>
      <c r="U39" s="18"/>
    </row>
    <row r="40" spans="1:21" ht="15" customHeight="1">
      <c r="A40" s="266"/>
      <c r="B40" s="141" t="str">
        <f t="shared" si="10"/>
        <v>Flagg 2016, 27,5, 8y</v>
      </c>
      <c r="C40" s="66" t="s">
        <v>38</v>
      </c>
      <c r="D40" s="67"/>
      <c r="E40" s="153">
        <f t="shared" si="11"/>
        <v>8</v>
      </c>
      <c r="F40" s="154" t="str">
        <f t="shared" si="12"/>
        <v>28506 / 2003369</v>
      </c>
      <c r="G40" s="155">
        <f t="shared" si="13"/>
        <v>0.0017786288996185925</v>
      </c>
      <c r="H40" s="154" t="str">
        <f t="shared" si="14"/>
        <v>4811 / 338711</v>
      </c>
      <c r="I40" s="155">
        <f t="shared" si="15"/>
        <v>0.0017754811624068896</v>
      </c>
      <c r="J40" s="157">
        <v>27.5</v>
      </c>
      <c r="K40" s="28">
        <v>0.17913440890880988</v>
      </c>
      <c r="L40" s="235" t="s">
        <v>274</v>
      </c>
      <c r="M40" s="235" t="s">
        <v>275</v>
      </c>
      <c r="N40" s="235" t="s">
        <v>276</v>
      </c>
      <c r="O40" s="128"/>
      <c r="Q40" s="13">
        <v>3</v>
      </c>
      <c r="R40" s="70">
        <f t="shared" si="16"/>
        <v>0.5374032267264297</v>
      </c>
      <c r="S40" s="9"/>
      <c r="T40" s="18"/>
      <c r="U40" s="18"/>
    </row>
    <row r="41" spans="1:21" ht="15" customHeight="1" thickBot="1">
      <c r="A41" s="267"/>
      <c r="B41" s="141" t="str">
        <f t="shared" si="10"/>
        <v>Brotherton 2018, 27,5, 9y</v>
      </c>
      <c r="C41" s="66" t="s">
        <v>38</v>
      </c>
      <c r="D41" s="67"/>
      <c r="E41" s="153">
        <f t="shared" si="11"/>
        <v>9</v>
      </c>
      <c r="F41" s="154" t="str">
        <f t="shared" si="12"/>
        <v>30885 / 1262667</v>
      </c>
      <c r="G41" s="155">
        <f t="shared" si="13"/>
        <v>0.0027177923131488087</v>
      </c>
      <c r="H41" s="154" t="str">
        <f t="shared" si="14"/>
        <v>16145 / 724474</v>
      </c>
      <c r="I41" s="155">
        <f t="shared" si="15"/>
        <v>0.002476125974001674</v>
      </c>
      <c r="J41" s="157">
        <v>27.5</v>
      </c>
      <c r="K41" s="28">
        <v>0.18066604725311927</v>
      </c>
      <c r="L41" s="236" t="s">
        <v>277</v>
      </c>
      <c r="M41" s="235" t="s">
        <v>278</v>
      </c>
      <c r="N41" s="235" t="s">
        <v>279</v>
      </c>
      <c r="O41" s="160"/>
      <c r="Q41" s="13">
        <v>3.5</v>
      </c>
      <c r="R41" s="70">
        <f t="shared" si="16"/>
        <v>0.6323311653859175</v>
      </c>
      <c r="S41" s="9"/>
      <c r="T41" s="18"/>
      <c r="U41" s="18"/>
    </row>
    <row r="42" spans="1:21" ht="21.75" thickBot="1">
      <c r="A42" s="161" t="s">
        <v>39</v>
      </c>
      <c r="B42" s="162">
        <f>COUNT(E36:E41)</f>
        <v>6</v>
      </c>
      <c r="C42" s="163"/>
      <c r="D42" s="71" t="s">
        <v>99</v>
      </c>
      <c r="E42" s="164">
        <f t="shared" si="11"/>
        <v>8.207210896730201</v>
      </c>
      <c r="F42" s="165" t="str">
        <f t="shared" si="12"/>
        <v>66620 / 3856708</v>
      </c>
      <c r="G42" s="166">
        <f t="shared" si="13"/>
        <v>0.0020756223174949414</v>
      </c>
      <c r="H42" s="165" t="str">
        <f t="shared" si="14"/>
        <v>24830 / 1529862</v>
      </c>
      <c r="I42" s="166">
        <f t="shared" si="15"/>
        <v>0.002049979202989882</v>
      </c>
      <c r="J42" s="164">
        <v>27.5</v>
      </c>
      <c r="K42" s="167">
        <v>0.9999999999999998</v>
      </c>
      <c r="L42" s="120" t="s">
        <v>280</v>
      </c>
      <c r="M42" s="72"/>
      <c r="N42" s="73"/>
      <c r="O42" s="74"/>
      <c r="R42" s="168">
        <f>SUM(R36:R41)</f>
        <v>3.09033302362656</v>
      </c>
      <c r="S42" s="9"/>
      <c r="T42" s="18"/>
      <c r="U42" s="18"/>
    </row>
    <row r="43" spans="1:15" ht="13.5" thickBot="1">
      <c r="A43" s="75"/>
      <c r="B43" s="75"/>
      <c r="C43" s="76"/>
      <c r="D43" s="77"/>
      <c r="E43" s="78"/>
      <c r="F43" s="79"/>
      <c r="G43" s="80"/>
      <c r="H43" s="79"/>
      <c r="I43" s="81"/>
      <c r="J43" s="82"/>
      <c r="K43" s="83"/>
      <c r="L43" s="72"/>
      <c r="M43" s="73"/>
      <c r="N43" s="73"/>
      <c r="O43" s="83"/>
    </row>
    <row r="44" spans="1:256" ht="48" thickBot="1">
      <c r="A44" s="84"/>
      <c r="B44" s="268" t="s">
        <v>90</v>
      </c>
      <c r="C44" s="269"/>
      <c r="D44" s="269"/>
      <c r="E44" s="269"/>
      <c r="F44" s="269"/>
      <c r="G44" s="269"/>
      <c r="H44" s="269"/>
      <c r="I44" s="270"/>
      <c r="J44" s="85" t="s">
        <v>84</v>
      </c>
      <c r="K44" s="169" t="s">
        <v>88</v>
      </c>
      <c r="L44" s="86" t="s">
        <v>36</v>
      </c>
      <c r="M44" s="87" t="s">
        <v>2</v>
      </c>
      <c r="N44" s="88" t="s">
        <v>3</v>
      </c>
      <c r="O44" s="7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15" ht="23.25" customHeight="1">
      <c r="A45" s="271" t="s">
        <v>40</v>
      </c>
      <c r="B45" s="89" t="s">
        <v>41</v>
      </c>
      <c r="C45" s="90">
        <f>I42</f>
        <v>0.002049979202989882</v>
      </c>
      <c r="D45" s="91" t="s">
        <v>42</v>
      </c>
      <c r="E45" s="91"/>
      <c r="F45" s="91"/>
      <c r="G45" s="91"/>
      <c r="H45" s="92">
        <f>J42</f>
        <v>27.5</v>
      </c>
      <c r="I45" s="93" t="s">
        <v>43</v>
      </c>
      <c r="J45" s="94">
        <v>0.0033</v>
      </c>
      <c r="K45" s="95">
        <v>0.0028</v>
      </c>
      <c r="L45" s="121" t="s">
        <v>323</v>
      </c>
      <c r="M45" s="96" t="s">
        <v>324</v>
      </c>
      <c r="N45" s="238" t="s">
        <v>325</v>
      </c>
      <c r="O45" s="97" t="s">
        <v>44</v>
      </c>
    </row>
    <row r="46" spans="1:15" ht="23.25" customHeight="1" thickBot="1">
      <c r="A46" s="272"/>
      <c r="B46" s="170" t="s">
        <v>41</v>
      </c>
      <c r="C46" s="171">
        <f>I42*E42</f>
        <v>0.01682461165284885</v>
      </c>
      <c r="D46" s="172" t="s">
        <v>45</v>
      </c>
      <c r="E46" s="173"/>
      <c r="F46" s="174"/>
      <c r="G46" s="175">
        <f>E42</f>
        <v>8.207210896730201</v>
      </c>
      <c r="H46" s="172" t="s">
        <v>46</v>
      </c>
      <c r="I46" s="176"/>
      <c r="J46" s="246">
        <v>0.02</v>
      </c>
      <c r="K46" s="178">
        <v>0.0168</v>
      </c>
      <c r="L46" s="179" t="s">
        <v>323</v>
      </c>
      <c r="M46" s="180" t="s">
        <v>326</v>
      </c>
      <c r="N46" s="180" t="s">
        <v>327</v>
      </c>
      <c r="O46" s="181" t="s">
        <v>329</v>
      </c>
    </row>
    <row r="47" spans="1:15" ht="19.5" thickBot="1">
      <c r="A47" s="100"/>
      <c r="B47" s="101"/>
      <c r="C47" s="102"/>
      <c r="D47" s="103"/>
      <c r="E47" s="104"/>
      <c r="F47" s="105"/>
      <c r="G47" s="106"/>
      <c r="H47" s="103"/>
      <c r="I47" s="105"/>
      <c r="J47" s="107"/>
      <c r="K47" s="107"/>
      <c r="L47" s="108"/>
      <c r="M47" s="109"/>
      <c r="N47" s="109"/>
      <c r="O47" s="110"/>
    </row>
    <row r="48" spans="1:15" ht="23.25" customHeight="1" thickBot="1">
      <c r="A48" s="111"/>
      <c r="B48" s="111"/>
      <c r="C48" s="83"/>
      <c r="D48" s="83"/>
      <c r="E48" s="83"/>
      <c r="F48" s="83"/>
      <c r="G48" s="83"/>
      <c r="H48" s="83"/>
      <c r="I48" s="207"/>
      <c r="J48" s="208"/>
      <c r="K48" s="209" t="s">
        <v>47</v>
      </c>
      <c r="L48" s="123" t="s">
        <v>328</v>
      </c>
      <c r="M48" s="115"/>
      <c r="N48" s="116"/>
      <c r="O48" s="117"/>
    </row>
    <row r="49" spans="1:11" ht="12.75">
      <c r="A49" s="20"/>
      <c r="C49" s="2"/>
      <c r="I49" s="5" t="s">
        <v>48</v>
      </c>
      <c r="J49" s="211">
        <v>7</v>
      </c>
      <c r="K49" s="211">
        <f>J49</f>
        <v>7</v>
      </c>
    </row>
    <row r="50" spans="1:12" ht="12.75">
      <c r="A50" s="20"/>
      <c r="C50" s="2"/>
      <c r="I50" s="13"/>
      <c r="J50" s="144" t="s">
        <v>14</v>
      </c>
      <c r="K50" s="144" t="s">
        <v>15</v>
      </c>
      <c r="L50" s="144" t="s">
        <v>49</v>
      </c>
    </row>
    <row r="51" spans="9:14" ht="17.25">
      <c r="I51" s="118" t="s">
        <v>50</v>
      </c>
      <c r="J51" s="126">
        <f>J45*1000*J49</f>
        <v>23.099999999999998</v>
      </c>
      <c r="K51" s="124">
        <f>K45*1000*K49</f>
        <v>19.599999999999998</v>
      </c>
      <c r="L51" s="125">
        <f>((J51*I11)+(K51*J11))/K11</f>
        <v>22.141068892387644</v>
      </c>
      <c r="M51" s="119"/>
      <c r="N51" s="119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</sheetData>
  <sheetProtection/>
  <mergeCells count="20">
    <mergeCell ref="B3:D3"/>
    <mergeCell ref="E3:G3"/>
    <mergeCell ref="I3:K3"/>
    <mergeCell ref="L3:M3"/>
    <mergeCell ref="D13:F13"/>
    <mergeCell ref="A34:A35"/>
    <mergeCell ref="B34:B35"/>
    <mergeCell ref="C34:C35"/>
    <mergeCell ref="D34:D35"/>
    <mergeCell ref="E34:E35"/>
    <mergeCell ref="L34:O34"/>
    <mergeCell ref="B44:I44"/>
    <mergeCell ref="A45:A46"/>
    <mergeCell ref="F34:F35"/>
    <mergeCell ref="G34:G35"/>
    <mergeCell ref="H34:H35"/>
    <mergeCell ref="I34:I35"/>
    <mergeCell ref="J34:J35"/>
    <mergeCell ref="K34:K35"/>
    <mergeCell ref="A36:A4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A1" sqref="A1"/>
    </sheetView>
  </sheetViews>
  <sheetFormatPr defaultColWidth="16.00390625" defaultRowHeight="12" customHeight="1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6.140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2.00390625" style="2" customWidth="1"/>
    <col min="15" max="15" width="16.7109375" style="2" customWidth="1"/>
    <col min="16" max="16" width="16.00390625" style="2" customWidth="1"/>
    <col min="17" max="17" width="13.8515625" style="2" hidden="1" customWidth="1"/>
    <col min="18" max="18" width="0" style="2" hidden="1" customWidth="1"/>
    <col min="19" max="19" width="34.8515625" style="2" customWidth="1"/>
    <col min="20" max="16384" width="16.00390625" style="2" customWidth="1"/>
  </cols>
  <sheetData>
    <row r="1" spans="1:28" ht="16.5" customHeight="1">
      <c r="A1" s="2" t="s">
        <v>343</v>
      </c>
      <c r="S1" s="9"/>
      <c r="T1" s="18"/>
      <c r="U1" s="18"/>
      <c r="V1" s="18"/>
      <c r="W1" s="18"/>
      <c r="X1" s="18"/>
      <c r="Y1" s="18"/>
      <c r="Z1" s="18"/>
      <c r="AA1" s="18"/>
      <c r="AB1" s="18"/>
    </row>
    <row r="2" spans="1:28" ht="12" customHeight="1" hidden="1">
      <c r="A2" s="210" t="s">
        <v>89</v>
      </c>
      <c r="B2" s="196" t="str">
        <f>A4</f>
        <v>CAMBIOS en CIN2+, mujeres 30 a 39 años, seguimiento 5 a 8 años</v>
      </c>
      <c r="C2" s="197"/>
      <c r="D2" s="198"/>
      <c r="E2" s="198"/>
      <c r="F2" s="198"/>
      <c r="G2" s="198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12" customHeight="1" hidden="1">
      <c r="A3" s="21" t="s">
        <v>16</v>
      </c>
      <c r="B3" s="280" t="s">
        <v>17</v>
      </c>
      <c r="C3" s="280"/>
      <c r="D3" s="280"/>
      <c r="E3" s="280" t="s">
        <v>18</v>
      </c>
      <c r="F3" s="280"/>
      <c r="G3" s="280"/>
      <c r="H3" s="136" t="s">
        <v>23</v>
      </c>
      <c r="I3" s="252" t="s">
        <v>24</v>
      </c>
      <c r="J3" s="253"/>
      <c r="K3" s="254"/>
      <c r="L3" s="252" t="s">
        <v>25</v>
      </c>
      <c r="M3" s="254"/>
      <c r="N3" s="137" t="s">
        <v>26</v>
      </c>
      <c r="O3" s="17"/>
      <c r="T3" s="18"/>
      <c r="U3" s="18"/>
      <c r="W3" s="18"/>
      <c r="X3" s="18"/>
      <c r="Y3" s="18"/>
      <c r="Z3" s="18"/>
      <c r="AA3" s="18"/>
      <c r="AB3" s="18"/>
    </row>
    <row r="4" spans="1:28" ht="12" customHeight="1" hidden="1">
      <c r="A4" s="22" t="s">
        <v>315</v>
      </c>
      <c r="B4" s="222" t="s">
        <v>19</v>
      </c>
      <c r="C4" s="222" t="s">
        <v>20</v>
      </c>
      <c r="D4" s="222" t="s">
        <v>1</v>
      </c>
      <c r="E4" s="222" t="s">
        <v>19</v>
      </c>
      <c r="F4" s="222" t="s">
        <v>20</v>
      </c>
      <c r="G4" s="222" t="s">
        <v>1</v>
      </c>
      <c r="H4" s="138" t="s">
        <v>27</v>
      </c>
      <c r="I4" s="60" t="s">
        <v>14</v>
      </c>
      <c r="J4" s="61" t="s">
        <v>15</v>
      </c>
      <c r="K4" s="60" t="s">
        <v>1</v>
      </c>
      <c r="L4" s="139" t="s">
        <v>14</v>
      </c>
      <c r="M4" s="140" t="s">
        <v>85</v>
      </c>
      <c r="N4" s="59" t="s">
        <v>27</v>
      </c>
      <c r="O4" s="17"/>
      <c r="P4" s="2" t="s">
        <v>10</v>
      </c>
      <c r="Q4" s="2" t="s">
        <v>10</v>
      </c>
      <c r="T4" s="18"/>
      <c r="U4" s="18"/>
      <c r="W4" s="18"/>
      <c r="X4" s="18"/>
      <c r="Y4" s="18"/>
      <c r="Z4" s="18"/>
      <c r="AA4" s="18"/>
      <c r="AB4" s="18"/>
    </row>
    <row r="5" spans="1:28" ht="12" customHeight="1" hidden="1">
      <c r="A5" s="25" t="s">
        <v>234</v>
      </c>
      <c r="B5" s="223">
        <v>1574</v>
      </c>
      <c r="C5" s="224">
        <f>D5-B5</f>
        <v>240445</v>
      </c>
      <c r="D5" s="247">
        <v>242019</v>
      </c>
      <c r="E5" s="223">
        <v>4206</v>
      </c>
      <c r="F5" s="224">
        <f>G5-E5</f>
        <v>789410</v>
      </c>
      <c r="G5" s="247">
        <v>793616</v>
      </c>
      <c r="H5" s="189">
        <v>5</v>
      </c>
      <c r="I5" s="142">
        <f>D5*H5</f>
        <v>1210095</v>
      </c>
      <c r="J5" s="142">
        <f>G5*H5</f>
        <v>3968080</v>
      </c>
      <c r="K5" s="142">
        <f>I5+J5</f>
        <v>5178175</v>
      </c>
      <c r="L5" s="143">
        <f aca="true" t="shared" si="0" ref="L5:L10">B5/I5</f>
        <v>0.0013007243232969312</v>
      </c>
      <c r="M5" s="143">
        <f aca="true" t="shared" si="1" ref="M5:M10">E5/J5</f>
        <v>0.0010599584685792626</v>
      </c>
      <c r="N5" s="157">
        <v>35</v>
      </c>
      <c r="O5" s="63">
        <f>N5*(D5+G5)</f>
        <v>36247225</v>
      </c>
      <c r="P5" s="64" t="str">
        <f aca="true" t="shared" si="2" ref="P5:P10">CONCATENATE(B5," ",$P$4," ",D5)</f>
        <v>1574 / 242019</v>
      </c>
      <c r="Q5" s="64" t="str">
        <f aca="true" t="shared" si="3" ref="Q5:Q10">CONCATENATE(E5," ",$Q$4," ",G5)</f>
        <v>4206 / 793616</v>
      </c>
      <c r="T5" s="18"/>
      <c r="U5" s="18"/>
      <c r="W5" s="18"/>
      <c r="X5" s="18"/>
      <c r="Y5" s="18"/>
      <c r="Z5" s="18"/>
      <c r="AA5" s="18"/>
      <c r="AB5" s="18"/>
    </row>
    <row r="6" spans="1:28" ht="12" customHeight="1" hidden="1">
      <c r="A6" s="25" t="s">
        <v>235</v>
      </c>
      <c r="B6" s="223">
        <v>1046</v>
      </c>
      <c r="C6" s="224">
        <f>D6-B6</f>
        <v>214070</v>
      </c>
      <c r="D6" s="247">
        <v>215116</v>
      </c>
      <c r="E6" s="223">
        <v>530</v>
      </c>
      <c r="F6" s="224">
        <f>G6-E6</f>
        <v>124689</v>
      </c>
      <c r="G6" s="247">
        <v>125219</v>
      </c>
      <c r="H6" s="189">
        <v>8</v>
      </c>
      <c r="I6" s="142">
        <f>D6*H6</f>
        <v>1720928</v>
      </c>
      <c r="J6" s="142">
        <f>G6*H6</f>
        <v>1001752</v>
      </c>
      <c r="K6" s="142">
        <f>I6+J6</f>
        <v>2722680</v>
      </c>
      <c r="L6" s="143">
        <f t="shared" si="0"/>
        <v>0.0006078115993231559</v>
      </c>
      <c r="M6" s="143">
        <f t="shared" si="1"/>
        <v>0.0005290730639918862</v>
      </c>
      <c r="N6" s="157">
        <v>35</v>
      </c>
      <c r="O6" s="63">
        <f>N6*(D6+G6)</f>
        <v>11911725</v>
      </c>
      <c r="P6" s="64" t="str">
        <f t="shared" si="2"/>
        <v>1046 / 215116</v>
      </c>
      <c r="Q6" s="64" t="str">
        <f t="shared" si="3"/>
        <v>530 / 125219</v>
      </c>
      <c r="T6" s="18"/>
      <c r="U6" s="18"/>
      <c r="W6" s="18"/>
      <c r="X6" s="18"/>
      <c r="Y6" s="18"/>
      <c r="Z6" s="18"/>
      <c r="AA6" s="18"/>
      <c r="AB6" s="18"/>
    </row>
    <row r="7" spans="1:28" ht="12" customHeight="1" hidden="1">
      <c r="A7" s="25" t="s">
        <v>236</v>
      </c>
      <c r="B7" s="223">
        <v>4245</v>
      </c>
      <c r="C7" s="224">
        <f>D7-B7</f>
        <v>466986</v>
      </c>
      <c r="D7" s="247">
        <v>471231</v>
      </c>
      <c r="E7" s="223">
        <v>748</v>
      </c>
      <c r="F7" s="224">
        <f>G7-E7</f>
        <v>114894</v>
      </c>
      <c r="G7" s="247">
        <v>115642</v>
      </c>
      <c r="H7" s="189">
        <v>9</v>
      </c>
      <c r="I7" s="142">
        <f>D7*H7</f>
        <v>4241079</v>
      </c>
      <c r="J7" s="142">
        <f>G7*H7</f>
        <v>1040778</v>
      </c>
      <c r="K7" s="142">
        <f>I7+J7</f>
        <v>5281857</v>
      </c>
      <c r="L7" s="143">
        <f t="shared" si="0"/>
        <v>0.0010009245288757885</v>
      </c>
      <c r="M7" s="143">
        <f t="shared" si="1"/>
        <v>0.000718693131484332</v>
      </c>
      <c r="N7" s="157">
        <v>35</v>
      </c>
      <c r="O7" s="63">
        <f>N7*(D7+G7)</f>
        <v>20540555</v>
      </c>
      <c r="P7" s="64" t="str">
        <f t="shared" si="2"/>
        <v>4245 / 471231</v>
      </c>
      <c r="Q7" s="64" t="str">
        <f t="shared" si="3"/>
        <v>748 / 115642</v>
      </c>
      <c r="T7" s="18"/>
      <c r="U7" s="18"/>
      <c r="W7" s="18"/>
      <c r="X7" s="18"/>
      <c r="Y7" s="18"/>
      <c r="Z7" s="18"/>
      <c r="AA7" s="18"/>
      <c r="AB7" s="18"/>
    </row>
    <row r="8" spans="1:28" ht="12" customHeight="1" hidden="1">
      <c r="A8" s="25" t="s">
        <v>237</v>
      </c>
      <c r="B8" s="223">
        <v>44791</v>
      </c>
      <c r="C8" s="224">
        <f>D8-B8</f>
        <v>4659773</v>
      </c>
      <c r="D8" s="247">
        <v>4704564</v>
      </c>
      <c r="E8" s="223">
        <v>6822</v>
      </c>
      <c r="F8" s="224">
        <f>G8-E8</f>
        <v>796975</v>
      </c>
      <c r="G8" s="247">
        <v>803797</v>
      </c>
      <c r="H8" s="189">
        <v>8</v>
      </c>
      <c r="I8" s="142">
        <f>D8*H8</f>
        <v>37636512</v>
      </c>
      <c r="J8" s="142">
        <f>G8*H8</f>
        <v>6430376</v>
      </c>
      <c r="K8" s="142">
        <f>I8+J8</f>
        <v>44066888</v>
      </c>
      <c r="L8" s="143">
        <f t="shared" si="0"/>
        <v>0.0011900943424300319</v>
      </c>
      <c r="M8" s="143">
        <f t="shared" si="1"/>
        <v>0.0010609021929666321</v>
      </c>
      <c r="N8" s="157">
        <v>35</v>
      </c>
      <c r="O8" s="63">
        <f>N8*(D8+G8)</f>
        <v>192792635</v>
      </c>
      <c r="P8" s="64" t="str">
        <f t="shared" si="2"/>
        <v>44791 / 4704564</v>
      </c>
      <c r="Q8" s="64" t="str">
        <f t="shared" si="3"/>
        <v>6822 / 803797</v>
      </c>
      <c r="T8" s="18"/>
      <c r="U8" s="18"/>
      <c r="W8" s="18"/>
      <c r="X8" s="18"/>
      <c r="Y8" s="18"/>
      <c r="Z8" s="18"/>
      <c r="AA8" s="18"/>
      <c r="AB8" s="18"/>
    </row>
    <row r="9" spans="1:28" ht="12" customHeight="1" hidden="1">
      <c r="A9" s="25" t="s">
        <v>238</v>
      </c>
      <c r="B9" s="223">
        <v>40712</v>
      </c>
      <c r="C9" s="224">
        <f>D9-B9</f>
        <v>2586573</v>
      </c>
      <c r="D9" s="247">
        <v>2627285</v>
      </c>
      <c r="E9" s="223">
        <v>19808</v>
      </c>
      <c r="F9" s="224">
        <f>G9-E9</f>
        <v>1639187</v>
      </c>
      <c r="G9" s="247">
        <v>1658995</v>
      </c>
      <c r="H9" s="189">
        <v>9</v>
      </c>
      <c r="I9" s="142">
        <f>D9*H9</f>
        <v>23645565</v>
      </c>
      <c r="J9" s="142">
        <f>G9*H9</f>
        <v>14930955</v>
      </c>
      <c r="K9" s="142">
        <f>I9+J9</f>
        <v>38576520</v>
      </c>
      <c r="L9" s="143">
        <f t="shared" si="0"/>
        <v>0.0017217605077315767</v>
      </c>
      <c r="M9" s="143">
        <f t="shared" si="1"/>
        <v>0.001326639856593232</v>
      </c>
      <c r="N9" s="157">
        <v>35</v>
      </c>
      <c r="O9" s="63">
        <f>N9*(D9+G9)</f>
        <v>150019800</v>
      </c>
      <c r="P9" s="64" t="str">
        <f t="shared" si="2"/>
        <v>40712 / 2627285</v>
      </c>
      <c r="Q9" s="64" t="str">
        <f t="shared" si="3"/>
        <v>19808 / 1658995</v>
      </c>
      <c r="T9" s="18"/>
      <c r="U9" s="18"/>
      <c r="W9" s="18"/>
      <c r="X9" s="18"/>
      <c r="Y9" s="18"/>
      <c r="Z9" s="18"/>
      <c r="AA9" s="18"/>
      <c r="AB9" s="18"/>
    </row>
    <row r="10" spans="1:28" ht="12" customHeight="1" hidden="1">
      <c r="A10" s="145">
        <f>COUNT(D5:D9)</f>
        <v>5</v>
      </c>
      <c r="B10" s="146">
        <f>SUM(B5:B9)</f>
        <v>92368</v>
      </c>
      <c r="C10" s="147">
        <v>23009</v>
      </c>
      <c r="D10" s="146">
        <f>SUM(D5:D9)</f>
        <v>8260215</v>
      </c>
      <c r="E10" s="146">
        <f>SUM(E5:E9)</f>
        <v>32114</v>
      </c>
      <c r="F10" s="147">
        <v>28669.98</v>
      </c>
      <c r="G10" s="146">
        <f>SUM(G5:G9)</f>
        <v>3497269</v>
      </c>
      <c r="H10" s="148">
        <f>K10/(D10+G10)</f>
        <v>8.150223296072527</v>
      </c>
      <c r="I10" s="149">
        <f>SUM(I5:I9)</f>
        <v>68454179</v>
      </c>
      <c r="J10" s="149">
        <f>SUM(J5:J9)</f>
        <v>27371941</v>
      </c>
      <c r="K10" s="149">
        <f>SUM(K5:K9)</f>
        <v>95826120</v>
      </c>
      <c r="L10" s="150">
        <f t="shared" si="0"/>
        <v>0.0013493405566955964</v>
      </c>
      <c r="M10" s="150">
        <f t="shared" si="1"/>
        <v>0.0011732452587121973</v>
      </c>
      <c r="N10" s="151">
        <f>O10/(D10+G10)</f>
        <v>35</v>
      </c>
      <c r="O10" s="152">
        <f>SUM(O5:O9)</f>
        <v>411511940</v>
      </c>
      <c r="P10" s="65" t="str">
        <f t="shared" si="2"/>
        <v>92368 / 8260215</v>
      </c>
      <c r="Q10" s="65" t="str">
        <f t="shared" si="3"/>
        <v>32114 / 3497269</v>
      </c>
      <c r="T10" s="18"/>
      <c r="U10" s="18"/>
      <c r="W10" s="18"/>
      <c r="X10" s="18"/>
      <c r="Y10" s="18"/>
      <c r="Z10" s="18"/>
      <c r="AA10" s="18"/>
      <c r="AB10" s="18"/>
    </row>
    <row r="11" spans="2:28" ht="12" customHeight="1" hidden="1" thickBot="1">
      <c r="B11" s="2"/>
      <c r="C11" s="2"/>
      <c r="E11" s="3"/>
      <c r="F11" s="29"/>
      <c r="S11" s="9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2" customHeight="1" hidden="1" thickBot="1">
      <c r="A12" s="18"/>
      <c r="B12" s="34" t="s">
        <v>51</v>
      </c>
      <c r="C12" s="241">
        <v>0.009562210839562789</v>
      </c>
      <c r="D12" s="255" t="s">
        <v>13</v>
      </c>
      <c r="E12" s="256"/>
      <c r="F12" s="257"/>
      <c r="S12" s="9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2" customHeight="1" hidden="1" thickBot="1">
      <c r="A13" s="185">
        <f>I40</f>
        <v>0.0011732452587121973</v>
      </c>
      <c r="B13" s="186" t="s">
        <v>52</v>
      </c>
      <c r="C13" s="12"/>
      <c r="D13" s="10" t="s">
        <v>12</v>
      </c>
      <c r="E13" s="11" t="s">
        <v>21</v>
      </c>
      <c r="F13" s="10" t="s">
        <v>22</v>
      </c>
      <c r="S13" s="9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2" customHeight="1" hidden="1" thickBot="1">
      <c r="A14" s="187">
        <f>E40</f>
        <v>8.150223296072527</v>
      </c>
      <c r="B14" s="188" t="s">
        <v>53</v>
      </c>
      <c r="C14" s="12"/>
      <c r="D14" s="200">
        <v>1.23</v>
      </c>
      <c r="E14" s="201">
        <v>1.13</v>
      </c>
      <c r="F14" s="202">
        <v>1.34</v>
      </c>
      <c r="G14" s="12"/>
      <c r="S14" s="9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2" customHeight="1" hidden="1" thickBot="1">
      <c r="A15" s="36"/>
      <c r="B15" s="35"/>
      <c r="C15" s="18"/>
      <c r="D15" s="18"/>
      <c r="E15" s="18"/>
      <c r="F15" s="18"/>
      <c r="G15" s="18"/>
      <c r="S15" s="9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2" customHeight="1" hidden="1" thickBot="1">
      <c r="A16" s="36"/>
      <c r="B16" s="37"/>
      <c r="C16" s="38"/>
      <c r="D16" s="39">
        <f>C12*D14</f>
        <v>0.011761519332662231</v>
      </c>
      <c r="E16" s="40">
        <f>C12*E14</f>
        <v>0.01080529824870595</v>
      </c>
      <c r="F16" s="41">
        <f>C12*F14</f>
        <v>0.012813362525014138</v>
      </c>
      <c r="G16" s="18"/>
      <c r="S16" s="9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2" customHeight="1" hidden="1" thickBot="1">
      <c r="A17" s="36"/>
      <c r="B17" s="35"/>
      <c r="C17" s="18"/>
      <c r="D17" s="18"/>
      <c r="E17" s="18"/>
      <c r="F17" s="18"/>
      <c r="G17" s="18"/>
      <c r="S17" s="9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2" customHeight="1" hidden="1" thickBot="1">
      <c r="A18" s="36"/>
      <c r="B18" s="42"/>
      <c r="C18" s="43" t="s">
        <v>2</v>
      </c>
      <c r="D18" s="44">
        <f>C12-D16</f>
        <v>-0.002199308493099442</v>
      </c>
      <c r="E18" s="45">
        <f>C12-F16</f>
        <v>-0.003251151685451349</v>
      </c>
      <c r="F18" s="46">
        <f>C12-E16</f>
        <v>-0.0012430874091431607</v>
      </c>
      <c r="G18" s="18"/>
      <c r="S18" s="9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2" customHeight="1" hidden="1" thickBot="1">
      <c r="A19" s="36"/>
      <c r="B19" s="47"/>
      <c r="C19" s="48" t="s">
        <v>3</v>
      </c>
      <c r="D19" s="49">
        <f>1/D18</f>
        <v>-454.6883727942685</v>
      </c>
      <c r="E19" s="50">
        <f>1/F18</f>
        <v>-804.4486595590919</v>
      </c>
      <c r="F19" s="51">
        <f>1/E18</f>
        <v>-307.5833110078875</v>
      </c>
      <c r="G19" s="18"/>
      <c r="S19" s="9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2" customHeight="1" hidden="1">
      <c r="A20" s="36"/>
      <c r="B20" s="35"/>
      <c r="C20" s="12"/>
      <c r="D20" s="12"/>
      <c r="E20" s="12"/>
      <c r="F20" s="12"/>
      <c r="G20" s="18"/>
      <c r="S20" s="9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2" customHeight="1" hidden="1">
      <c r="A21" s="36"/>
      <c r="B21" s="129" t="s">
        <v>4</v>
      </c>
      <c r="C21" s="130"/>
      <c r="D21" s="130"/>
      <c r="E21" s="131">
        <f>ROUND(D14,2)</f>
        <v>1.23</v>
      </c>
      <c r="F21" s="132">
        <f>ROUND(D18,4)</f>
        <v>-0.0022</v>
      </c>
      <c r="G21" s="133">
        <f>ROUND(D19,0)</f>
        <v>-455</v>
      </c>
      <c r="S21" s="9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2" customHeight="1" hidden="1">
      <c r="A22" s="36"/>
      <c r="B22" s="52" t="s">
        <v>6</v>
      </c>
      <c r="C22" s="53">
        <f>ROUND(D16,4)</f>
        <v>0.0118</v>
      </c>
      <c r="D22" s="54">
        <f>ROUND(C12,4)</f>
        <v>0.0096</v>
      </c>
      <c r="E22" s="6">
        <f>ROUND(E14,2)</f>
        <v>1.13</v>
      </c>
      <c r="F22" s="7">
        <f>ROUND(E18,4)</f>
        <v>-0.0033</v>
      </c>
      <c r="G22" s="8">
        <f>ROUND(E19,0)</f>
        <v>-804</v>
      </c>
      <c r="S22" s="9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2" customHeight="1" hidden="1">
      <c r="A23" s="36"/>
      <c r="B23" s="52" t="s">
        <v>5</v>
      </c>
      <c r="C23" s="14"/>
      <c r="D23" s="14"/>
      <c r="E23" s="6">
        <f>ROUND(F14,2)</f>
        <v>1.34</v>
      </c>
      <c r="F23" s="7">
        <f>ROUND(F18,4)</f>
        <v>-0.0012</v>
      </c>
      <c r="G23" s="8">
        <f>ROUND(F19,0)</f>
        <v>-308</v>
      </c>
      <c r="S23" s="9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2" customHeight="1" hidden="1">
      <c r="A24" s="36"/>
      <c r="B24" s="52" t="s">
        <v>7</v>
      </c>
      <c r="C24" s="134" t="s">
        <v>54</v>
      </c>
      <c r="D24" s="134" t="s">
        <v>11</v>
      </c>
      <c r="E24" s="135" t="s">
        <v>8</v>
      </c>
      <c r="F24" s="135" t="s">
        <v>9</v>
      </c>
      <c r="G24" s="134" t="s">
        <v>3</v>
      </c>
      <c r="S24" s="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2" customHeight="1" hidden="1">
      <c r="A25" s="36"/>
      <c r="B25" s="55" t="s">
        <v>0</v>
      </c>
      <c r="C25" s="134" t="str">
        <f>CONCATENATE(C22*100,B24)</f>
        <v>1,18%</v>
      </c>
      <c r="D25" s="134" t="str">
        <f>CONCATENATE(D22*100,B24)</f>
        <v>0,96%</v>
      </c>
      <c r="E25" s="134" t="str">
        <f>CONCATENATE(E21," ",B21,E22,B22,E23,B23)</f>
        <v>1,23 (1,13-1,34)</v>
      </c>
      <c r="F25" s="134" t="str">
        <f>CONCATENATE(F21*100,B24," ",B21,F22*100,B24," ",B25," ",F23*100,B24,B23)</f>
        <v>-0,22% (-0,33% a -0,12%)</v>
      </c>
      <c r="G25" s="134" t="str">
        <f>CONCATENATE(G21," ",B21,G22," ",B25," ",G23,B23)</f>
        <v>-455 (-804 a -308)</v>
      </c>
      <c r="S25" s="9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2" customHeight="1" hidden="1">
      <c r="A26" s="56"/>
      <c r="B26" s="4"/>
      <c r="C26" s="19"/>
      <c r="D26" s="19"/>
      <c r="E26" s="19"/>
      <c r="F26" s="19"/>
      <c r="G26" s="19"/>
      <c r="S26" s="9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2" customHeight="1" hidden="1" thickBot="1">
      <c r="A27" s="185">
        <f>A13*A14</f>
        <v>0.009562210839562789</v>
      </c>
      <c r="B27" s="186" t="s">
        <v>55</v>
      </c>
      <c r="C27" s="18"/>
      <c r="D27" s="18"/>
      <c r="E27" s="18"/>
      <c r="F27" s="18"/>
      <c r="G27" s="18"/>
      <c r="S27" s="9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2" customHeight="1" hidden="1" thickBot="1">
      <c r="A28" s="57"/>
      <c r="B28" s="18"/>
      <c r="C28" s="193" t="s">
        <v>56</v>
      </c>
      <c r="D28" s="194" t="s">
        <v>11</v>
      </c>
      <c r="E28" s="194" t="s">
        <v>8</v>
      </c>
      <c r="F28" s="194" t="s">
        <v>2</v>
      </c>
      <c r="G28" s="195" t="s">
        <v>3</v>
      </c>
      <c r="S28" s="9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2" customHeight="1" hidden="1" thickBot="1">
      <c r="A29" s="58"/>
      <c r="B29" s="15"/>
      <c r="C29" s="190" t="str">
        <f>C25</f>
        <v>1,18%</v>
      </c>
      <c r="D29" s="191" t="str">
        <f>D25</f>
        <v>0,96%</v>
      </c>
      <c r="E29" s="191" t="str">
        <f>E25</f>
        <v>1,23 (1,13-1,34)</v>
      </c>
      <c r="F29" s="191" t="str">
        <f>F25</f>
        <v>-0,22% (-0,33% a -0,12%)</v>
      </c>
      <c r="G29" s="192" t="str">
        <f>G25</f>
        <v>-455 (-804 a -308)</v>
      </c>
      <c r="S29" s="9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2" customHeight="1" hidden="1">
      <c r="B30" s="2"/>
      <c r="C30" s="2"/>
      <c r="E30" s="3"/>
      <c r="F30" s="29"/>
      <c r="S30" s="9"/>
      <c r="T30" s="18"/>
      <c r="U30" s="18"/>
      <c r="V30" s="18"/>
      <c r="W30" s="18"/>
      <c r="X30" s="18"/>
      <c r="Y30" s="18"/>
      <c r="Z30" s="18"/>
      <c r="AA30" s="18"/>
      <c r="AB30" s="18"/>
    </row>
    <row r="31" spans="4:28" ht="12" customHeight="1" thickBot="1">
      <c r="D31" s="3"/>
      <c r="E31" s="3"/>
      <c r="S31" s="9"/>
      <c r="T31" s="18"/>
      <c r="U31" s="18"/>
      <c r="V31" s="18"/>
      <c r="W31" s="18"/>
      <c r="X31" s="18"/>
      <c r="Y31" s="18"/>
      <c r="Z31" s="18"/>
      <c r="AA31" s="18"/>
      <c r="AB31" s="18"/>
    </row>
    <row r="32" spans="1:21" ht="16.5" customHeight="1" thickBot="1">
      <c r="A32" s="237" t="s">
        <v>338</v>
      </c>
      <c r="B32" s="184" t="str">
        <f>B2</f>
        <v>CAMBIOS en CIN2+, mujeres 30 a 39 años, seguimiento 5 a 8 años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3"/>
      <c r="S32" s="9"/>
      <c r="T32" s="18"/>
      <c r="U32" s="18"/>
    </row>
    <row r="33" spans="1:21" ht="32.25" customHeight="1" thickBot="1">
      <c r="A33" s="262" t="s">
        <v>28</v>
      </c>
      <c r="B33" s="262" t="s">
        <v>29</v>
      </c>
      <c r="C33" s="273" t="s">
        <v>30</v>
      </c>
      <c r="D33" s="250" t="s">
        <v>31</v>
      </c>
      <c r="E33" s="262" t="s">
        <v>32</v>
      </c>
      <c r="F33" s="262" t="s">
        <v>82</v>
      </c>
      <c r="G33" s="262" t="s">
        <v>83</v>
      </c>
      <c r="H33" s="262" t="s">
        <v>86</v>
      </c>
      <c r="I33" s="262" t="s">
        <v>87</v>
      </c>
      <c r="J33" s="262" t="s">
        <v>33</v>
      </c>
      <c r="K33" s="275" t="s">
        <v>34</v>
      </c>
      <c r="L33" s="259" t="s">
        <v>35</v>
      </c>
      <c r="M33" s="260"/>
      <c r="N33" s="260"/>
      <c r="O33" s="261"/>
      <c r="S33" s="9"/>
      <c r="T33" s="18"/>
      <c r="U33" s="18"/>
    </row>
    <row r="34" spans="1:21" ht="32.25" customHeight="1" thickBot="1">
      <c r="A34" s="263"/>
      <c r="B34" s="263"/>
      <c r="C34" s="274"/>
      <c r="D34" s="251"/>
      <c r="E34" s="263"/>
      <c r="F34" s="263"/>
      <c r="G34" s="263"/>
      <c r="H34" s="263"/>
      <c r="I34" s="263"/>
      <c r="J34" s="263"/>
      <c r="K34" s="276"/>
      <c r="L34" s="203" t="s">
        <v>36</v>
      </c>
      <c r="M34" s="204" t="s">
        <v>2</v>
      </c>
      <c r="N34" s="205" t="s">
        <v>3</v>
      </c>
      <c r="O34" s="206" t="s">
        <v>37</v>
      </c>
      <c r="S34" s="9"/>
      <c r="T34" s="18"/>
      <c r="U34" s="18"/>
    </row>
    <row r="35" spans="1:21" ht="19.5" customHeight="1">
      <c r="A35" s="265">
        <v>8</v>
      </c>
      <c r="B35" s="141" t="str">
        <f>A5</f>
        <v>Nygard 2017,35, 5y</v>
      </c>
      <c r="C35" s="66" t="s">
        <v>38</v>
      </c>
      <c r="D35" s="67"/>
      <c r="E35" s="153">
        <f aca="true" t="shared" si="4" ref="E35:E40">H5</f>
        <v>5</v>
      </c>
      <c r="F35" s="154" t="str">
        <f aca="true" t="shared" si="5" ref="F35:F40">P5</f>
        <v>1574 / 242019</v>
      </c>
      <c r="G35" s="155">
        <f aca="true" t="shared" si="6" ref="G35:G40">L5</f>
        <v>0.0013007243232969312</v>
      </c>
      <c r="H35" s="154" t="str">
        <f aca="true" t="shared" si="7" ref="H35:H40">Q5</f>
        <v>4206 / 793616</v>
      </c>
      <c r="I35" s="156">
        <f aca="true" t="shared" si="8" ref="I35:I40">M5</f>
        <v>0.0010599584685792626</v>
      </c>
      <c r="J35" s="157">
        <v>35</v>
      </c>
      <c r="K35" s="127">
        <v>0.20281030234191813</v>
      </c>
      <c r="L35" s="68" t="s">
        <v>100</v>
      </c>
      <c r="M35" s="158" t="s">
        <v>101</v>
      </c>
      <c r="N35" s="159" t="s">
        <v>102</v>
      </c>
      <c r="O35" s="160"/>
      <c r="Q35" s="13">
        <v>3</v>
      </c>
      <c r="R35" s="70">
        <f>Q35*K35</f>
        <v>0.6084309070257544</v>
      </c>
      <c r="S35" s="9"/>
      <c r="T35" s="18"/>
      <c r="U35" s="18"/>
    </row>
    <row r="36" spans="1:21" ht="19.5" customHeight="1">
      <c r="A36" s="266"/>
      <c r="B36" s="141" t="str">
        <f>A6</f>
        <v>Niccolai 2017, 35, 8y</v>
      </c>
      <c r="C36" s="66" t="s">
        <v>38</v>
      </c>
      <c r="D36" s="67"/>
      <c r="E36" s="153">
        <f t="shared" si="4"/>
        <v>8</v>
      </c>
      <c r="F36" s="154" t="str">
        <f t="shared" si="5"/>
        <v>1046 / 215116</v>
      </c>
      <c r="G36" s="155">
        <f t="shared" si="6"/>
        <v>0.0006078115993231559</v>
      </c>
      <c r="H36" s="154" t="str">
        <f t="shared" si="7"/>
        <v>530 / 125219</v>
      </c>
      <c r="I36" s="155">
        <f t="shared" si="8"/>
        <v>0.0005290730639918862</v>
      </c>
      <c r="J36" s="157">
        <v>35</v>
      </c>
      <c r="K36" s="127">
        <v>0.16695391165472984</v>
      </c>
      <c r="L36" s="68" t="s">
        <v>103</v>
      </c>
      <c r="M36" s="158" t="s">
        <v>104</v>
      </c>
      <c r="N36" s="158" t="s">
        <v>105</v>
      </c>
      <c r="O36" s="128"/>
      <c r="Q36" s="13">
        <v>3</v>
      </c>
      <c r="R36" s="70">
        <f>Q36*K36</f>
        <v>0.5008617349641895</v>
      </c>
      <c r="S36" s="9"/>
      <c r="T36" s="18"/>
      <c r="U36" s="18"/>
    </row>
    <row r="37" spans="1:21" ht="19.5" customHeight="1">
      <c r="A37" s="266"/>
      <c r="B37" s="141" t="str">
        <f>A7</f>
        <v>Gargano 2018, 35, 9y</v>
      </c>
      <c r="C37" s="66" t="s">
        <v>38</v>
      </c>
      <c r="D37" s="67"/>
      <c r="E37" s="153">
        <f t="shared" si="4"/>
        <v>9</v>
      </c>
      <c r="F37" s="154" t="str">
        <f t="shared" si="5"/>
        <v>4245 / 471231</v>
      </c>
      <c r="G37" s="155">
        <f t="shared" si="6"/>
        <v>0.0010009245288757885</v>
      </c>
      <c r="H37" s="154" t="str">
        <f t="shared" si="7"/>
        <v>748 / 115642</v>
      </c>
      <c r="I37" s="155">
        <f t="shared" si="8"/>
        <v>0.000718693131484332</v>
      </c>
      <c r="J37" s="157">
        <v>35</v>
      </c>
      <c r="K37" s="127">
        <v>0.18849412805766813</v>
      </c>
      <c r="L37" s="68" t="s">
        <v>106</v>
      </c>
      <c r="M37" s="158" t="s">
        <v>107</v>
      </c>
      <c r="N37" s="158" t="s">
        <v>108</v>
      </c>
      <c r="O37" s="128"/>
      <c r="Q37" s="13">
        <v>3</v>
      </c>
      <c r="R37" s="70">
        <f>Q37*K37</f>
        <v>0.5654823841730043</v>
      </c>
      <c r="S37" s="9"/>
      <c r="T37" s="18"/>
      <c r="U37" s="18"/>
    </row>
    <row r="38" spans="1:21" ht="19.5" customHeight="1">
      <c r="A38" s="266"/>
      <c r="B38" s="141" t="str">
        <f>A8</f>
        <v>Flagg 2016, 35, 8y</v>
      </c>
      <c r="C38" s="66" t="s">
        <v>38</v>
      </c>
      <c r="D38" s="67"/>
      <c r="E38" s="153">
        <f t="shared" si="4"/>
        <v>8</v>
      </c>
      <c r="F38" s="154" t="str">
        <f t="shared" si="5"/>
        <v>44791 / 4704564</v>
      </c>
      <c r="G38" s="155">
        <f t="shared" si="6"/>
        <v>0.0011900943424300319</v>
      </c>
      <c r="H38" s="154" t="str">
        <f t="shared" si="7"/>
        <v>6822 / 803797</v>
      </c>
      <c r="I38" s="155">
        <f t="shared" si="8"/>
        <v>0.0010609021929666321</v>
      </c>
      <c r="J38" s="157">
        <v>35</v>
      </c>
      <c r="K38" s="127">
        <v>0.21964167995391887</v>
      </c>
      <c r="L38" s="68" t="s">
        <v>109</v>
      </c>
      <c r="M38" s="158" t="s">
        <v>110</v>
      </c>
      <c r="N38" s="158" t="s">
        <v>111</v>
      </c>
      <c r="O38" s="128"/>
      <c r="Q38" s="13">
        <v>3</v>
      </c>
      <c r="R38" s="70">
        <f>Q38*K38</f>
        <v>0.6589250398617565</v>
      </c>
      <c r="S38" s="9"/>
      <c r="T38" s="18"/>
      <c r="U38" s="18"/>
    </row>
    <row r="39" spans="1:21" ht="19.5" customHeight="1" thickBot="1">
      <c r="A39" s="267"/>
      <c r="B39" s="141" t="str">
        <f>A9</f>
        <v>Brotherton 2018, 35, 9y</v>
      </c>
      <c r="C39" s="66" t="s">
        <v>38</v>
      </c>
      <c r="D39" s="67"/>
      <c r="E39" s="153">
        <f t="shared" si="4"/>
        <v>9</v>
      </c>
      <c r="F39" s="154" t="str">
        <f t="shared" si="5"/>
        <v>40712 / 2627285</v>
      </c>
      <c r="G39" s="155">
        <f t="shared" si="6"/>
        <v>0.0017217605077315767</v>
      </c>
      <c r="H39" s="154" t="str">
        <f t="shared" si="7"/>
        <v>19808 / 1658995</v>
      </c>
      <c r="I39" s="155">
        <f t="shared" si="8"/>
        <v>0.001326639856593232</v>
      </c>
      <c r="J39" s="157">
        <v>35</v>
      </c>
      <c r="K39" s="127">
        <v>0.222099977991765</v>
      </c>
      <c r="L39" s="68" t="s">
        <v>112</v>
      </c>
      <c r="M39" s="158" t="s">
        <v>113</v>
      </c>
      <c r="N39" s="158" t="s">
        <v>114</v>
      </c>
      <c r="O39" s="128"/>
      <c r="Q39" s="13">
        <v>3</v>
      </c>
      <c r="R39" s="70">
        <f>Q39*K39</f>
        <v>0.6662999339752951</v>
      </c>
      <c r="S39" s="9"/>
      <c r="T39" s="18"/>
      <c r="U39" s="18"/>
    </row>
    <row r="40" spans="1:21" ht="19.5" customHeight="1" thickBot="1">
      <c r="A40" s="161" t="s">
        <v>39</v>
      </c>
      <c r="B40" s="162">
        <f>COUNT(E35:E39)</f>
        <v>5</v>
      </c>
      <c r="C40" s="163"/>
      <c r="D40" s="71" t="s">
        <v>99</v>
      </c>
      <c r="E40" s="164">
        <f t="shared" si="4"/>
        <v>8.150223296072527</v>
      </c>
      <c r="F40" s="165" t="str">
        <f t="shared" si="5"/>
        <v>92368 / 8260215</v>
      </c>
      <c r="G40" s="166">
        <f t="shared" si="6"/>
        <v>0.0013493405566955964</v>
      </c>
      <c r="H40" s="165" t="str">
        <f t="shared" si="7"/>
        <v>32114 / 3497269</v>
      </c>
      <c r="I40" s="166">
        <f t="shared" si="8"/>
        <v>0.0011732452587121973</v>
      </c>
      <c r="J40" s="164">
        <v>35</v>
      </c>
      <c r="K40" s="167">
        <v>0.9999999999999998</v>
      </c>
      <c r="L40" s="120" t="s">
        <v>281</v>
      </c>
      <c r="M40" s="72"/>
      <c r="N40" s="73"/>
      <c r="O40" s="74"/>
      <c r="R40" s="168">
        <f>SUM(R35:R39)</f>
        <v>3</v>
      </c>
      <c r="S40" s="9"/>
      <c r="T40" s="18"/>
      <c r="U40" s="18"/>
    </row>
    <row r="41" spans="1:15" ht="12" customHeight="1" thickBot="1">
      <c r="A41" s="75"/>
      <c r="B41" s="75"/>
      <c r="C41" s="76"/>
      <c r="D41" s="77"/>
      <c r="E41" s="78"/>
      <c r="F41" s="79"/>
      <c r="G41" s="80"/>
      <c r="H41" s="79"/>
      <c r="I41" s="81"/>
      <c r="J41" s="82"/>
      <c r="K41" s="83"/>
      <c r="L41" s="72"/>
      <c r="M41" s="73"/>
      <c r="N41" s="73"/>
      <c r="O41" s="83"/>
    </row>
    <row r="42" spans="1:256" ht="45" customHeight="1" thickBot="1">
      <c r="A42" s="84"/>
      <c r="B42" s="268" t="s">
        <v>90</v>
      </c>
      <c r="C42" s="269"/>
      <c r="D42" s="269"/>
      <c r="E42" s="269"/>
      <c r="F42" s="269"/>
      <c r="G42" s="269"/>
      <c r="H42" s="269"/>
      <c r="I42" s="270"/>
      <c r="J42" s="85" t="s">
        <v>84</v>
      </c>
      <c r="K42" s="169" t="s">
        <v>88</v>
      </c>
      <c r="L42" s="86" t="s">
        <v>36</v>
      </c>
      <c r="M42" s="87" t="s">
        <v>2</v>
      </c>
      <c r="N42" s="88" t="s">
        <v>3</v>
      </c>
      <c r="O42" s="7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15" ht="22.5" customHeight="1">
      <c r="A43" s="271" t="s">
        <v>40</v>
      </c>
      <c r="B43" s="89" t="s">
        <v>41</v>
      </c>
      <c r="C43" s="90">
        <f>I40</f>
        <v>0.0011732452587121973</v>
      </c>
      <c r="D43" s="91" t="s">
        <v>42</v>
      </c>
      <c r="E43" s="91"/>
      <c r="F43" s="91"/>
      <c r="G43" s="91"/>
      <c r="H43" s="92">
        <f>J40</f>
        <v>35</v>
      </c>
      <c r="I43" s="93" t="s">
        <v>43</v>
      </c>
      <c r="J43" s="94">
        <v>0.0014</v>
      </c>
      <c r="K43" s="95">
        <v>0.0012</v>
      </c>
      <c r="L43" s="121" t="s">
        <v>281</v>
      </c>
      <c r="M43" s="96" t="s">
        <v>333</v>
      </c>
      <c r="N43" s="248" t="s">
        <v>334</v>
      </c>
      <c r="O43" s="97" t="s">
        <v>44</v>
      </c>
    </row>
    <row r="44" spans="1:15" ht="22.5" customHeight="1" thickBot="1">
      <c r="A44" s="272"/>
      <c r="B44" s="170" t="s">
        <v>41</v>
      </c>
      <c r="C44" s="171">
        <f>I40*E40</f>
        <v>0.009562210839562789</v>
      </c>
      <c r="D44" s="172" t="s">
        <v>45</v>
      </c>
      <c r="E44" s="173"/>
      <c r="F44" s="174"/>
      <c r="G44" s="175">
        <f>E40</f>
        <v>8.150223296072527</v>
      </c>
      <c r="H44" s="172" t="s">
        <v>46</v>
      </c>
      <c r="I44" s="176"/>
      <c r="J44" s="177">
        <v>0.0118</v>
      </c>
      <c r="K44" s="178">
        <v>0.0096</v>
      </c>
      <c r="L44" s="179" t="s">
        <v>281</v>
      </c>
      <c r="M44" s="180" t="s">
        <v>335</v>
      </c>
      <c r="N44" s="249" t="s">
        <v>336</v>
      </c>
      <c r="O44" s="181" t="s">
        <v>329</v>
      </c>
    </row>
    <row r="45" spans="1:15" ht="12" customHeight="1" thickBot="1">
      <c r="A45" s="100"/>
      <c r="B45" s="101"/>
      <c r="C45" s="102"/>
      <c r="D45" s="103"/>
      <c r="E45" s="104"/>
      <c r="F45" s="105"/>
      <c r="G45" s="106"/>
      <c r="H45" s="103"/>
      <c r="I45" s="105"/>
      <c r="J45" s="107"/>
      <c r="K45" s="107"/>
      <c r="L45" s="108"/>
      <c r="M45" s="109"/>
      <c r="N45" s="109"/>
      <c r="O45" s="110"/>
    </row>
    <row r="46" spans="1:15" ht="21" customHeight="1" thickBot="1">
      <c r="A46" s="111"/>
      <c r="B46" s="111"/>
      <c r="C46" s="83"/>
      <c r="D46" s="83"/>
      <c r="E46" s="83"/>
      <c r="F46" s="83"/>
      <c r="G46" s="83"/>
      <c r="H46" s="83"/>
      <c r="I46" s="207"/>
      <c r="J46" s="208"/>
      <c r="K46" s="209" t="s">
        <v>47</v>
      </c>
      <c r="L46" s="231" t="s">
        <v>337</v>
      </c>
      <c r="M46" s="115"/>
      <c r="N46" s="116"/>
      <c r="O46" s="117"/>
    </row>
    <row r="47" spans="1:11" ht="12" customHeight="1">
      <c r="A47" s="20"/>
      <c r="C47" s="2"/>
      <c r="I47" s="5" t="s">
        <v>48</v>
      </c>
      <c r="J47" s="211">
        <v>7</v>
      </c>
      <c r="K47" s="211">
        <f>J47</f>
        <v>7</v>
      </c>
    </row>
    <row r="48" spans="1:12" ht="12" customHeight="1">
      <c r="A48" s="20"/>
      <c r="C48" s="2"/>
      <c r="I48" s="13"/>
      <c r="J48" s="144" t="s">
        <v>14</v>
      </c>
      <c r="K48" s="144" t="s">
        <v>15</v>
      </c>
      <c r="L48" s="144" t="s">
        <v>49</v>
      </c>
    </row>
    <row r="49" spans="9:14" ht="12" customHeight="1">
      <c r="I49" s="118" t="s">
        <v>50</v>
      </c>
      <c r="J49" s="126">
        <f>J43*1000*J47</f>
        <v>9.799999999999999</v>
      </c>
      <c r="K49" s="124">
        <f>K43*1000*K47</f>
        <v>8.4</v>
      </c>
      <c r="L49" s="125">
        <f>((J49*I10)+(K49*J10))/K10</f>
        <v>9.400101544338849</v>
      </c>
      <c r="M49" s="119"/>
      <c r="N49" s="119"/>
    </row>
    <row r="50" spans="1:7" ht="12" customHeight="1">
      <c r="A50" s="18"/>
      <c r="B50" s="18"/>
      <c r="C50" s="18"/>
      <c r="D50" s="18"/>
      <c r="E50" s="18"/>
      <c r="F50" s="18"/>
      <c r="G50" s="18"/>
    </row>
    <row r="51" spans="1:7" ht="12" customHeight="1">
      <c r="A51" s="18"/>
      <c r="B51" s="18"/>
      <c r="C51" s="18"/>
      <c r="D51" s="18"/>
      <c r="E51" s="18"/>
      <c r="F51" s="18"/>
      <c r="G51" s="18"/>
    </row>
    <row r="52" spans="1:7" ht="12" customHeight="1">
      <c r="A52" s="18"/>
      <c r="B52" s="18"/>
      <c r="C52" s="18"/>
      <c r="D52" s="18"/>
      <c r="E52" s="18"/>
      <c r="F52" s="18"/>
      <c r="G52" s="18"/>
    </row>
    <row r="53" spans="1:7" ht="12" customHeight="1">
      <c r="A53" s="18"/>
      <c r="B53" s="18"/>
      <c r="C53" s="18"/>
      <c r="D53" s="18"/>
      <c r="E53" s="18"/>
      <c r="F53" s="18"/>
      <c r="G53" s="18"/>
    </row>
    <row r="54" spans="1:7" ht="12" customHeight="1">
      <c r="A54" s="18"/>
      <c r="B54" s="18"/>
      <c r="C54" s="18"/>
      <c r="D54" s="18"/>
      <c r="E54" s="18"/>
      <c r="F54" s="18"/>
      <c r="G54" s="18"/>
    </row>
    <row r="55" spans="1:7" ht="12" customHeight="1">
      <c r="A55" s="18"/>
      <c r="B55" s="18"/>
      <c r="C55" s="18"/>
      <c r="D55" s="18"/>
      <c r="E55" s="18"/>
      <c r="F55" s="18"/>
      <c r="G55" s="18"/>
    </row>
    <row r="56" spans="1:7" ht="12" customHeight="1">
      <c r="A56" s="18"/>
      <c r="B56" s="18"/>
      <c r="C56" s="18"/>
      <c r="D56" s="18"/>
      <c r="E56" s="18"/>
      <c r="F56" s="18"/>
      <c r="G56" s="18"/>
    </row>
    <row r="57" spans="1:7" ht="12" customHeight="1">
      <c r="A57" s="18"/>
      <c r="B57" s="18"/>
      <c r="C57" s="18"/>
      <c r="D57" s="18"/>
      <c r="E57" s="18"/>
      <c r="F57" s="18"/>
      <c r="G57" s="18"/>
    </row>
    <row r="58" spans="1:7" ht="12" customHeight="1">
      <c r="A58" s="18"/>
      <c r="B58" s="18"/>
      <c r="C58" s="18"/>
      <c r="D58" s="18"/>
      <c r="E58" s="18"/>
      <c r="F58" s="18"/>
      <c r="G58" s="18"/>
    </row>
    <row r="59" spans="1:7" ht="12" customHeight="1">
      <c r="A59" s="18"/>
      <c r="B59" s="18"/>
      <c r="C59" s="18"/>
      <c r="D59" s="18"/>
      <c r="E59" s="18"/>
      <c r="F59" s="18"/>
      <c r="G59" s="18"/>
    </row>
    <row r="60" spans="1:7" ht="12" customHeight="1">
      <c r="A60" s="18"/>
      <c r="B60" s="18"/>
      <c r="C60" s="18"/>
      <c r="D60" s="18"/>
      <c r="E60" s="18"/>
      <c r="F60" s="18"/>
      <c r="G60" s="18"/>
    </row>
    <row r="61" spans="1:7" ht="12" customHeight="1">
      <c r="A61" s="18"/>
      <c r="B61" s="18"/>
      <c r="C61" s="18"/>
      <c r="D61" s="18"/>
      <c r="E61" s="18"/>
      <c r="F61" s="18"/>
      <c r="G61" s="18"/>
    </row>
    <row r="62" spans="1:7" ht="12" customHeight="1">
      <c r="A62" s="18"/>
      <c r="B62" s="18"/>
      <c r="C62" s="18"/>
      <c r="D62" s="18"/>
      <c r="E62" s="18"/>
      <c r="F62" s="18"/>
      <c r="G62" s="18"/>
    </row>
    <row r="63" spans="1:7" ht="12" customHeight="1">
      <c r="A63" s="18"/>
      <c r="B63" s="18"/>
      <c r="C63" s="18"/>
      <c r="D63" s="18"/>
      <c r="E63" s="18"/>
      <c r="F63" s="18"/>
      <c r="G63" s="18"/>
    </row>
    <row r="64" spans="1:7" ht="12" customHeight="1">
      <c r="A64" s="18"/>
      <c r="B64" s="18"/>
      <c r="C64" s="18"/>
      <c r="D64" s="18"/>
      <c r="E64" s="18"/>
      <c r="F64" s="18"/>
      <c r="G64" s="18"/>
    </row>
    <row r="65" spans="1:7" ht="12" customHeight="1">
      <c r="A65" s="18"/>
      <c r="B65" s="18"/>
      <c r="C65" s="18"/>
      <c r="D65" s="18"/>
      <c r="E65" s="18"/>
      <c r="F65" s="18"/>
      <c r="G65" s="18"/>
    </row>
    <row r="66" spans="1:7" ht="12" customHeight="1">
      <c r="A66" s="18"/>
      <c r="B66" s="18"/>
      <c r="C66" s="18"/>
      <c r="D66" s="18"/>
      <c r="E66" s="18"/>
      <c r="F66" s="18"/>
      <c r="G66" s="18"/>
    </row>
    <row r="67" spans="1:7" ht="12" customHeight="1">
      <c r="A67" s="18"/>
      <c r="B67" s="18"/>
      <c r="C67" s="18"/>
      <c r="D67" s="18"/>
      <c r="E67" s="18"/>
      <c r="F67" s="18"/>
      <c r="G67" s="18"/>
    </row>
    <row r="68" spans="1:7" ht="12" customHeight="1">
      <c r="A68" s="18"/>
      <c r="B68" s="18"/>
      <c r="C68" s="18"/>
      <c r="D68" s="18"/>
      <c r="E68" s="18"/>
      <c r="F68" s="18"/>
      <c r="G68" s="18"/>
    </row>
  </sheetData>
  <sheetProtection/>
  <mergeCells count="20">
    <mergeCell ref="B3:D3"/>
    <mergeCell ref="E3:G3"/>
    <mergeCell ref="I3:K3"/>
    <mergeCell ref="L3:M3"/>
    <mergeCell ref="D12:F12"/>
    <mergeCell ref="A33:A34"/>
    <mergeCell ref="B33:B34"/>
    <mergeCell ref="C33:C34"/>
    <mergeCell ref="D33:D34"/>
    <mergeCell ref="E33:E34"/>
    <mergeCell ref="L33:O33"/>
    <mergeCell ref="B42:I42"/>
    <mergeCell ref="A43:A44"/>
    <mergeCell ref="F33:F34"/>
    <mergeCell ref="G33:G34"/>
    <mergeCell ref="H33:H34"/>
    <mergeCell ref="I33:I34"/>
    <mergeCell ref="J33:J34"/>
    <mergeCell ref="K33:K34"/>
    <mergeCell ref="A35:A39"/>
  </mergeCells>
  <printOptions/>
  <pageMargins left="0.75" right="0.75" top="1" bottom="1" header="0.5" footer="0.5"/>
  <pageSetup orientation="portrait" paperSize="9"/>
  <ignoredErrors>
    <ignoredError sqref="H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2014-05-23T10:57:58Z</cp:lastPrinted>
  <dcterms:created xsi:type="dcterms:W3CDTF">2009-05-28T14:19:22Z</dcterms:created>
  <dcterms:modified xsi:type="dcterms:W3CDTF">2019-07-08T09:13:37Z</dcterms:modified>
  <cp:category/>
  <cp:version/>
  <cp:contentType/>
  <cp:contentStatus/>
</cp:coreProperties>
</file>