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12" activeTab="0"/>
  </bookViews>
  <sheets>
    <sheet name="VerAG, m17,5, 5,6y" sheetId="1" r:id="rId1"/>
    <sheet name="VerAG, m22,5, 5,3y" sheetId="2" r:id="rId2"/>
    <sheet name="VerAG m27, 5,5y" sheetId="3" r:id="rId3"/>
    <sheet name="VerAG,m34,5, 5y" sheetId="4" r:id="rId4"/>
    <sheet name="CIN2,m17,5, 8y" sheetId="5" r:id="rId5"/>
  </sheets>
  <definedNames/>
  <calcPr fullCalcOnLoad="1"/>
</workbook>
</file>

<file path=xl/sharedStrings.xml><?xml version="1.0" encoding="utf-8"?>
<sst xmlns="http://schemas.openxmlformats.org/spreadsheetml/2006/main" count="891" uniqueCount="333">
  <si>
    <t>a</t>
  </si>
  <si>
    <t>Total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</si>
  <si>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</si>
  <si>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</si>
  <si>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</si>
  <si>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</si>
  <si>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</si>
  <si>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</si>
  <si>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</si>
  <si>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</si>
  <si>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/</t>
  </si>
  <si>
    <t>% RA control</t>
  </si>
  <si>
    <t>Estimación puntual</t>
  </si>
  <si>
    <t>RR (IC 95%) obtenido en el metaanálisis</t>
  </si>
  <si>
    <t>Intervención</t>
  </si>
  <si>
    <t>Control</t>
  </si>
  <si>
    <t>Variable buscada</t>
  </si>
  <si>
    <t>Nº pacientes grupo intervención</t>
  </si>
  <si>
    <t>Nº pacientes grupo control</t>
  </si>
  <si>
    <t>Si evento</t>
  </si>
  <si>
    <t>No evento</t>
  </si>
  <si>
    <t>LI IC 95%</t>
  </si>
  <si>
    <t>LS IC 95%</t>
  </si>
  <si>
    <t>Años de seguimiento</t>
  </si>
  <si>
    <t>Nº personas-año</t>
  </si>
  <si>
    <t>Eventos / 100 personas-año</t>
  </si>
  <si>
    <t>Media de edad (años)</t>
  </si>
  <si>
    <t>Ambos grupos combinados</t>
  </si>
  <si>
    <t>Puntuación ordinal de importancia o aversión al riesgo</t>
  </si>
  <si>
    <t>Estudios individuales</t>
  </si>
  <si>
    <t>Diseño</t>
  </si>
  <si>
    <t>Heteroge-neidad</t>
  </si>
  <si>
    <t xml:space="preserve">Años de seguimiento (media o mediana) </t>
  </si>
  <si>
    <t>Edad media, años</t>
  </si>
  <si>
    <t>Peso de los estudios (modelo efectos aleatorios)</t>
  </si>
  <si>
    <t>Cálculo por incidencias acumuladas</t>
  </si>
  <si>
    <t>RR (IC (95%)</t>
  </si>
  <si>
    <t>Validez de la evidencia</t>
  </si>
  <si>
    <t>ECA</t>
  </si>
  <si>
    <t>Total estudios:</t>
  </si>
  <si>
    <t>METAANÁLISIS</t>
  </si>
  <si>
    <t xml:space="preserve">Aplicando al </t>
  </si>
  <si>
    <t xml:space="preserve">  de eventos/año en el control, para una edad media de </t>
  </si>
  <si>
    <t>años de edad</t>
  </si>
  <si>
    <t xml:space="preserve"> por año</t>
  </si>
  <si>
    <t xml:space="preserve">de eventos estimados en el control en </t>
  </si>
  <si>
    <t>años de seguimiento</t>
  </si>
  <si>
    <t xml:space="preserve">Intervalo de predicción al 95%: </t>
  </si>
  <si>
    <t>En años</t>
  </si>
  <si>
    <t>Ambos</t>
  </si>
  <si>
    <t>Pob MA /1000</t>
  </si>
  <si>
    <t xml:space="preserve">% RA control = </t>
  </si>
  <si>
    <t>Riesgo basal control en 1 año</t>
  </si>
  <si>
    <t>nº de años</t>
  </si>
  <si>
    <t>% RA Vit D + Caerv</t>
  </si>
  <si>
    <t>%Ev en nº de años</t>
  </si>
  <si>
    <t>% RA Interv</t>
  </si>
  <si>
    <t>2016-Flagg, VerrAG, Muj 17,5y, Seg 5y</t>
  </si>
  <si>
    <t>2017-Nygard, VerrAG, Muj 17,5y, Seg 5y</t>
  </si>
  <si>
    <t>2017-Bernard, VerrAG, Muj 17,5y, Seg 5y</t>
  </si>
  <si>
    <t>2018-Gargano, VerrAG, Muj 17,5y, Seg 5y</t>
  </si>
  <si>
    <t>2018-Brotherton, Verr, Muj 17,5y, Seg 5y</t>
  </si>
  <si>
    <t>Personas en el Grupo antes de la vacunación VPH</t>
  </si>
  <si>
    <t>Personas en el Grupo después de la vacunación VPH</t>
  </si>
  <si>
    <r>
      <t>I</t>
    </r>
    <r>
      <rPr>
        <b/>
        <i/>
        <vertAlign val="superscript"/>
        <sz val="14"/>
        <color indexed="10"/>
        <rFont val="Calibri"/>
        <family val="2"/>
      </rPr>
      <t xml:space="preserve">2 </t>
    </r>
    <r>
      <rPr>
        <b/>
        <sz val="14"/>
        <color indexed="10"/>
        <rFont val="Calibri"/>
        <family val="2"/>
      </rPr>
      <t>= 88%</t>
    </r>
  </si>
  <si>
    <t>0,49 (0,42-0,58)</t>
  </si>
  <si>
    <t>0,72% (0,6% a 0,82%)</t>
  </si>
  <si>
    <t>139 (122 a 167)</t>
  </si>
  <si>
    <t>en 8,4 años</t>
  </si>
  <si>
    <t>0,09% (0,07% a 0,1%)</t>
  </si>
  <si>
    <t>1169 (1023 a 1406)</t>
  </si>
  <si>
    <t>1,73 (1,02-2,93)</t>
  </si>
  <si>
    <t>-0,29% (-0,58% a 0,13%)</t>
  </si>
  <si>
    <t>-340 (759 a -173)</t>
  </si>
  <si>
    <t>0,51 (0,39-0,66)</t>
  </si>
  <si>
    <t>0,61% (0,39% a 0,84%)</t>
  </si>
  <si>
    <t>163 (118 a 258)</t>
  </si>
  <si>
    <t>0,49 (0,39-0,62)</t>
  </si>
  <si>
    <t>0,42% (0,28% a 0,55%)</t>
  </si>
  <si>
    <t>240 (183 a 358)</t>
  </si>
  <si>
    <t>0,44 (0,41-0,46)</t>
  </si>
  <si>
    <t>0,83% (0,77% a 0,9%)</t>
  </si>
  <si>
    <t>120 (112 a 130)</t>
  </si>
  <si>
    <t>0,41 (0,38-0,43)</t>
  </si>
  <si>
    <t>0,92% (0,86% a 0,99%)</t>
  </si>
  <si>
    <t>108 (102 a 116)</t>
  </si>
  <si>
    <t>Moderada</t>
  </si>
  <si>
    <t>Alta-Moderada</t>
  </si>
  <si>
    <t>Baja</t>
  </si>
  <si>
    <t>en 3,7 años</t>
  </si>
  <si>
    <t>0,90 (0,63-1,27)</t>
  </si>
  <si>
    <t>Nº Eventos / total pacientes; Grupo Intervención</t>
  </si>
  <si>
    <t xml:space="preserve"> % Eventos/ año, Grupo Intervención</t>
  </si>
  <si>
    <t xml:space="preserve"> % Eventos, Grupo Intervención</t>
  </si>
  <si>
    <t>control</t>
  </si>
  <si>
    <t>Nº Eventos / total pacientes; Grupo control</t>
  </si>
  <si>
    <t xml:space="preserve"> % Eventos/ año, Grupo control</t>
  </si>
  <si>
    <t xml:space="preserve"> % Eventos, Grupo control</t>
  </si>
  <si>
    <t xml:space="preserve">ECAs que informan de: </t>
  </si>
  <si>
    <t>Si aplicamos el Modelo de efectos aleatorios</t>
  </si>
  <si>
    <t>Thompson 2016, 17,5, 3y</t>
  </si>
  <si>
    <t>Guerra 2016, 17,5, 6y</t>
  </si>
  <si>
    <t>Cocchio 2017, 17,5, 7y</t>
  </si>
  <si>
    <t>Herweijer 2018, 17,5, 6y</t>
  </si>
  <si>
    <t>Thönes 2017, 17,5, 3y</t>
  </si>
  <si>
    <t>Flagg 2018, 17,5, 8y</t>
  </si>
  <si>
    <t>Bauer 2012, 17,5, 4y</t>
  </si>
  <si>
    <t>Dominiak 2015, 17,5, 6y</t>
  </si>
  <si>
    <t>Oliphant 2017, 17,5, 5y</t>
  </si>
  <si>
    <t>Steben 2018, 17,5, 4y</t>
  </si>
  <si>
    <t>Bollerup 2016, 17,5, 4y</t>
  </si>
  <si>
    <t>Lui 2014, 17,5, 4y</t>
  </si>
  <si>
    <t>Harrison 2014, 17,5, 8y</t>
  </si>
  <si>
    <t>Smith 201, 17,5, 4y</t>
  </si>
  <si>
    <t>Callander 2016, 17,5, 8y</t>
  </si>
  <si>
    <t>1,01 (0,87-1,17)</t>
  </si>
  <si>
    <t>0% (-0,04% a 0,04%)</t>
  </si>
  <si>
    <t>-38323 (2650 a -2325)</t>
  </si>
  <si>
    <t>0,91 (0,86-0,97)</t>
  </si>
  <si>
    <t>0,02% (0,01% a 0,03%)</t>
  </si>
  <si>
    <t>6207 (3739 a 17860)</t>
  </si>
  <si>
    <t>0,44 (0,28-0,69)</t>
  </si>
  <si>
    <t>0,01% (0% a 0,02%)</t>
  </si>
  <si>
    <t>8935 (5864 a 20272)</t>
  </si>
  <si>
    <t>0,61 (0,57-0,65)</t>
  </si>
  <si>
    <t>0,25% (0,21% a 0,28%)</t>
  </si>
  <si>
    <t>404 (357 a 466)</t>
  </si>
  <si>
    <t>0,51 (0,49-0,53)</t>
  </si>
  <si>
    <t>0,13% (0,12% a 0,14%)</t>
  </si>
  <si>
    <t>778 (727 a 837)</t>
  </si>
  <si>
    <t>0,77 (0,73-0,8)</t>
  </si>
  <si>
    <t>0,21% (0,17% a 0,25%)</t>
  </si>
  <si>
    <t>472 (401 a 578)</t>
  </si>
  <si>
    <t>0,36 (0,23-0,56)</t>
  </si>
  <si>
    <t>0,05% (0,03% a 0,08%)</t>
  </si>
  <si>
    <t>1867 (1305 a 3713)</t>
  </si>
  <si>
    <t>0,17 (0,11-0,25)</t>
  </si>
  <si>
    <t>19,4% (16,72% a 22,3%)</t>
  </si>
  <si>
    <t>5 (4 a 6)</t>
  </si>
  <si>
    <t>0,56 (0,49-0,63)</t>
  </si>
  <si>
    <t>0,03% (0,02% a 0,04%)</t>
  </si>
  <si>
    <t>3458 (2856 a 4385)</t>
  </si>
  <si>
    <t>0,31 (0,3-0,33)</t>
  </si>
  <si>
    <t>0,78% (0,75% a 0,81%)</t>
  </si>
  <si>
    <t>128 (123 a 134)</t>
  </si>
  <si>
    <t>1 (0,17-5,96)</t>
  </si>
  <si>
    <t>0% (-1,03% a 1,35%)</t>
  </si>
  <si>
    <t>0,18 (0,07-0,46)</t>
  </si>
  <si>
    <t>0,28% (0,11% a 0,41%)</t>
  </si>
  <si>
    <t>361 (242 a 910)</t>
  </si>
  <si>
    <t>0,25 (0,21-0,31)</t>
  </si>
  <si>
    <t>0,01% (0,01% a 0,02%)</t>
  </si>
  <si>
    <t>7505 (6618 a 8741)</t>
  </si>
  <si>
    <t>0,78 (0,61-1,01)</t>
  </si>
  <si>
    <t>0,89% (-0,03% a 1,8%)</t>
  </si>
  <si>
    <t>112 (56 a -3863)</t>
  </si>
  <si>
    <t>Thompson 2016, 22,5, 3y</t>
  </si>
  <si>
    <t>Guerra 2016, 22,5, 6y</t>
  </si>
  <si>
    <t>Cocchio 2017, 22,5, 7y</t>
  </si>
  <si>
    <t>Herweijer 2018, 22,5, 6y</t>
  </si>
  <si>
    <t>Thönes 2017, 22,5, 3y</t>
  </si>
  <si>
    <t>Flagg 2018, 22,5, 8y</t>
  </si>
  <si>
    <t>Bauer 2012, 22,5, 4y</t>
  </si>
  <si>
    <t>Dominiak 2015, 22,5, 6y</t>
  </si>
  <si>
    <t>Oliphant 2017, 22,5, 5y</t>
  </si>
  <si>
    <t>Steben 2018, 22,5, 4y</t>
  </si>
  <si>
    <t>Bollerup 2016, 22,5, 4y</t>
  </si>
  <si>
    <t>Lui 2014, 22,5, 4y</t>
  </si>
  <si>
    <t>Harrison 2014, 22,5, 8y</t>
  </si>
  <si>
    <t>Smith 201, 22,5, 4y</t>
  </si>
  <si>
    <t>Callander 2016, 22,5, 8y</t>
  </si>
  <si>
    <t>Thompson 2016, 27,5, 3y</t>
  </si>
  <si>
    <t>Guerra 2016, 27,5, 6y</t>
  </si>
  <si>
    <t>Cocchio 2017, 27,5, 7y</t>
  </si>
  <si>
    <t>Herweijer 2018, 27,5, 6y</t>
  </si>
  <si>
    <t>Thönes 2017, 27,5, 3y</t>
  </si>
  <si>
    <t>Flagg 2018, 27,5, 8y</t>
  </si>
  <si>
    <t>Bauer 2012, 27,5, 4y</t>
  </si>
  <si>
    <t>Dominiak 2015, 27,5, 6y</t>
  </si>
  <si>
    <t>Oliphant 2017, 27,5, 5y</t>
  </si>
  <si>
    <t>Steben 2018, 27,5, 4y</t>
  </si>
  <si>
    <t>Bollerup 2016, 27,5, 4y</t>
  </si>
  <si>
    <t>Lui 2014, 27,5, 4y</t>
  </si>
  <si>
    <t>Harrison 2014, 27,5, 8y</t>
  </si>
  <si>
    <t>Smith 201, 27,5, 4y</t>
  </si>
  <si>
    <t>Callander 2016, 27,5, 8y</t>
  </si>
  <si>
    <t>0,94 (0,81-1,1)</t>
  </si>
  <si>
    <t>0,02% (-0,03% a 0,06%)</t>
  </si>
  <si>
    <t>6054 (1677 a -3720)</t>
  </si>
  <si>
    <t>0,89 (0,83-0,95)</t>
  </si>
  <si>
    <t>0,03% (0,01% a 0,05%)</t>
  </si>
  <si>
    <t>3284 (2071 a 7828)</t>
  </si>
  <si>
    <t>0,72 (0,59-0,88)</t>
  </si>
  <si>
    <t>6434 (3974 a 16794)</t>
  </si>
  <si>
    <t>0,79 (0,74-0,84)</t>
  </si>
  <si>
    <t>0,13% (0,09% a 0,16%)</t>
  </si>
  <si>
    <t>794 (626 a 1096)</t>
  </si>
  <si>
    <t>0,96 (0,91-1,01)</t>
  </si>
  <si>
    <t>0,02% (-0,01% a 0,04%)</t>
  </si>
  <si>
    <t>5284 (2226 a -13763)</t>
  </si>
  <si>
    <t>1,21 (1,16-1,26)</t>
  </si>
  <si>
    <t>-0,06% (-0,07% a -0,05%)</t>
  </si>
  <si>
    <t>-1705 (-2123 a -1419)</t>
  </si>
  <si>
    <t>1,05 (1,01-1,1)</t>
  </si>
  <si>
    <t>-0,04% (-0,07% a -0,01%)</t>
  </si>
  <si>
    <t>-2675 (-14761 a -1455)</t>
  </si>
  <si>
    <t>0,96 (0,79-1,16)</t>
  </si>
  <si>
    <t>0,01% (-0,03% a 0,04%)</t>
  </si>
  <si>
    <t>12579 (2313 a -3506)</t>
  </si>
  <si>
    <t>0,62 (0,47-0,81)</t>
  </si>
  <si>
    <t>5,99% (2,82% a 9,31%)</t>
  </si>
  <si>
    <t>17 (11 a 35)</t>
  </si>
  <si>
    <t>0,89 (0,81-0,98)</t>
  </si>
  <si>
    <t>0,02% (0% a 0,05%)</t>
  </si>
  <si>
    <t>4003 (2191 a 23111)</t>
  </si>
  <si>
    <t>0,88 (0,84-0,92)</t>
  </si>
  <si>
    <t>0,09% (0,06% a 0,12%)</t>
  </si>
  <si>
    <t>1089 (806 a 1684)</t>
  </si>
  <si>
    <t>0,64 (0,41-1,01)</t>
  </si>
  <si>
    <t>1,9% (0,04% a 3,82%)</t>
  </si>
  <si>
    <t>53 (26 a 2730)</t>
  </si>
  <si>
    <t>0,25 (0,13-0,49)</t>
  </si>
  <si>
    <t>0,26% (0,12% a 0,38%)</t>
  </si>
  <si>
    <t>383 (265 a 810)</t>
  </si>
  <si>
    <t>0,71 (0,64-0,79)</t>
  </si>
  <si>
    <t>8277 (6296 a 12251)</t>
  </si>
  <si>
    <t>0,32 (0,27-0,38)</t>
  </si>
  <si>
    <t>6,62% (5,72% a 7,5%)</t>
  </si>
  <si>
    <t>15 (13 a 17)</t>
  </si>
  <si>
    <t>Thomsom 2016, 34,5, 3y</t>
  </si>
  <si>
    <t>Cocchio 2017, 34,5, 7Y</t>
  </si>
  <si>
    <t>Herweijer 2018, 34,5, 6y</t>
  </si>
  <si>
    <t>Thönes 2017, 34,5,3y</t>
  </si>
  <si>
    <t>Flagg 2018, 34,5, 8y</t>
  </si>
  <si>
    <t>Bauer 2012, 34,5, 4y</t>
  </si>
  <si>
    <t>Dominiak 2015, 34,5, 6y</t>
  </si>
  <si>
    <t>Oliphan 2017, 34,5, 5y</t>
  </si>
  <si>
    <t>Steben 2018, 34,5, 4y</t>
  </si>
  <si>
    <t>Bolleruo 2016, 34,5, 4y</t>
  </si>
  <si>
    <t>Lui 2014, 34,5, 4y</t>
  </si>
  <si>
    <t>Harrison 2014, 34,5, 8y</t>
  </si>
  <si>
    <t>Smith 2015, 34,5, 4y</t>
  </si>
  <si>
    <t>Callander 2016, 34,5, 8y</t>
  </si>
  <si>
    <t>1,04 (0,89-1,21)</t>
  </si>
  <si>
    <t>0% (-0,03% a 0,02%)</t>
  </si>
  <si>
    <t>-20765 (6165 a -3863)</t>
  </si>
  <si>
    <t>0,63 (0,52-0,75)</t>
  </si>
  <si>
    <t>8834 (6436 a 14069)</t>
  </si>
  <si>
    <t>1,06 (0,99-1,13)</t>
  </si>
  <si>
    <t>-0,01% (-0,03% a 0%)</t>
  </si>
  <si>
    <t>-7529 (100937 a -3588)</t>
  </si>
  <si>
    <t>1,06 (1,01-1,11)</t>
  </si>
  <si>
    <t>-0,02% (-0,03% a 0%)</t>
  </si>
  <si>
    <t>-6389 (-37537 a -3492)</t>
  </si>
  <si>
    <t>1,54 (1,49-1,59)</t>
  </si>
  <si>
    <t>-0,08% (-0,08% a -0,07%)</t>
  </si>
  <si>
    <t>-1327 (-1424 a -1242)</t>
  </si>
  <si>
    <t>1,13 (1,07-1,19)</t>
  </si>
  <si>
    <t>-0,05% (-0,07% a -0,03%)</t>
  </si>
  <si>
    <t>-2024 (-3668 a -1384)</t>
  </si>
  <si>
    <t>0,98 (0,83-1,15)</t>
  </si>
  <si>
    <t>0% (-0,02% a 0,02%)</t>
  </si>
  <si>
    <t>44796 (5079 a -6436)</t>
  </si>
  <si>
    <t>0,74 (0,52-1,04)</t>
  </si>
  <si>
    <t>2,53% (-0,11% a 5,39%)</t>
  </si>
  <si>
    <t>39 (19 a -877)</t>
  </si>
  <si>
    <t>0,92 (0,86-0,97)</t>
  </si>
  <si>
    <t>0% (0% a 0,01%)</t>
  </si>
  <si>
    <t>26269 (15672 a 81972)</t>
  </si>
  <si>
    <t>0,96 (0,92-1)</t>
  </si>
  <si>
    <t>0,01% (0% a 0,03%)</t>
  </si>
  <si>
    <t>7659 (3682 a -88375)</t>
  </si>
  <si>
    <t>1,37 (1,01-1,87)</t>
  </si>
  <si>
    <t>-2,08% (-4,11% a 0,4%)</t>
  </si>
  <si>
    <t>-48 (253 a -24)</t>
  </si>
  <si>
    <t>0,6 (0,34-1,05)</t>
  </si>
  <si>
    <t>0,05% (-0,01% a 0,11%)</t>
  </si>
  <si>
    <t>1914 (918 a -9860)</t>
  </si>
  <si>
    <t>0,89 (0,84-0,94)</t>
  </si>
  <si>
    <t>0% (0% a 0%)</t>
  </si>
  <si>
    <t>58460 (40063 a 109135)</t>
  </si>
  <si>
    <t>0,75 (0,65-0,86)</t>
  </si>
  <si>
    <t>1,7% (0,86% a 2,54%)</t>
  </si>
  <si>
    <t>59 (39 a 116)</t>
  </si>
  <si>
    <t>0,5 (0,41-0,61)</t>
  </si>
  <si>
    <t>0,50 (0,41-0,61)</t>
  </si>
  <si>
    <t>0,50 (0,23-1,08)</t>
  </si>
  <si>
    <r>
      <t>I</t>
    </r>
    <r>
      <rPr>
        <b/>
        <i/>
        <vertAlign val="superscript"/>
        <sz val="14"/>
        <color indexed="10"/>
        <rFont val="Calibri"/>
        <family val="2"/>
      </rPr>
      <t xml:space="preserve">2 </t>
    </r>
    <r>
      <rPr>
        <b/>
        <sz val="14"/>
        <color indexed="10"/>
        <rFont val="Calibri"/>
        <family val="2"/>
      </rPr>
      <t>= 99%</t>
    </r>
  </si>
  <si>
    <t>0,02%</t>
  </si>
  <si>
    <t>0,05%</t>
  </si>
  <si>
    <t>0,02% (0,02% a 0,03%)</t>
  </si>
  <si>
    <t>4398 (3722 a 5649)</t>
  </si>
  <si>
    <t>0,13%</t>
  </si>
  <si>
    <t>0,26%</t>
  </si>
  <si>
    <t>0,13% (0,1% a 0,15%)</t>
  </si>
  <si>
    <t>787 (666 a 1011)</t>
  </si>
  <si>
    <t>31620 / 7835940</t>
  </si>
  <si>
    <t>0,08%</t>
  </si>
  <si>
    <t>0,44%</t>
  </si>
  <si>
    <t>en 5,3 años</t>
  </si>
  <si>
    <t>0,59 (0,51-0,68)</t>
  </si>
  <si>
    <t>0,59 (0,33-1,05)</t>
  </si>
  <si>
    <r>
      <t>I</t>
    </r>
    <r>
      <rPr>
        <b/>
        <i/>
        <vertAlign val="superscript"/>
        <sz val="14"/>
        <color indexed="10"/>
        <rFont val="Calibri"/>
        <family val="2"/>
      </rPr>
      <t xml:space="preserve">2 </t>
    </r>
    <r>
      <rPr>
        <b/>
        <sz val="14"/>
        <color indexed="10"/>
        <rFont val="Calibri"/>
        <family val="2"/>
      </rPr>
      <t>= 99%</t>
    </r>
  </si>
  <si>
    <t>0,03% (0,03% a 0,04%)</t>
  </si>
  <si>
    <t>2950 (2475 a 3789)</t>
  </si>
  <si>
    <t>0,18% (0,14% a 0,21%)</t>
  </si>
  <si>
    <t>557 (467 a 715)</t>
  </si>
  <si>
    <t>0,06%</t>
  </si>
  <si>
    <t>8019 (5629 a 15394)</t>
  </si>
  <si>
    <t>0,33%</t>
  </si>
  <si>
    <t>0,07% (0,04% a 0,1%)</t>
  </si>
  <si>
    <t>1450 (1018 a 2785)</t>
  </si>
  <si>
    <t>0,79 (0,70-0,89)</t>
  </si>
  <si>
    <t>0,79 (0,49-1,27)</t>
  </si>
  <si>
    <t>en 5,5 años</t>
  </si>
  <si>
    <r>
      <t>I</t>
    </r>
    <r>
      <rPr>
        <b/>
        <i/>
        <vertAlign val="superscript"/>
        <sz val="14"/>
        <color indexed="10"/>
        <rFont val="Calibri"/>
        <family val="2"/>
      </rPr>
      <t xml:space="preserve">2 </t>
    </r>
    <r>
      <rPr>
        <b/>
        <sz val="14"/>
        <color indexed="10"/>
        <rFont val="Calibri"/>
        <family val="2"/>
      </rPr>
      <t>= 97%</t>
    </r>
  </si>
  <si>
    <r>
      <t>I</t>
    </r>
    <r>
      <rPr>
        <b/>
        <i/>
        <vertAlign val="superscript"/>
        <sz val="14"/>
        <color indexed="10"/>
        <rFont val="Calibri"/>
        <family val="2"/>
      </rPr>
      <t xml:space="preserve">2 </t>
    </r>
    <r>
      <rPr>
        <b/>
        <sz val="14"/>
        <color indexed="10"/>
        <rFont val="Calibri"/>
        <family val="2"/>
      </rPr>
      <t>= 98%</t>
    </r>
  </si>
  <si>
    <t>en 4,9 años</t>
  </si>
  <si>
    <t>184511 (40968 a -61396)</t>
  </si>
  <si>
    <t>0,97 (0,84-1,10)</t>
  </si>
  <si>
    <t>0,97 (0,57-1,63)</t>
  </si>
  <si>
    <t>0% (-0,01% a 0,01%)</t>
  </si>
  <si>
    <t>37923 (8420 a -12619)</t>
  </si>
  <si>
    <t>CAMBIOS EN CIN2+, mujeres 15-19 años, tras 3 a 8 años de vacunación</t>
  </si>
  <si>
    <t>CAMBIO Verrugas AG, mujeres 15-19 años, tras 3 a 8 años de vacunación</t>
  </si>
  <si>
    <t>CAMBIO Verrugas AG, mujeres 20-24 años, tras 3 a 8 años de vacunación</t>
  </si>
  <si>
    <t>CAMBIOS Verrugas AG, mujeres 25-29 años, tras 3 a 8 años de vacunación</t>
  </si>
  <si>
    <t>CAMBIOS Verrugas AG, mujeres 30-39 años, tras 3 a 8 años de vacunación</t>
  </si>
  <si>
    <r>
      <rPr>
        <b/>
        <sz val="14"/>
        <color indexed="60"/>
        <rFont val="Calibri"/>
        <family val="2"/>
      </rPr>
      <t>Tabla 2.b:</t>
    </r>
    <r>
      <rPr>
        <b/>
        <sz val="14"/>
        <rFont val="Calibri"/>
        <family val="2"/>
      </rPr>
      <t xml:space="preserve">  </t>
    </r>
  </si>
  <si>
    <r>
      <rPr>
        <b/>
        <sz val="14"/>
        <color indexed="60"/>
        <rFont val="Calibri"/>
        <family val="2"/>
      </rPr>
      <t>Tabla 3.b:</t>
    </r>
    <r>
      <rPr>
        <b/>
        <sz val="14"/>
        <rFont val="Calibri"/>
        <family val="2"/>
      </rPr>
      <t xml:space="preserve">  </t>
    </r>
  </si>
  <si>
    <r>
      <rPr>
        <b/>
        <sz val="14"/>
        <color indexed="60"/>
        <rFont val="Calibri"/>
        <family val="2"/>
      </rPr>
      <t>Tabla 4.b:</t>
    </r>
    <r>
      <rPr>
        <b/>
        <sz val="14"/>
        <rFont val="Calibri"/>
        <family val="2"/>
      </rPr>
      <t xml:space="preserve">  </t>
    </r>
  </si>
  <si>
    <r>
      <rPr>
        <b/>
        <sz val="14"/>
        <color indexed="60"/>
        <rFont val="Calibri"/>
        <family val="2"/>
      </rPr>
      <t>Tabla 10.b:</t>
    </r>
    <r>
      <rPr>
        <b/>
        <sz val="14"/>
        <rFont val="Calibri"/>
        <family val="2"/>
      </rPr>
      <t xml:space="preserve">  </t>
    </r>
  </si>
  <si>
    <r>
      <rPr>
        <b/>
        <sz val="14"/>
        <color indexed="60"/>
        <rFont val="Calibri"/>
        <family val="2"/>
      </rPr>
      <t>Tabla 1.b:</t>
    </r>
    <r>
      <rPr>
        <b/>
        <sz val="14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</si>
</sst>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\ _€_-;\-* #,##0.00\ _€_-;_-* \-??\ _€_-;_-@_-"/>
    <numFmt numFmtId="196" formatCode="_-* #,##0\ _€_-;\-* #,##0\ _€_-;_-* &quot;-&quot;?\ _€_-;_-@_-"/>
    <numFmt numFmtId="197" formatCode="[$-C0A]dddd\,\ dd&quot; de &quot;mmmm&quot; de &quot;yyyy"/>
    <numFmt numFmtId="198" formatCode="#,##0.00_ ;\-#,##0.00\ "/>
    <numFmt numFmtId="199" formatCode="_-* #,##0.00000\ _€_-;\-* #,##0.00000\ _€_-;_-* &quot;-&quot;???\ _€_-;_-@_-"/>
    <numFmt numFmtId="200" formatCode="[$-C0A]dddd\,\ d&quot; de &quot;mmmm&quot; de &quot;yyyy"/>
    <numFmt numFmtId="201" formatCode="_-* #,##0.0000000\ _€_-;\-* #,##0.0000000\ _€_-;_-* &quot;-&quot;??\ _€_-;_-@_-"/>
    <numFmt numFmtId="202" formatCode="0.000000000"/>
    <numFmt numFmtId="203" formatCode="0.0000000000"/>
    <numFmt numFmtId="204" formatCode="0.00000000000"/>
    <numFmt numFmtId="205" formatCode="0.000000000000"/>
    <numFmt numFmtId="206" formatCode="_-* #,##0.00\ _€_-;\-* #,##0.00\ _€_-;_-* &quot;-&quot;???\ _€_-;_-@_-"/>
    <numFmt numFmtId="207" formatCode="_-* #,##0.00000000\ _€_-;\-* #,##0.00000000\ _€_-;_-* &quot;-&quot;??\ _€_-;_-@_-"/>
    <numFmt numFmtId="208" formatCode="_-* #,##0.000000000\ _€_-;\-* #,##0.000000000\ _€_-;_-* &quot;-&quot;??\ _€_-;_-@_-"/>
    <numFmt numFmtId="209" formatCode="_-* #,##0.0000000000\ _€_-;\-* #,##0.0000000000\ _€_-;_-* &quot;-&quot;??\ _€_-;_-@_-"/>
    <numFmt numFmtId="210" formatCode="_-* #,##0.00000000000\ _€_-;\-* #,##0.00000000000\ _€_-;_-* &quot;-&quot;??\ _€_-;_-@_-"/>
    <numFmt numFmtId="211" formatCode="_-* #,##0.00000000\ _€_-;\-* #,##0.00000000\ _€_-;_-* &quot;-&quot;????????\ _€_-;_-@_-"/>
    <numFmt numFmtId="212" formatCode="0.00000000000000000000000000000000000000000000000000000000000000000000000000000000000000000"/>
    <numFmt numFmtId="213" formatCode="#,##0.0"/>
    <numFmt numFmtId="214" formatCode="#,##0_ ;\-#,##0\ 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i/>
      <vertAlign val="superscript"/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62"/>
      <name val="Courier"/>
      <family val="2"/>
    </font>
    <font>
      <b/>
      <sz val="11"/>
      <color indexed="62"/>
      <name val="Courier"/>
      <family val="2"/>
    </font>
    <font>
      <sz val="11"/>
      <color indexed="62"/>
      <name val="Courier"/>
      <family val="2"/>
    </font>
    <font>
      <sz val="11"/>
      <color indexed="14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62"/>
      <name val="Cambria"/>
      <family val="2"/>
    </font>
    <font>
      <b/>
      <sz val="13"/>
      <color indexed="62"/>
      <name val="Courier"/>
      <family val="2"/>
    </font>
    <font>
      <b/>
      <sz val="11"/>
      <color indexed="8"/>
      <name val="Courier"/>
      <family val="2"/>
    </font>
    <font>
      <sz val="11"/>
      <name val="Calibri"/>
      <family val="2"/>
    </font>
    <font>
      <sz val="10"/>
      <color indexed="62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b/>
      <i/>
      <sz val="14"/>
      <color indexed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0"/>
    </font>
    <font>
      <b/>
      <sz val="13"/>
      <name val="Calibri"/>
      <family val="2"/>
    </font>
    <font>
      <sz val="14"/>
      <name val="Calibri"/>
      <family val="2"/>
    </font>
    <font>
      <sz val="12"/>
      <name val="Calibri"/>
      <family val="0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color indexed="17"/>
      <name val="Calibri"/>
      <family val="2"/>
    </font>
    <font>
      <b/>
      <sz val="14"/>
      <color indexed="53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sz val="14"/>
      <color indexed="39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sz val="10"/>
      <color rgb="FF7030A0"/>
      <name val="Calibri"/>
      <family val="2"/>
    </font>
    <font>
      <sz val="11"/>
      <color rgb="FF000000"/>
      <name val="Calibri"/>
      <family val="2"/>
    </font>
    <font>
      <b/>
      <sz val="10"/>
      <color rgb="FF7030A0"/>
      <name val="Calibri"/>
      <family val="2"/>
    </font>
    <font>
      <b/>
      <i/>
      <sz val="14"/>
      <color rgb="FFFF0000"/>
      <name val="Calibri"/>
      <family val="2"/>
    </font>
    <font>
      <sz val="10"/>
      <color rgb="FFFF0000"/>
      <name val="Calibri"/>
      <family val="2"/>
    </font>
    <font>
      <sz val="10"/>
      <color rgb="FF009900"/>
      <name val="Calibri"/>
      <family val="2"/>
    </font>
    <font>
      <sz val="12"/>
      <color rgb="FF009900"/>
      <name val="Calibri"/>
      <family val="2"/>
    </font>
    <font>
      <b/>
      <sz val="14"/>
      <color rgb="FFFF6600"/>
      <name val="Calibri"/>
      <family val="2"/>
    </font>
    <font>
      <b/>
      <sz val="14"/>
      <color rgb="FF0000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6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2" fontId="3" fillId="33" borderId="0" xfId="0" applyNumberFormat="1" applyFont="1" applyFill="1" applyBorder="1" applyAlignment="1">
      <alignment horizontal="center"/>
    </xf>
    <xf numFmtId="10" fontId="3" fillId="33" borderId="0" xfId="6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6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/>
    </xf>
    <xf numFmtId="43" fontId="3" fillId="0" borderId="0" xfId="0" applyNumberFormat="1" applyFont="1" applyFill="1" applyAlignment="1">
      <alignment/>
    </xf>
    <xf numFmtId="0" fontId="65" fillId="34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distributed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49" fontId="3" fillId="0" borderId="16" xfId="0" applyNumberFormat="1" applyFont="1" applyBorder="1" applyAlignment="1">
      <alignment/>
    </xf>
    <xf numFmtId="165" fontId="3" fillId="0" borderId="11" xfId="49" applyNumberFormat="1" applyFont="1" applyBorder="1" applyAlignment="1">
      <alignment horizontal="center"/>
    </xf>
    <xf numFmtId="166" fontId="3" fillId="0" borderId="11" xfId="49" applyNumberFormat="1" applyFont="1" applyBorder="1" applyAlignment="1">
      <alignment horizontal="center"/>
    </xf>
    <xf numFmtId="10" fontId="3" fillId="0" borderId="17" xfId="6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right" vertical="center"/>
    </xf>
    <xf numFmtId="10" fontId="28" fillId="35" borderId="11" xfId="0" applyNumberFormat="1" applyFont="1" applyFill="1" applyBorder="1" applyAlignment="1">
      <alignment horizontal="center" vertical="center"/>
    </xf>
    <xf numFmtId="10" fontId="28" fillId="36" borderId="11" xfId="0" applyNumberFormat="1" applyFont="1" applyFill="1" applyBorder="1" applyAlignment="1">
      <alignment horizontal="center" vertical="center"/>
    </xf>
    <xf numFmtId="10" fontId="28" fillId="37" borderId="11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right" vertical="center"/>
    </xf>
    <xf numFmtId="1" fontId="28" fillId="35" borderId="12" xfId="0" applyNumberFormat="1" applyFont="1" applyFill="1" applyBorder="1" applyAlignment="1">
      <alignment horizontal="center" vertical="center"/>
    </xf>
    <xf numFmtId="1" fontId="28" fillId="36" borderId="12" xfId="0" applyNumberFormat="1" applyFont="1" applyFill="1" applyBorder="1" applyAlignment="1">
      <alignment horizontal="center" vertical="center"/>
    </xf>
    <xf numFmtId="1" fontId="28" fillId="37" borderId="1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/>
    </xf>
    <xf numFmtId="165" fontId="3" fillId="33" borderId="0" xfId="0" applyNumberFormat="1" applyFont="1" applyFill="1" applyBorder="1" applyAlignment="1">
      <alignment horizontal="center"/>
    </xf>
    <xf numFmtId="10" fontId="3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43" fontId="28" fillId="0" borderId="0" xfId="49" applyFont="1" applyAlignment="1">
      <alignment horizontal="right"/>
    </xf>
    <xf numFmtId="174" fontId="28" fillId="0" borderId="0" xfId="60" applyNumberFormat="1" applyFont="1" applyAlignment="1">
      <alignment/>
    </xf>
    <xf numFmtId="10" fontId="66" fillId="0" borderId="0" xfId="60" applyNumberFormat="1" applyFont="1" applyAlignment="1">
      <alignment horizontal="right" vertical="center"/>
    </xf>
    <xf numFmtId="0" fontId="28" fillId="0" borderId="14" xfId="46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34" borderId="22" xfId="0" applyFont="1" applyFill="1" applyBorder="1" applyAlignment="1">
      <alignment horizontal="center" vertical="distributed" wrapText="1"/>
    </xf>
    <xf numFmtId="0" fontId="25" fillId="34" borderId="0" xfId="0" applyFont="1" applyFill="1" applyBorder="1" applyAlignment="1">
      <alignment horizontal="center"/>
    </xf>
    <xf numFmtId="2" fontId="25" fillId="34" borderId="14" xfId="0" applyNumberFormat="1" applyFont="1" applyFill="1" applyBorder="1" applyAlignment="1">
      <alignment horizontal="center" vertical="distributed"/>
    </xf>
    <xf numFmtId="11" fontId="25" fillId="34" borderId="14" xfId="0" applyNumberFormat="1" applyFont="1" applyFill="1" applyBorder="1" applyAlignment="1">
      <alignment horizontal="center" vertical="distributed"/>
    </xf>
    <xf numFmtId="172" fontId="3" fillId="0" borderId="0" xfId="0" applyNumberFormat="1" applyFont="1" applyFill="1" applyAlignment="1">
      <alignment horizontal="center" vertical="center"/>
    </xf>
    <xf numFmtId="0" fontId="67" fillId="34" borderId="15" xfId="0" applyFont="1" applyFill="1" applyBorder="1" applyAlignment="1">
      <alignment horizontal="center" vertical="distributed" wrapText="1"/>
    </xf>
    <xf numFmtId="10" fontId="3" fillId="34" borderId="0" xfId="60" applyNumberFormat="1" applyFont="1" applyFill="1" applyAlignment="1">
      <alignment/>
    </xf>
    <xf numFmtId="43" fontId="28" fillId="34" borderId="0" xfId="49" applyFont="1" applyFill="1" applyBorder="1" applyAlignment="1">
      <alignment horizontal="center" vertical="distributed"/>
    </xf>
    <xf numFmtId="10" fontId="31" fillId="34" borderId="11" xfId="0" applyNumberFormat="1" applyFont="1" applyFill="1" applyBorder="1" applyAlignment="1">
      <alignment horizontal="center" vertical="distributed"/>
    </xf>
    <xf numFmtId="0" fontId="28" fillId="34" borderId="0" xfId="0" applyFont="1" applyFill="1" applyBorder="1" applyAlignment="1">
      <alignment horizontal="center" vertical="distributed"/>
    </xf>
    <xf numFmtId="0" fontId="3" fillId="34" borderId="0" xfId="0" applyFont="1" applyFill="1" applyBorder="1" applyAlignment="1">
      <alignment horizontal="center" vertical="distributed" wrapText="1"/>
    </xf>
    <xf numFmtId="0" fontId="32" fillId="34" borderId="0" xfId="0" applyFont="1" applyFill="1" applyBorder="1" applyAlignment="1">
      <alignment horizontal="center" vertical="distributed" wrapText="1"/>
    </xf>
    <xf numFmtId="0" fontId="3" fillId="34" borderId="0" xfId="0" applyFont="1" applyFill="1" applyAlignment="1">
      <alignment horizontal="center" vertical="center"/>
    </xf>
    <xf numFmtId="0" fontId="28" fillId="34" borderId="0" xfId="0" applyFont="1" applyFill="1" applyBorder="1" applyAlignment="1">
      <alignment horizontal="center" vertical="distributed" wrapText="1"/>
    </xf>
    <xf numFmtId="10" fontId="28" fillId="34" borderId="0" xfId="60" applyNumberFormat="1" applyFont="1" applyFill="1" applyBorder="1" applyAlignment="1">
      <alignment horizontal="center" vertical="distributed" wrapText="1"/>
    </xf>
    <xf numFmtId="10" fontId="3" fillId="34" borderId="0" xfId="60" applyNumberFormat="1" applyFont="1" applyFill="1" applyBorder="1" applyAlignment="1">
      <alignment horizontal="center" vertical="distributed" wrapText="1"/>
    </xf>
    <xf numFmtId="167" fontId="33" fillId="34" borderId="0" xfId="0" applyNumberFormat="1" applyFont="1" applyFill="1" applyBorder="1" applyAlignment="1">
      <alignment horizontal="center" vertical="distributed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distributed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distributed" wrapText="1"/>
    </xf>
    <xf numFmtId="0" fontId="34" fillId="34" borderId="24" xfId="0" applyFont="1" applyFill="1" applyBorder="1" applyAlignment="1">
      <alignment horizontal="center" vertical="distributed"/>
    </xf>
    <xf numFmtId="0" fontId="34" fillId="34" borderId="25" xfId="0" applyFont="1" applyFill="1" applyBorder="1" applyAlignment="1">
      <alignment horizontal="center" vertical="distributed" wrapText="1"/>
    </xf>
    <xf numFmtId="0" fontId="3" fillId="34" borderId="26" xfId="0" applyFont="1" applyFill="1" applyBorder="1" applyAlignment="1">
      <alignment horizontal="right" vertical="center"/>
    </xf>
    <xf numFmtId="10" fontId="35" fillId="34" borderId="27" xfId="0" applyNumberFormat="1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vertical="center"/>
    </xf>
    <xf numFmtId="172" fontId="35" fillId="34" borderId="27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vertical="center"/>
    </xf>
    <xf numFmtId="10" fontId="36" fillId="34" borderId="29" xfId="0" applyNumberFormat="1" applyFont="1" applyFill="1" applyBorder="1" applyAlignment="1">
      <alignment horizontal="center" vertical="center"/>
    </xf>
    <xf numFmtId="10" fontId="36" fillId="34" borderId="30" xfId="0" applyNumberFormat="1" applyFont="1" applyFill="1" applyBorder="1" applyAlignment="1">
      <alignment horizontal="center" vertical="center"/>
    </xf>
    <xf numFmtId="0" fontId="37" fillId="34" borderId="30" xfId="0" applyFont="1" applyFill="1" applyBorder="1" applyAlignment="1">
      <alignment horizontal="center" vertical="distributed"/>
    </xf>
    <xf numFmtId="0" fontId="35" fillId="34" borderId="31" xfId="0" applyFont="1" applyFill="1" applyBorder="1" applyAlignment="1">
      <alignment horizontal="center" vertical="center"/>
    </xf>
    <xf numFmtId="43" fontId="37" fillId="34" borderId="32" xfId="49" applyFont="1" applyFill="1" applyBorder="1" applyAlignment="1">
      <alignment horizontal="center" vertical="distributed"/>
    </xf>
    <xf numFmtId="43" fontId="35" fillId="34" borderId="33" xfId="49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right" vertical="center"/>
    </xf>
    <xf numFmtId="10" fontId="35" fillId="34" borderId="0" xfId="0" applyNumberFormat="1" applyFont="1" applyFill="1" applyBorder="1" applyAlignment="1">
      <alignment horizontal="center" vertical="center"/>
    </xf>
    <xf numFmtId="167" fontId="3" fillId="34" borderId="0" xfId="60" applyNumberFormat="1" applyFont="1" applyFill="1" applyBorder="1" applyAlignment="1">
      <alignment horizontal="left" vertical="center"/>
    </xf>
    <xf numFmtId="2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172" fontId="35" fillId="34" borderId="0" xfId="0" applyNumberFormat="1" applyFont="1" applyFill="1" applyBorder="1" applyAlignment="1">
      <alignment horizontal="center" vertical="center"/>
    </xf>
    <xf numFmtId="10" fontId="36" fillId="34" borderId="0" xfId="0" applyNumberFormat="1" applyFont="1" applyFill="1" applyBorder="1" applyAlignment="1">
      <alignment horizontal="center" vertical="center"/>
    </xf>
    <xf numFmtId="43" fontId="6" fillId="34" borderId="0" xfId="49" applyFont="1" applyFill="1" applyBorder="1" applyAlignment="1">
      <alignment horizontal="center" vertical="distributed"/>
    </xf>
    <xf numFmtId="43" fontId="37" fillId="34" borderId="0" xfId="49" applyFont="1" applyFill="1" applyBorder="1" applyAlignment="1">
      <alignment horizontal="center" vertical="distributed"/>
    </xf>
    <xf numFmtId="43" fontId="35" fillId="34" borderId="0" xfId="49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vertical="center"/>
    </xf>
    <xf numFmtId="10" fontId="36" fillId="34" borderId="16" xfId="60" applyNumberFormat="1" applyFont="1" applyFill="1" applyBorder="1" applyAlignment="1">
      <alignment horizontal="center" vertical="center"/>
    </xf>
    <xf numFmtId="10" fontId="6" fillId="34" borderId="16" xfId="60" applyNumberFormat="1" applyFont="1" applyFill="1" applyBorder="1" applyAlignment="1">
      <alignment horizontal="right" vertical="center"/>
    </xf>
    <xf numFmtId="43" fontId="37" fillId="34" borderId="0" xfId="49" applyFont="1" applyFill="1" applyAlignment="1">
      <alignment/>
    </xf>
    <xf numFmtId="43" fontId="3" fillId="34" borderId="0" xfId="49" applyFont="1" applyFill="1" applyAlignment="1">
      <alignment/>
    </xf>
    <xf numFmtId="0" fontId="6" fillId="34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172" fontId="35" fillId="0" borderId="0" xfId="0" applyNumberFormat="1" applyFont="1" applyFill="1" applyBorder="1" applyAlignment="1">
      <alignment horizontal="center" vertical="center"/>
    </xf>
    <xf numFmtId="43" fontId="6" fillId="34" borderId="11" xfId="49" applyFont="1" applyFill="1" applyBorder="1" applyAlignment="1">
      <alignment horizontal="center" vertical="distributed"/>
    </xf>
    <xf numFmtId="43" fontId="6" fillId="34" borderId="30" xfId="49" applyFont="1" applyFill="1" applyBorder="1" applyAlignment="1">
      <alignment horizontal="center" vertical="distributed"/>
    </xf>
    <xf numFmtId="165" fontId="6" fillId="34" borderId="32" xfId="49" applyNumberFormat="1" applyFont="1" applyFill="1" applyBorder="1" applyAlignment="1">
      <alignment horizontal="center" vertical="distributed"/>
    </xf>
    <xf numFmtId="43" fontId="6" fillId="34" borderId="17" xfId="49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1" fontId="28" fillId="0" borderId="15" xfId="0" applyNumberFormat="1" applyFont="1" applyFill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167" fontId="40" fillId="34" borderId="15" xfId="0" applyNumberFormat="1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10" fontId="3" fillId="33" borderId="35" xfId="60" applyNumberFormat="1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distributed"/>
    </xf>
    <xf numFmtId="0" fontId="66" fillId="0" borderId="15" xfId="46" applyFont="1" applyFill="1" applyBorder="1" applyAlignment="1" applyProtection="1">
      <alignment horizontal="center" vertical="center" wrapText="1"/>
      <protection/>
    </xf>
    <xf numFmtId="0" fontId="28" fillId="0" borderId="15" xfId="46" applyFont="1" applyFill="1" applyBorder="1" applyAlignment="1" applyProtection="1">
      <alignment horizontal="center" vertical="center" wrapText="1"/>
      <protection/>
    </xf>
    <xf numFmtId="0" fontId="66" fillId="0" borderId="14" xfId="46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3" fontId="3" fillId="0" borderId="15" xfId="49" applyNumberFormat="1" applyFont="1" applyFill="1" applyBorder="1" applyAlignment="1">
      <alignment horizontal="center" vertical="center"/>
    </xf>
    <xf numFmtId="10" fontId="3" fillId="0" borderId="15" xfId="6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center" vertical="distributed"/>
    </xf>
    <xf numFmtId="3" fontId="28" fillId="0" borderId="15" xfId="49" applyNumberFormat="1" applyFont="1" applyFill="1" applyBorder="1" applyAlignment="1">
      <alignment horizontal="center" vertical="distributed"/>
    </xf>
    <xf numFmtId="3" fontId="3" fillId="0" borderId="15" xfId="49" applyNumberFormat="1" applyFont="1" applyFill="1" applyBorder="1" applyAlignment="1">
      <alignment horizontal="center" vertical="distributed"/>
    </xf>
    <xf numFmtId="213" fontId="66" fillId="33" borderId="15" xfId="46" applyNumberFormat="1" applyFont="1" applyFill="1" applyBorder="1" applyAlignment="1" applyProtection="1">
      <alignment horizontal="center" vertical="center"/>
      <protection/>
    </xf>
    <xf numFmtId="3" fontId="28" fillId="0" borderId="15" xfId="49" applyNumberFormat="1" applyFont="1" applyFill="1" applyBorder="1" applyAlignment="1">
      <alignment horizontal="center" vertical="center"/>
    </xf>
    <xf numFmtId="10" fontId="28" fillId="0" borderId="15" xfId="60" applyNumberFormat="1" applyFont="1" applyFill="1" applyBorder="1" applyAlignment="1">
      <alignment horizontal="center" vertical="center"/>
    </xf>
    <xf numFmtId="172" fontId="28" fillId="38" borderId="15" xfId="0" applyNumberFormat="1" applyFont="1" applyFill="1" applyBorder="1" applyAlignment="1">
      <alignment horizontal="center" vertical="center"/>
    </xf>
    <xf numFmtId="172" fontId="25" fillId="34" borderId="15" xfId="0" applyNumberFormat="1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distributed" wrapText="1"/>
    </xf>
    <xf numFmtId="10" fontId="25" fillId="34" borderId="15" xfId="60" applyNumberFormat="1" applyFont="1" applyFill="1" applyBorder="1" applyAlignment="1">
      <alignment horizontal="center" vertical="distributed" wrapText="1"/>
    </xf>
    <xf numFmtId="167" fontId="25" fillId="34" borderId="15" xfId="60" applyNumberFormat="1" applyFont="1" applyFill="1" applyBorder="1" applyAlignment="1">
      <alignment horizontal="center" vertical="distributed" wrapText="1"/>
    </xf>
    <xf numFmtId="0" fontId="25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right" vertical="distributed"/>
    </xf>
    <xf numFmtId="0" fontId="34" fillId="34" borderId="15" xfId="0" applyFont="1" applyFill="1" applyBorder="1" applyAlignment="1">
      <alignment horizontal="center" vertical="distributed"/>
    </xf>
    <xf numFmtId="0" fontId="25" fillId="34" borderId="38" xfId="0" applyFont="1" applyFill="1" applyBorder="1" applyAlignment="1">
      <alignment horizontal="left" vertical="distributed" wrapText="1"/>
    </xf>
    <xf numFmtId="172" fontId="6" fillId="34" borderId="15" xfId="0" applyNumberFormat="1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distributed" wrapText="1"/>
    </xf>
    <xf numFmtId="10" fontId="6" fillId="34" borderId="15" xfId="60" applyNumberFormat="1" applyFont="1" applyFill="1" applyBorder="1" applyAlignment="1">
      <alignment horizontal="center" vertical="distributed" wrapText="1"/>
    </xf>
    <xf numFmtId="167" fontId="41" fillId="34" borderId="37" xfId="0" applyNumberFormat="1" applyFont="1" applyFill="1" applyBorder="1" applyAlignment="1">
      <alignment horizontal="center" vertical="distributed"/>
    </xf>
    <xf numFmtId="172" fontId="3" fillId="38" borderId="0" xfId="0" applyNumberFormat="1" applyFont="1" applyFill="1" applyAlignment="1">
      <alignment horizontal="center" vertical="center"/>
    </xf>
    <xf numFmtId="0" fontId="34" fillId="34" borderId="24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right" vertical="center"/>
    </xf>
    <xf numFmtId="10" fontId="35" fillId="34" borderId="40" xfId="0" applyNumberFormat="1" applyFont="1" applyFill="1" applyBorder="1" applyAlignment="1">
      <alignment horizontal="center" vertical="center"/>
    </xf>
    <xf numFmtId="167" fontId="3" fillId="34" borderId="40" xfId="60" applyNumberFormat="1" applyFont="1" applyFill="1" applyBorder="1" applyAlignment="1">
      <alignment horizontal="left" vertical="center"/>
    </xf>
    <xf numFmtId="2" fontId="3" fillId="34" borderId="40" xfId="0" applyNumberFormat="1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172" fontId="35" fillId="34" borderId="40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vertical="center"/>
    </xf>
    <xf numFmtId="10" fontId="36" fillId="34" borderId="41" xfId="0" applyNumberFormat="1" applyFont="1" applyFill="1" applyBorder="1" applyAlignment="1">
      <alignment horizontal="center" vertical="center"/>
    </xf>
    <xf numFmtId="10" fontId="36" fillId="34" borderId="32" xfId="0" applyNumberFormat="1" applyFont="1" applyFill="1" applyBorder="1" applyAlignment="1">
      <alignment horizontal="center" vertical="center"/>
    </xf>
    <xf numFmtId="165" fontId="6" fillId="34" borderId="32" xfId="49" applyNumberFormat="1" applyFont="1" applyFill="1" applyBorder="1" applyAlignment="1">
      <alignment horizontal="center" vertical="distributed"/>
    </xf>
    <xf numFmtId="43" fontId="37" fillId="34" borderId="32" xfId="49" applyFont="1" applyFill="1" applyBorder="1" applyAlignment="1">
      <alignment horizontal="center" vertical="distributed"/>
    </xf>
    <xf numFmtId="43" fontId="35" fillId="34" borderId="33" xfId="49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vertical="distributed"/>
    </xf>
    <xf numFmtId="0" fontId="6" fillId="34" borderId="17" xfId="0" applyFont="1" applyFill="1" applyBorder="1" applyAlignment="1">
      <alignment vertical="distributed"/>
    </xf>
    <xf numFmtId="43" fontId="6" fillId="0" borderId="16" xfId="0" applyNumberFormat="1" applyFont="1" applyFill="1" applyBorder="1" applyAlignment="1">
      <alignment horizontal="left" vertical="center"/>
    </xf>
    <xf numFmtId="10" fontId="28" fillId="0" borderId="0" xfId="6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28" fillId="0" borderId="0" xfId="0" applyNumberFormat="1" applyFont="1" applyAlignment="1">
      <alignment horizontal="right" vertical="center"/>
    </xf>
    <xf numFmtId="180" fontId="3" fillId="0" borderId="0" xfId="60" applyNumberFormat="1" applyFont="1" applyAlignment="1">
      <alignment horizontal="left" vertical="center"/>
    </xf>
    <xf numFmtId="213" fontId="64" fillId="32" borderId="15" xfId="46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 horizontal="center" vertical="distributed"/>
    </xf>
    <xf numFmtId="0" fontId="3" fillId="0" borderId="43" xfId="0" applyFont="1" applyBorder="1" applyAlignment="1">
      <alignment horizontal="center" vertical="distributed"/>
    </xf>
    <xf numFmtId="0" fontId="3" fillId="0" borderId="44" xfId="0" applyFont="1" applyBorder="1" applyAlignment="1">
      <alignment horizontal="center" vertical="distributed"/>
    </xf>
    <xf numFmtId="0" fontId="28" fillId="0" borderId="45" xfId="0" applyFont="1" applyFill="1" applyBorder="1" applyAlignment="1">
      <alignment horizontal="center" vertical="distributed"/>
    </xf>
    <xf numFmtId="0" fontId="28" fillId="0" borderId="46" xfId="0" applyFont="1" applyFill="1" applyBorder="1" applyAlignment="1">
      <alignment horizontal="center" vertical="distributed"/>
    </xf>
    <xf numFmtId="0" fontId="28" fillId="0" borderId="47" xfId="0" applyFont="1" applyFill="1" applyBorder="1" applyAlignment="1">
      <alignment horizontal="center" vertical="distributed"/>
    </xf>
    <xf numFmtId="43" fontId="3" fillId="39" borderId="0" xfId="0" applyNumberFormat="1" applyFont="1" applyFill="1" applyAlignment="1">
      <alignment horizontal="left" vertical="center"/>
    </xf>
    <xf numFmtId="43" fontId="3" fillId="39" borderId="0" xfId="0" applyNumberFormat="1" applyFont="1" applyFill="1" applyAlignment="1">
      <alignment horizontal="center"/>
    </xf>
    <xf numFmtId="0" fontId="3" fillId="39" borderId="0" xfId="0" applyFont="1" applyFill="1" applyAlignment="1">
      <alignment/>
    </xf>
    <xf numFmtId="10" fontId="3" fillId="39" borderId="17" xfId="60" applyNumberFormat="1" applyFont="1" applyFill="1" applyBorder="1" applyAlignment="1">
      <alignment horizontal="center" vertical="distributed"/>
    </xf>
    <xf numFmtId="2" fontId="3" fillId="39" borderId="12" xfId="0" applyNumberFormat="1" applyFont="1" applyFill="1" applyBorder="1" applyAlignment="1">
      <alignment horizontal="center" vertical="center"/>
    </xf>
    <xf numFmtId="2" fontId="3" fillId="39" borderId="11" xfId="0" applyNumberFormat="1" applyFont="1" applyFill="1" applyBorder="1" applyAlignment="1">
      <alignment horizontal="center" vertical="center"/>
    </xf>
    <xf numFmtId="2" fontId="3" fillId="39" borderId="17" xfId="0" applyNumberFormat="1" applyFont="1" applyFill="1" applyBorder="1" applyAlignment="1">
      <alignment horizontal="center" vertical="center"/>
    </xf>
    <xf numFmtId="0" fontId="31" fillId="39" borderId="42" xfId="0" applyFont="1" applyFill="1" applyBorder="1" applyAlignment="1">
      <alignment horizontal="center" vertical="distributed" wrapText="1"/>
    </xf>
    <xf numFmtId="0" fontId="31" fillId="39" borderId="43" xfId="0" applyFont="1" applyFill="1" applyBorder="1" applyAlignment="1">
      <alignment horizontal="center" vertical="distributed"/>
    </xf>
    <xf numFmtId="0" fontId="31" fillId="39" borderId="43" xfId="0" applyFont="1" applyFill="1" applyBorder="1" applyAlignment="1">
      <alignment horizontal="center" vertical="distributed" wrapText="1"/>
    </xf>
    <xf numFmtId="0" fontId="31" fillId="39" borderId="44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vertical="center"/>
    </xf>
    <xf numFmtId="10" fontId="36" fillId="39" borderId="16" xfId="60" applyNumberFormat="1" applyFont="1" applyFill="1" applyBorder="1" applyAlignment="1">
      <alignment horizontal="center" vertical="center"/>
    </xf>
    <xf numFmtId="10" fontId="6" fillId="39" borderId="16" xfId="6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72" fontId="3" fillId="39" borderId="0" xfId="0" applyNumberFormat="1" applyFont="1" applyFill="1" applyAlignment="1">
      <alignment horizontal="center"/>
    </xf>
    <xf numFmtId="0" fontId="70" fillId="0" borderId="30" xfId="0" applyFont="1" applyFill="1" applyBorder="1" applyAlignment="1">
      <alignment horizontal="center" vertical="distributed"/>
    </xf>
    <xf numFmtId="43" fontId="70" fillId="0" borderId="32" xfId="49" applyFont="1" applyFill="1" applyBorder="1" applyAlignment="1">
      <alignment horizontal="center" vertical="distributed"/>
    </xf>
    <xf numFmtId="0" fontId="3" fillId="32" borderId="15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distributed"/>
    </xf>
    <xf numFmtId="0" fontId="3" fillId="34" borderId="14" xfId="0" applyFont="1" applyFill="1" applyBorder="1" applyAlignment="1">
      <alignment horizontal="center" vertical="distributed"/>
    </xf>
    <xf numFmtId="0" fontId="25" fillId="34" borderId="15" xfId="0" applyFont="1" applyFill="1" applyBorder="1" applyAlignment="1">
      <alignment horizontal="center" vertical="distributed"/>
    </xf>
    <xf numFmtId="0" fontId="3" fillId="34" borderId="15" xfId="0" applyFont="1" applyFill="1" applyBorder="1" applyAlignment="1">
      <alignment horizontal="center" vertical="distributed"/>
    </xf>
    <xf numFmtId="3" fontId="3" fillId="39" borderId="15" xfId="0" applyNumberFormat="1" applyFont="1" applyFill="1" applyBorder="1" applyAlignment="1">
      <alignment horizontal="center"/>
    </xf>
    <xf numFmtId="3" fontId="3" fillId="39" borderId="15" xfId="49" applyNumberFormat="1" applyFont="1" applyFill="1" applyBorder="1" applyAlignment="1">
      <alignment horizontal="center"/>
    </xf>
    <xf numFmtId="43" fontId="71" fillId="34" borderId="17" xfId="49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left" vertical="center" wrapText="1"/>
    </xf>
    <xf numFmtId="0" fontId="25" fillId="34" borderId="15" xfId="0" applyFont="1" applyFill="1" applyBorder="1" applyAlignment="1">
      <alignment horizontal="left" vertical="center" wrapText="1"/>
    </xf>
    <xf numFmtId="214" fontId="3" fillId="0" borderId="0" xfId="49" applyNumberFormat="1" applyFont="1" applyFill="1" applyBorder="1" applyAlignment="1">
      <alignment horizontal="right" vertical="center"/>
    </xf>
    <xf numFmtId="214" fontId="28" fillId="0" borderId="0" xfId="49" applyNumberFormat="1" applyFont="1" applyFill="1" applyBorder="1" applyAlignment="1">
      <alignment horizontal="right" vertical="center"/>
    </xf>
    <xf numFmtId="172" fontId="68" fillId="0" borderId="15" xfId="0" applyNumberFormat="1" applyFont="1" applyFill="1" applyBorder="1" applyAlignment="1">
      <alignment horizontal="center" vertical="center"/>
    </xf>
    <xf numFmtId="172" fontId="69" fillId="0" borderId="15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31" fillId="39" borderId="48" xfId="0" applyFont="1" applyFill="1" applyBorder="1" applyAlignment="1">
      <alignment horizontal="center" vertical="distributed" wrapText="1"/>
    </xf>
    <xf numFmtId="0" fontId="31" fillId="39" borderId="49" xfId="0" applyFont="1" applyFill="1" applyBorder="1" applyAlignment="1">
      <alignment horizontal="center" vertical="distributed"/>
    </xf>
    <xf numFmtId="0" fontId="31" fillId="39" borderId="49" xfId="0" applyFont="1" applyFill="1" applyBorder="1" applyAlignment="1">
      <alignment horizontal="center" vertical="distributed" wrapText="1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67" fillId="34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43" fontId="71" fillId="34" borderId="50" xfId="49" applyFont="1" applyFill="1" applyBorder="1" applyAlignment="1">
      <alignment horizontal="center" vertical="distributed"/>
    </xf>
    <xf numFmtId="10" fontId="36" fillId="34" borderId="15" xfId="0" applyNumberFormat="1" applyFont="1" applyFill="1" applyBorder="1" applyAlignment="1">
      <alignment horizontal="center" vertical="center"/>
    </xf>
    <xf numFmtId="43" fontId="37" fillId="34" borderId="15" xfId="49" applyFont="1" applyFill="1" applyBorder="1" applyAlignment="1">
      <alignment horizontal="center" vertical="distributed"/>
    </xf>
    <xf numFmtId="43" fontId="3" fillId="34" borderId="15" xfId="49" applyFont="1" applyFill="1" applyBorder="1" applyAlignment="1">
      <alignment horizontal="center" vertical="distributed"/>
    </xf>
    <xf numFmtId="10" fontId="36" fillId="34" borderId="22" xfId="0" applyNumberFormat="1" applyFont="1" applyFill="1" applyBorder="1" applyAlignment="1">
      <alignment horizontal="center" vertical="center"/>
    </xf>
    <xf numFmtId="10" fontId="36" fillId="34" borderId="14" xfId="0" applyNumberFormat="1" applyFont="1" applyFill="1" applyBorder="1" applyAlignment="1">
      <alignment horizontal="center" vertical="center"/>
    </xf>
    <xf numFmtId="43" fontId="71" fillId="34" borderId="14" xfId="49" applyFont="1" applyFill="1" applyBorder="1" applyAlignment="1">
      <alignment horizontal="center" vertical="distributed"/>
    </xf>
    <xf numFmtId="0" fontId="37" fillId="34" borderId="14" xfId="0" applyFont="1" applyFill="1" applyBorder="1" applyAlignment="1">
      <alignment horizontal="center" vertical="distributed"/>
    </xf>
    <xf numFmtId="0" fontId="44" fillId="34" borderId="14" xfId="0" applyFont="1" applyFill="1" applyBorder="1" applyAlignment="1">
      <alignment horizontal="center" vertical="distributed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distributed" wrapText="1"/>
    </xf>
    <xf numFmtId="0" fontId="34" fillId="34" borderId="11" xfId="0" applyFont="1" applyFill="1" applyBorder="1" applyAlignment="1">
      <alignment horizontal="center" vertical="distributed"/>
    </xf>
    <xf numFmtId="0" fontId="34" fillId="34" borderId="17" xfId="0" applyFont="1" applyFill="1" applyBorder="1" applyAlignment="1">
      <alignment horizontal="center" vertical="distributed" wrapText="1"/>
    </xf>
    <xf numFmtId="0" fontId="25" fillId="0" borderId="13" xfId="0" applyFont="1" applyBorder="1" applyAlignment="1">
      <alignment horizontal="center" vertical="center"/>
    </xf>
    <xf numFmtId="43" fontId="71" fillId="34" borderId="11" xfId="49" applyFont="1" applyFill="1" applyBorder="1" applyAlignment="1">
      <alignment horizontal="center" vertical="distributed"/>
    </xf>
    <xf numFmtId="0" fontId="6" fillId="34" borderId="12" xfId="0" applyFont="1" applyFill="1" applyBorder="1" applyAlignment="1">
      <alignment horizontal="left" vertical="distributed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1" fontId="45" fillId="34" borderId="51" xfId="49" applyNumberFormat="1" applyFont="1" applyFill="1" applyBorder="1" applyAlignment="1">
      <alignment horizontal="center" vertical="center" wrapText="1"/>
    </xf>
    <xf numFmtId="1" fontId="45" fillId="34" borderId="49" xfId="49" applyNumberFormat="1" applyFont="1" applyFill="1" applyBorder="1" applyAlignment="1">
      <alignment horizontal="center" vertical="center" wrapText="1"/>
    </xf>
    <xf numFmtId="0" fontId="72" fillId="34" borderId="23" xfId="0" applyFont="1" applyFill="1" applyBorder="1" applyAlignment="1">
      <alignment horizontal="left" vertical="center"/>
    </xf>
    <xf numFmtId="0" fontId="72" fillId="34" borderId="27" xfId="0" applyFont="1" applyFill="1" applyBorder="1" applyAlignment="1">
      <alignment horizontal="left" vertical="center"/>
    </xf>
    <xf numFmtId="0" fontId="72" fillId="34" borderId="25" xfId="0" applyFont="1" applyFill="1" applyBorder="1" applyAlignment="1">
      <alignment horizontal="left" vertical="center"/>
    </xf>
    <xf numFmtId="0" fontId="35" fillId="34" borderId="23" xfId="0" applyFont="1" applyFill="1" applyBorder="1" applyAlignment="1">
      <alignment horizontal="left" vertical="center" wrapText="1"/>
    </xf>
    <xf numFmtId="0" fontId="35" fillId="34" borderId="18" xfId="0" applyFont="1" applyFill="1" applyBorder="1" applyAlignment="1">
      <alignment horizontal="left" vertical="center" wrapText="1"/>
    </xf>
    <xf numFmtId="0" fontId="31" fillId="34" borderId="24" xfId="0" applyFont="1" applyFill="1" applyBorder="1" applyAlignment="1">
      <alignment horizontal="center" vertical="center" wrapText="1"/>
    </xf>
    <xf numFmtId="0" fontId="31" fillId="34" borderId="50" xfId="0" applyFont="1" applyFill="1" applyBorder="1" applyAlignment="1">
      <alignment horizontal="center" vertical="center" wrapText="1"/>
    </xf>
    <xf numFmtId="0" fontId="28" fillId="39" borderId="24" xfId="0" applyFont="1" applyFill="1" applyBorder="1" applyAlignment="1">
      <alignment horizontal="center" vertical="center" wrapText="1"/>
    </xf>
    <xf numFmtId="0" fontId="28" fillId="39" borderId="50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distributed"/>
    </xf>
    <xf numFmtId="0" fontId="28" fillId="0" borderId="16" xfId="0" applyFont="1" applyBorder="1" applyAlignment="1">
      <alignment horizontal="center" vertical="distributed"/>
    </xf>
    <xf numFmtId="0" fontId="28" fillId="0" borderId="17" xfId="0" applyFont="1" applyBorder="1" applyAlignment="1">
      <alignment horizontal="center" vertical="distributed"/>
    </xf>
    <xf numFmtId="0" fontId="31" fillId="34" borderId="24" xfId="0" applyFont="1" applyFill="1" applyBorder="1" applyAlignment="1">
      <alignment horizontal="center" vertical="distributed" wrapText="1"/>
    </xf>
    <xf numFmtId="0" fontId="31" fillId="34" borderId="50" xfId="0" applyFont="1" applyFill="1" applyBorder="1" applyAlignment="1">
      <alignment horizontal="center" vertical="distributed" wrapText="1"/>
    </xf>
    <xf numFmtId="0" fontId="31" fillId="39" borderId="24" xfId="0" applyFont="1" applyFill="1" applyBorder="1" applyAlignment="1">
      <alignment horizontal="center" vertical="center" wrapText="1"/>
    </xf>
    <xf numFmtId="0" fontId="31" fillId="39" borderId="50" xfId="0" applyFont="1" applyFill="1" applyBorder="1" applyAlignment="1">
      <alignment horizontal="center" vertical="center" wrapText="1"/>
    </xf>
    <xf numFmtId="1" fontId="45" fillId="34" borderId="14" xfId="49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Porcentaje 2" xfId="61"/>
    <cellStyle name="Porcentaje 3" xfId="62"/>
    <cellStyle name="Porcentaje 4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8"/>
  <sheetViews>
    <sheetView tabSelected="1" zoomScalePageLayoutView="0" workbookViewId="0" topLeftCell="A1">
      <selection activeCell="A42" sqref="A42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8.710937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8.140625" style="2" customWidth="1"/>
    <col min="12" max="12" width="29.28125" style="2" customWidth="1"/>
    <col min="13" max="13" width="25.421875" style="2" customWidth="1"/>
    <col min="14" max="14" width="20.421875" style="2" customWidth="1"/>
    <col min="15" max="15" width="16.7109375" style="2" customWidth="1"/>
    <col min="16" max="16" width="16.00390625" style="2" customWidth="1"/>
    <col min="17" max="17" width="13.8515625" style="2" customWidth="1"/>
    <col min="18" max="18" width="16.00390625" style="2" customWidth="1"/>
    <col min="19" max="16384" width="16.00390625" style="2" customWidth="1"/>
  </cols>
  <sheetData>
    <row r="1" spans="19:27" ht="12.75">
      <c r="S1" s="18"/>
      <c r="T1" s="18"/>
      <c r="U1" s="18"/>
      <c r="V1" s="18"/>
      <c r="W1" s="18"/>
      <c r="X1" s="18"/>
      <c r="Y1" s="18"/>
      <c r="Z1" s="18"/>
      <c r="AA1" s="18"/>
    </row>
    <row r="2" spans="1:27" ht="24" customHeight="1" hidden="1">
      <c r="A2" s="203" t="s">
        <v>98</v>
      </c>
      <c r="B2" s="189" t="str">
        <f>A4</f>
        <v>CAMBIO Verrugas AG, mujeres 15-19 años, tras 3 a 8 años de vacunación</v>
      </c>
      <c r="C2" s="190"/>
      <c r="D2" s="191"/>
      <c r="E2" s="191"/>
      <c r="F2" s="191"/>
      <c r="G2" s="191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</row>
    <row r="3" spans="1:27" ht="25.5" hidden="1">
      <c r="A3" s="21" t="s">
        <v>16</v>
      </c>
      <c r="B3" s="260" t="s">
        <v>17</v>
      </c>
      <c r="C3" s="260"/>
      <c r="D3" s="260"/>
      <c r="E3" s="260" t="s">
        <v>18</v>
      </c>
      <c r="F3" s="260"/>
      <c r="G3" s="260"/>
      <c r="H3" s="130" t="s">
        <v>23</v>
      </c>
      <c r="I3" s="261" t="s">
        <v>24</v>
      </c>
      <c r="J3" s="262"/>
      <c r="K3" s="263"/>
      <c r="L3" s="261" t="s">
        <v>25</v>
      </c>
      <c r="M3" s="263"/>
      <c r="N3" s="131" t="s">
        <v>26</v>
      </c>
      <c r="O3" s="17"/>
      <c r="S3" s="18"/>
      <c r="T3" s="18"/>
      <c r="V3" s="18"/>
      <c r="W3" s="18"/>
      <c r="X3" s="18"/>
      <c r="Y3" s="18"/>
      <c r="Z3" s="18"/>
      <c r="AA3" s="18"/>
    </row>
    <row r="4" spans="1:27" ht="38.25" hidden="1">
      <c r="A4" s="22" t="s">
        <v>324</v>
      </c>
      <c r="B4" s="121" t="s">
        <v>19</v>
      </c>
      <c r="C4" s="121" t="s">
        <v>20</v>
      </c>
      <c r="D4" s="121" t="s">
        <v>1</v>
      </c>
      <c r="E4" s="121" t="s">
        <v>19</v>
      </c>
      <c r="F4" s="121" t="s">
        <v>20</v>
      </c>
      <c r="G4" s="121" t="s">
        <v>1</v>
      </c>
      <c r="H4" s="132" t="s">
        <v>27</v>
      </c>
      <c r="I4" s="54" t="s">
        <v>14</v>
      </c>
      <c r="J4" s="55" t="s">
        <v>15</v>
      </c>
      <c r="K4" s="54" t="s">
        <v>1</v>
      </c>
      <c r="L4" s="133" t="s">
        <v>14</v>
      </c>
      <c r="M4" s="134" t="s">
        <v>94</v>
      </c>
      <c r="N4" s="53" t="s">
        <v>27</v>
      </c>
      <c r="O4" s="17"/>
      <c r="P4" s="2" t="s">
        <v>10</v>
      </c>
      <c r="Q4" s="2" t="s">
        <v>10</v>
      </c>
      <c r="S4" s="18"/>
      <c r="T4" s="18"/>
      <c r="V4" s="18"/>
      <c r="W4" s="18"/>
      <c r="X4" s="18"/>
      <c r="Y4" s="18"/>
      <c r="Z4" s="18"/>
      <c r="AA4" s="18"/>
    </row>
    <row r="5" spans="1:27" ht="12.75" hidden="1">
      <c r="A5" s="25" t="s">
        <v>100</v>
      </c>
      <c r="B5" s="212">
        <v>354</v>
      </c>
      <c r="C5" s="122">
        <f>D5-B5</f>
        <v>129319</v>
      </c>
      <c r="D5" s="213">
        <v>129673</v>
      </c>
      <c r="E5" s="212">
        <v>344</v>
      </c>
      <c r="F5" s="122">
        <f>G5-E5</f>
        <v>126882</v>
      </c>
      <c r="G5" s="213">
        <v>127226</v>
      </c>
      <c r="H5" s="182">
        <v>3</v>
      </c>
      <c r="I5" s="136">
        <f aca="true" t="shared" si="0" ref="I5:I19">D5*H5</f>
        <v>389019</v>
      </c>
      <c r="J5" s="136">
        <f aca="true" t="shared" si="1" ref="J5:J19">G5*H5</f>
        <v>381678</v>
      </c>
      <c r="K5" s="136">
        <f>I5+J5</f>
        <v>770697</v>
      </c>
      <c r="L5" s="137">
        <f aca="true" t="shared" si="2" ref="L5:L20">B5/I5</f>
        <v>0.0009099812605553971</v>
      </c>
      <c r="M5" s="137">
        <f aca="true" t="shared" si="3" ref="M5:M20">E5/J5</f>
        <v>0.0009012832806711416</v>
      </c>
      <c r="N5" s="207">
        <v>17.5</v>
      </c>
      <c r="O5" s="217">
        <f>N5*(D5+G5)</f>
        <v>4495732.5</v>
      </c>
      <c r="P5" s="56" t="str">
        <f aca="true" t="shared" si="4" ref="P5:P20">CONCATENATE(B5," ",$P$4," ",D5)</f>
        <v>354 / 129673</v>
      </c>
      <c r="Q5" s="56" t="str">
        <f aca="true" t="shared" si="5" ref="Q5:Q20">CONCATENATE(E5," ",$Q$4," ",G5)</f>
        <v>344 / 127226</v>
      </c>
      <c r="S5" s="18"/>
      <c r="T5" s="18"/>
      <c r="V5" s="18"/>
      <c r="W5" s="18"/>
      <c r="X5" s="18"/>
      <c r="Y5" s="18"/>
      <c r="Z5" s="18"/>
      <c r="AA5" s="18"/>
    </row>
    <row r="6" spans="1:27" ht="12.75" hidden="1">
      <c r="A6" s="25" t="s">
        <v>101</v>
      </c>
      <c r="B6" s="212">
        <v>1745</v>
      </c>
      <c r="C6" s="122">
        <f aca="true" t="shared" si="6" ref="C6:C19">D6-B6</f>
        <v>1015498</v>
      </c>
      <c r="D6" s="213">
        <v>1017243</v>
      </c>
      <c r="E6" s="212">
        <v>2871</v>
      </c>
      <c r="F6" s="122">
        <f aca="true" t="shared" si="7" ref="F6:F19">G6-E6</f>
        <v>1527084</v>
      </c>
      <c r="G6" s="213">
        <v>1529955</v>
      </c>
      <c r="H6" s="182">
        <v>6</v>
      </c>
      <c r="I6" s="136">
        <f t="shared" si="0"/>
        <v>6103458</v>
      </c>
      <c r="J6" s="136">
        <f t="shared" si="1"/>
        <v>9179730</v>
      </c>
      <c r="K6" s="136">
        <f aca="true" t="shared" si="8" ref="K6:K19">I6+J6</f>
        <v>15283188</v>
      </c>
      <c r="L6" s="137">
        <f t="shared" si="2"/>
        <v>0.00028590349929498985</v>
      </c>
      <c r="M6" s="137">
        <f t="shared" si="3"/>
        <v>0.0003127542966950008</v>
      </c>
      <c r="N6" s="207">
        <v>17.5</v>
      </c>
      <c r="O6" s="217">
        <f aca="true" t="shared" si="9" ref="O6:O19">N6*(D6+G6)</f>
        <v>44575965</v>
      </c>
      <c r="P6" s="56" t="str">
        <f t="shared" si="4"/>
        <v>1745 / 1017243</v>
      </c>
      <c r="Q6" s="56" t="str">
        <f t="shared" si="5"/>
        <v>2871 / 1529955</v>
      </c>
      <c r="S6" s="18"/>
      <c r="T6" s="18"/>
      <c r="V6" s="18"/>
      <c r="W6" s="18"/>
      <c r="X6" s="18"/>
      <c r="Y6" s="18"/>
      <c r="Z6" s="18"/>
      <c r="AA6" s="18"/>
    </row>
    <row r="7" spans="1:27" ht="12.75" hidden="1">
      <c r="A7" s="25" t="s">
        <v>102</v>
      </c>
      <c r="B7" s="212">
        <v>29</v>
      </c>
      <c r="C7" s="122">
        <f t="shared" si="6"/>
        <v>327235</v>
      </c>
      <c r="D7" s="213">
        <v>327264</v>
      </c>
      <c r="E7" s="212">
        <v>62</v>
      </c>
      <c r="F7" s="122">
        <f t="shared" si="7"/>
        <v>309123</v>
      </c>
      <c r="G7" s="213">
        <v>309185</v>
      </c>
      <c r="H7" s="182">
        <v>7</v>
      </c>
      <c r="I7" s="136">
        <f t="shared" si="0"/>
        <v>2290848</v>
      </c>
      <c r="J7" s="136">
        <f t="shared" si="1"/>
        <v>2164295</v>
      </c>
      <c r="K7" s="136">
        <f t="shared" si="8"/>
        <v>4455143</v>
      </c>
      <c r="L7" s="137">
        <f t="shared" si="2"/>
        <v>1.2659067733869729E-05</v>
      </c>
      <c r="M7" s="137">
        <f t="shared" si="3"/>
        <v>2.8646741779655732E-05</v>
      </c>
      <c r="N7" s="207">
        <v>17.5</v>
      </c>
      <c r="O7" s="217">
        <f t="shared" si="9"/>
        <v>11137857.5</v>
      </c>
      <c r="P7" s="56" t="str">
        <f t="shared" si="4"/>
        <v>29 / 327264</v>
      </c>
      <c r="Q7" s="56" t="str">
        <f t="shared" si="5"/>
        <v>62 / 309185</v>
      </c>
      <c r="S7" s="18"/>
      <c r="T7" s="18"/>
      <c r="V7" s="18"/>
      <c r="W7" s="18"/>
      <c r="X7" s="18"/>
      <c r="Y7" s="18"/>
      <c r="Z7" s="18"/>
      <c r="AA7" s="18"/>
    </row>
    <row r="8" spans="1:27" ht="12.75" hidden="1">
      <c r="A8" s="25" t="s">
        <v>103</v>
      </c>
      <c r="B8" s="212">
        <v>2207</v>
      </c>
      <c r="C8" s="122">
        <f t="shared" si="6"/>
        <v>572535</v>
      </c>
      <c r="D8" s="213">
        <v>574742</v>
      </c>
      <c r="E8" s="212">
        <v>1872</v>
      </c>
      <c r="F8" s="122">
        <f t="shared" si="7"/>
        <v>294549</v>
      </c>
      <c r="G8" s="213">
        <v>296421</v>
      </c>
      <c r="H8" s="182">
        <v>6</v>
      </c>
      <c r="I8" s="136">
        <f t="shared" si="0"/>
        <v>3448452</v>
      </c>
      <c r="J8" s="136">
        <f t="shared" si="1"/>
        <v>1778526</v>
      </c>
      <c r="K8" s="136">
        <f t="shared" si="8"/>
        <v>5226978</v>
      </c>
      <c r="L8" s="137">
        <f t="shared" si="2"/>
        <v>0.0006399973089374595</v>
      </c>
      <c r="M8" s="137">
        <f t="shared" si="3"/>
        <v>0.0010525570050704909</v>
      </c>
      <c r="N8" s="207">
        <v>17.5</v>
      </c>
      <c r="O8" s="217">
        <f t="shared" si="9"/>
        <v>15245352.5</v>
      </c>
      <c r="P8" s="56" t="str">
        <f t="shared" si="4"/>
        <v>2207 / 574742</v>
      </c>
      <c r="Q8" s="56" t="str">
        <f t="shared" si="5"/>
        <v>1872 / 296421</v>
      </c>
      <c r="S8" s="18"/>
      <c r="T8" s="18"/>
      <c r="V8" s="18"/>
      <c r="W8" s="18"/>
      <c r="X8" s="18"/>
      <c r="Y8" s="18"/>
      <c r="Z8" s="18"/>
      <c r="AA8" s="18"/>
    </row>
    <row r="9" spans="1:27" ht="12.75" hidden="1">
      <c r="A9" s="25" t="s">
        <v>104</v>
      </c>
      <c r="B9" s="212">
        <v>797</v>
      </c>
      <c r="C9" s="122">
        <f t="shared" si="6"/>
        <v>441203</v>
      </c>
      <c r="D9" s="213">
        <v>442000</v>
      </c>
      <c r="E9" s="212">
        <v>1308</v>
      </c>
      <c r="F9" s="122">
        <f t="shared" si="7"/>
        <v>422692</v>
      </c>
      <c r="G9" s="213">
        <v>424000</v>
      </c>
      <c r="H9" s="182">
        <v>3</v>
      </c>
      <c r="I9" s="136">
        <f t="shared" si="0"/>
        <v>1326000</v>
      </c>
      <c r="J9" s="136">
        <f t="shared" si="1"/>
        <v>1272000</v>
      </c>
      <c r="K9" s="136">
        <f t="shared" si="8"/>
        <v>2598000</v>
      </c>
      <c r="L9" s="137">
        <f t="shared" si="2"/>
        <v>0.0006010558069381599</v>
      </c>
      <c r="M9" s="137">
        <f t="shared" si="3"/>
        <v>0.0010283018867924527</v>
      </c>
      <c r="N9" s="207">
        <v>17.5</v>
      </c>
      <c r="O9" s="217">
        <f t="shared" si="9"/>
        <v>15155000</v>
      </c>
      <c r="P9" s="56" t="str">
        <f t="shared" si="4"/>
        <v>797 / 442000</v>
      </c>
      <c r="Q9" s="56" t="str">
        <f t="shared" si="5"/>
        <v>1308 / 424000</v>
      </c>
      <c r="S9" s="18"/>
      <c r="T9" s="18"/>
      <c r="V9" s="18"/>
      <c r="W9" s="18"/>
      <c r="X9" s="18"/>
      <c r="Y9" s="18"/>
      <c r="Z9" s="18"/>
      <c r="AA9" s="18"/>
    </row>
    <row r="10" spans="1:27" ht="12.75" hidden="1">
      <c r="A10" s="25" t="s">
        <v>105</v>
      </c>
      <c r="B10" s="212">
        <v>7378</v>
      </c>
      <c r="C10" s="122">
        <f t="shared" si="6"/>
        <v>5500369</v>
      </c>
      <c r="D10" s="213">
        <v>5507747</v>
      </c>
      <c r="E10" s="212">
        <v>3666</v>
      </c>
      <c r="F10" s="122">
        <f t="shared" si="7"/>
        <v>1392688</v>
      </c>
      <c r="G10" s="213">
        <v>1396354</v>
      </c>
      <c r="H10" s="182">
        <v>8</v>
      </c>
      <c r="I10" s="136">
        <f t="shared" si="0"/>
        <v>44061976</v>
      </c>
      <c r="J10" s="136">
        <f t="shared" si="1"/>
        <v>11170832</v>
      </c>
      <c r="K10" s="136">
        <f t="shared" si="8"/>
        <v>55232808</v>
      </c>
      <c r="L10" s="137">
        <f t="shared" si="2"/>
        <v>0.00016744596293184855</v>
      </c>
      <c r="M10" s="137">
        <f t="shared" si="3"/>
        <v>0.000328176092881891</v>
      </c>
      <c r="N10" s="207">
        <v>17.5</v>
      </c>
      <c r="O10" s="217">
        <f t="shared" si="9"/>
        <v>120821767.5</v>
      </c>
      <c r="P10" s="56" t="str">
        <f t="shared" si="4"/>
        <v>7378 / 5507747</v>
      </c>
      <c r="Q10" s="56" t="str">
        <f t="shared" si="5"/>
        <v>3666 / 1396354</v>
      </c>
      <c r="S10" s="18"/>
      <c r="T10" s="18"/>
      <c r="V10" s="18"/>
      <c r="W10" s="18"/>
      <c r="X10" s="18"/>
      <c r="Y10" s="18"/>
      <c r="Z10" s="18"/>
      <c r="AA10" s="18"/>
    </row>
    <row r="11" spans="1:27" ht="12.75" hidden="1">
      <c r="A11" s="25" t="s">
        <v>106</v>
      </c>
      <c r="B11" s="212">
        <v>6139</v>
      </c>
      <c r="C11" s="122">
        <f t="shared" si="6"/>
        <v>884198</v>
      </c>
      <c r="D11" s="213">
        <v>890337</v>
      </c>
      <c r="E11" s="212">
        <v>2667</v>
      </c>
      <c r="F11" s="122">
        <f t="shared" si="7"/>
        <v>293274</v>
      </c>
      <c r="G11" s="213">
        <v>295941</v>
      </c>
      <c r="H11" s="182">
        <v>4</v>
      </c>
      <c r="I11" s="136">
        <f t="shared" si="0"/>
        <v>3561348</v>
      </c>
      <c r="J11" s="136">
        <f t="shared" si="1"/>
        <v>1183764</v>
      </c>
      <c r="K11" s="136">
        <f t="shared" si="8"/>
        <v>4745112</v>
      </c>
      <c r="L11" s="137">
        <f t="shared" si="2"/>
        <v>0.0017237854879669158</v>
      </c>
      <c r="M11" s="137">
        <f t="shared" si="3"/>
        <v>0.0022529828580696827</v>
      </c>
      <c r="N11" s="207">
        <v>17.5</v>
      </c>
      <c r="O11" s="217">
        <f t="shared" si="9"/>
        <v>20759865</v>
      </c>
      <c r="P11" s="56" t="str">
        <f t="shared" si="4"/>
        <v>6139 / 890337</v>
      </c>
      <c r="Q11" s="56" t="str">
        <f t="shared" si="5"/>
        <v>2667 / 295941</v>
      </c>
      <c r="S11" s="18"/>
      <c r="T11" s="18"/>
      <c r="V11" s="18"/>
      <c r="W11" s="18"/>
      <c r="X11" s="18"/>
      <c r="Y11" s="18"/>
      <c r="Z11" s="18"/>
      <c r="AA11" s="18"/>
    </row>
    <row r="12" spans="1:27" ht="12.75" hidden="1">
      <c r="A12" s="25" t="s">
        <v>107</v>
      </c>
      <c r="B12" s="212">
        <v>30</v>
      </c>
      <c r="C12" s="122">
        <f t="shared" si="6"/>
        <v>100976</v>
      </c>
      <c r="D12" s="213">
        <v>101006</v>
      </c>
      <c r="E12" s="212">
        <v>55</v>
      </c>
      <c r="F12" s="122">
        <f t="shared" si="7"/>
        <v>66012</v>
      </c>
      <c r="G12" s="213">
        <v>66067</v>
      </c>
      <c r="H12" s="182">
        <v>6</v>
      </c>
      <c r="I12" s="136">
        <f t="shared" si="0"/>
        <v>606036</v>
      </c>
      <c r="J12" s="136">
        <f t="shared" si="1"/>
        <v>396402</v>
      </c>
      <c r="K12" s="136">
        <f t="shared" si="8"/>
        <v>1002438</v>
      </c>
      <c r="L12" s="137">
        <f t="shared" si="2"/>
        <v>4.950200978159713E-05</v>
      </c>
      <c r="M12" s="137">
        <f t="shared" si="3"/>
        <v>0.00013874803860727242</v>
      </c>
      <c r="N12" s="207">
        <v>17.5</v>
      </c>
      <c r="O12" s="217">
        <f t="shared" si="9"/>
        <v>2923777.5</v>
      </c>
      <c r="P12" s="56" t="str">
        <f t="shared" si="4"/>
        <v>30 / 101006</v>
      </c>
      <c r="Q12" s="56" t="str">
        <f t="shared" si="5"/>
        <v>55 / 66067</v>
      </c>
      <c r="S12" s="18"/>
      <c r="T12" s="18"/>
      <c r="V12" s="18"/>
      <c r="W12" s="18"/>
      <c r="X12" s="18"/>
      <c r="Y12" s="18"/>
      <c r="Z12" s="18"/>
      <c r="AA12" s="18"/>
    </row>
    <row r="13" spans="1:27" ht="12.75" hidden="1">
      <c r="A13" s="25" t="s">
        <v>108</v>
      </c>
      <c r="B13" s="212">
        <v>22</v>
      </c>
      <c r="C13" s="122">
        <f t="shared" si="6"/>
        <v>552</v>
      </c>
      <c r="D13" s="213">
        <v>574</v>
      </c>
      <c r="E13" s="212">
        <v>308</v>
      </c>
      <c r="F13" s="122">
        <f t="shared" si="7"/>
        <v>1018</v>
      </c>
      <c r="G13" s="213">
        <v>1326</v>
      </c>
      <c r="H13" s="182">
        <v>5</v>
      </c>
      <c r="I13" s="136">
        <f t="shared" si="0"/>
        <v>2870</v>
      </c>
      <c r="J13" s="136">
        <f t="shared" si="1"/>
        <v>6630</v>
      </c>
      <c r="K13" s="136">
        <f t="shared" si="8"/>
        <v>9500</v>
      </c>
      <c r="L13" s="137">
        <f t="shared" si="2"/>
        <v>0.007665505226480836</v>
      </c>
      <c r="M13" s="137">
        <f t="shared" si="3"/>
        <v>0.04645550527903469</v>
      </c>
      <c r="N13" s="207">
        <v>17.5</v>
      </c>
      <c r="O13" s="217">
        <f t="shared" si="9"/>
        <v>33250</v>
      </c>
      <c r="P13" s="56" t="str">
        <f t="shared" si="4"/>
        <v>22 / 574</v>
      </c>
      <c r="Q13" s="56" t="str">
        <f t="shared" si="5"/>
        <v>308 / 1326</v>
      </c>
      <c r="S13" s="18"/>
      <c r="T13" s="18"/>
      <c r="V13" s="18"/>
      <c r="W13" s="18"/>
      <c r="X13" s="18"/>
      <c r="Y13" s="18"/>
      <c r="Z13" s="18"/>
      <c r="AA13" s="18"/>
    </row>
    <row r="14" spans="1:27" ht="12.75" hidden="1">
      <c r="A14" s="25" t="s">
        <v>109</v>
      </c>
      <c r="B14" s="212">
        <v>351</v>
      </c>
      <c r="C14" s="122">
        <f t="shared" si="6"/>
        <v>962006</v>
      </c>
      <c r="D14" s="213">
        <v>962357</v>
      </c>
      <c r="E14" s="212">
        <v>727</v>
      </c>
      <c r="F14" s="122">
        <f t="shared" si="7"/>
        <v>1111050</v>
      </c>
      <c r="G14" s="213">
        <v>1111777</v>
      </c>
      <c r="H14" s="182">
        <v>4</v>
      </c>
      <c r="I14" s="136">
        <f t="shared" si="0"/>
        <v>3849428</v>
      </c>
      <c r="J14" s="136">
        <f t="shared" si="1"/>
        <v>4447108</v>
      </c>
      <c r="K14" s="136">
        <f t="shared" si="8"/>
        <v>8296536</v>
      </c>
      <c r="L14" s="137">
        <f t="shared" si="2"/>
        <v>9.118237826503054E-05</v>
      </c>
      <c r="M14" s="137">
        <f t="shared" si="3"/>
        <v>0.00016347702821698957</v>
      </c>
      <c r="N14" s="207">
        <v>17.5</v>
      </c>
      <c r="O14" s="217">
        <f t="shared" si="9"/>
        <v>36297345</v>
      </c>
      <c r="P14" s="56" t="str">
        <f t="shared" si="4"/>
        <v>351 / 962357</v>
      </c>
      <c r="Q14" s="56" t="str">
        <f t="shared" si="5"/>
        <v>727 / 1111777</v>
      </c>
      <c r="S14" s="18"/>
      <c r="T14" s="18"/>
      <c r="V14" s="18"/>
      <c r="W14" s="18"/>
      <c r="X14" s="18"/>
      <c r="Y14" s="18"/>
      <c r="Z14" s="18"/>
      <c r="AA14" s="18"/>
    </row>
    <row r="15" spans="1:27" ht="12.75" hidden="1">
      <c r="A15" s="25" t="s">
        <v>110</v>
      </c>
      <c r="B15" s="212">
        <v>2455</v>
      </c>
      <c r="C15" s="122">
        <f t="shared" si="6"/>
        <v>691422</v>
      </c>
      <c r="D15" s="213">
        <v>693877</v>
      </c>
      <c r="E15" s="212">
        <v>5517</v>
      </c>
      <c r="F15" s="122">
        <f t="shared" si="7"/>
        <v>481244</v>
      </c>
      <c r="G15" s="213">
        <v>486761</v>
      </c>
      <c r="H15" s="182">
        <v>4</v>
      </c>
      <c r="I15" s="136">
        <f t="shared" si="0"/>
        <v>2775508</v>
      </c>
      <c r="J15" s="136">
        <f t="shared" si="1"/>
        <v>1947044</v>
      </c>
      <c r="K15" s="136">
        <f t="shared" si="8"/>
        <v>4722552</v>
      </c>
      <c r="L15" s="137">
        <f t="shared" si="2"/>
        <v>0.0008845227612386634</v>
      </c>
      <c r="M15" s="137">
        <f t="shared" si="3"/>
        <v>0.0028335261041866544</v>
      </c>
      <c r="N15" s="207">
        <v>17.5</v>
      </c>
      <c r="O15" s="217">
        <f t="shared" si="9"/>
        <v>20661165</v>
      </c>
      <c r="P15" s="56" t="str">
        <f t="shared" si="4"/>
        <v>2455 / 693877</v>
      </c>
      <c r="Q15" s="56" t="str">
        <f t="shared" si="5"/>
        <v>5517 / 486761</v>
      </c>
      <c r="S15" s="18"/>
      <c r="T15" s="18"/>
      <c r="V15" s="18"/>
      <c r="W15" s="18"/>
      <c r="X15" s="18"/>
      <c r="Y15" s="18"/>
      <c r="Z15" s="18"/>
      <c r="AA15" s="18"/>
    </row>
    <row r="16" spans="1:27" ht="12.75" hidden="1">
      <c r="A16" s="25" t="s">
        <v>111</v>
      </c>
      <c r="B16" s="212">
        <v>2</v>
      </c>
      <c r="C16" s="122">
        <f t="shared" si="6"/>
        <v>398</v>
      </c>
      <c r="D16" s="213">
        <v>400</v>
      </c>
      <c r="E16" s="212">
        <v>3</v>
      </c>
      <c r="F16" s="122">
        <f t="shared" si="7"/>
        <v>597</v>
      </c>
      <c r="G16" s="213">
        <v>600</v>
      </c>
      <c r="H16" s="182">
        <v>4</v>
      </c>
      <c r="I16" s="136">
        <f t="shared" si="0"/>
        <v>1600</v>
      </c>
      <c r="J16" s="136">
        <f t="shared" si="1"/>
        <v>2400</v>
      </c>
      <c r="K16" s="136">
        <f t="shared" si="8"/>
        <v>4000</v>
      </c>
      <c r="L16" s="137">
        <f t="shared" si="2"/>
        <v>0.00125</v>
      </c>
      <c r="M16" s="137">
        <f t="shared" si="3"/>
        <v>0.00125</v>
      </c>
      <c r="N16" s="207">
        <v>17.5</v>
      </c>
      <c r="O16" s="217">
        <f t="shared" si="9"/>
        <v>17500</v>
      </c>
      <c r="P16" s="56" t="str">
        <f t="shared" si="4"/>
        <v>2 / 400</v>
      </c>
      <c r="Q16" s="56" t="str">
        <f t="shared" si="5"/>
        <v>3 / 600</v>
      </c>
      <c r="S16" s="18"/>
      <c r="T16" s="18"/>
      <c r="V16" s="18"/>
      <c r="W16" s="18"/>
      <c r="X16" s="18"/>
      <c r="Y16" s="18"/>
      <c r="Z16" s="18"/>
      <c r="AA16" s="18"/>
    </row>
    <row r="17" spans="1:27" ht="12.75" hidden="1">
      <c r="A17" s="25" t="s">
        <v>112</v>
      </c>
      <c r="B17" s="212">
        <v>5</v>
      </c>
      <c r="C17" s="122">
        <f t="shared" si="6"/>
        <v>8462</v>
      </c>
      <c r="D17" s="213">
        <v>8467</v>
      </c>
      <c r="E17" s="212">
        <v>24</v>
      </c>
      <c r="F17" s="122">
        <f t="shared" si="7"/>
        <v>7121</v>
      </c>
      <c r="G17" s="213">
        <v>7145</v>
      </c>
      <c r="H17" s="182">
        <v>8</v>
      </c>
      <c r="I17" s="136">
        <f t="shared" si="0"/>
        <v>67736</v>
      </c>
      <c r="J17" s="136">
        <f t="shared" si="1"/>
        <v>57160</v>
      </c>
      <c r="K17" s="136">
        <f t="shared" si="8"/>
        <v>124896</v>
      </c>
      <c r="L17" s="137">
        <f t="shared" si="2"/>
        <v>7.381599149639779E-05</v>
      </c>
      <c r="M17" s="137">
        <f t="shared" si="3"/>
        <v>0.0004198740377886634</v>
      </c>
      <c r="N17" s="207">
        <v>17.5</v>
      </c>
      <c r="O17" s="217">
        <f t="shared" si="9"/>
        <v>273210</v>
      </c>
      <c r="P17" s="56" t="str">
        <f t="shared" si="4"/>
        <v>5 / 8467</v>
      </c>
      <c r="Q17" s="56" t="str">
        <f t="shared" si="5"/>
        <v>24 / 7145</v>
      </c>
      <c r="S17" s="18"/>
      <c r="T17" s="18"/>
      <c r="V17" s="18"/>
      <c r="W17" s="18"/>
      <c r="X17" s="18"/>
      <c r="Y17" s="18"/>
      <c r="Z17" s="18"/>
      <c r="AA17" s="18"/>
    </row>
    <row r="18" spans="1:27" ht="12.75" hidden="1">
      <c r="A18" s="25" t="s">
        <v>113</v>
      </c>
      <c r="B18" s="212">
        <v>150</v>
      </c>
      <c r="C18" s="122">
        <f t="shared" si="6"/>
        <v>3297083</v>
      </c>
      <c r="D18" s="213">
        <v>3297233</v>
      </c>
      <c r="E18" s="212">
        <v>435</v>
      </c>
      <c r="F18" s="122">
        <f t="shared" si="7"/>
        <v>2433232</v>
      </c>
      <c r="G18" s="213">
        <v>2433667</v>
      </c>
      <c r="H18" s="182">
        <v>4</v>
      </c>
      <c r="I18" s="136">
        <f t="shared" si="0"/>
        <v>13188932</v>
      </c>
      <c r="J18" s="136">
        <f t="shared" si="1"/>
        <v>9734668</v>
      </c>
      <c r="K18" s="136">
        <f t="shared" si="8"/>
        <v>22923600</v>
      </c>
      <c r="L18" s="137">
        <f t="shared" si="2"/>
        <v>1.1373172596537764E-05</v>
      </c>
      <c r="M18" s="137">
        <f t="shared" si="3"/>
        <v>4.468565337821485E-05</v>
      </c>
      <c r="N18" s="207">
        <v>17.5</v>
      </c>
      <c r="O18" s="217">
        <f t="shared" si="9"/>
        <v>100290750</v>
      </c>
      <c r="P18" s="56" t="str">
        <f t="shared" si="4"/>
        <v>150 / 3297233</v>
      </c>
      <c r="Q18" s="56" t="str">
        <f t="shared" si="5"/>
        <v>435 / 2433667</v>
      </c>
      <c r="S18" s="18"/>
      <c r="T18" s="18"/>
      <c r="V18" s="18"/>
      <c r="W18" s="18"/>
      <c r="X18" s="18"/>
      <c r="Y18" s="18"/>
      <c r="Z18" s="18"/>
      <c r="AA18" s="18"/>
    </row>
    <row r="19" spans="1:27" ht="12.75" hidden="1">
      <c r="A19" s="25" t="s">
        <v>114</v>
      </c>
      <c r="B19" s="212">
        <v>106</v>
      </c>
      <c r="C19" s="122">
        <f t="shared" si="6"/>
        <v>3196</v>
      </c>
      <c r="D19" s="213">
        <v>3302</v>
      </c>
      <c r="E19" s="212">
        <v>135</v>
      </c>
      <c r="F19" s="122">
        <f t="shared" si="7"/>
        <v>3158</v>
      </c>
      <c r="G19" s="213">
        <v>3293</v>
      </c>
      <c r="H19" s="182">
        <v>8</v>
      </c>
      <c r="I19" s="136">
        <f t="shared" si="0"/>
        <v>26416</v>
      </c>
      <c r="J19" s="136">
        <f t="shared" si="1"/>
        <v>26344</v>
      </c>
      <c r="K19" s="136">
        <f t="shared" si="8"/>
        <v>52760</v>
      </c>
      <c r="L19" s="137">
        <f t="shared" si="2"/>
        <v>0.004012719563900666</v>
      </c>
      <c r="M19" s="137">
        <f t="shared" si="3"/>
        <v>0.005124506529000911</v>
      </c>
      <c r="N19" s="207">
        <v>17.5</v>
      </c>
      <c r="O19" s="217">
        <f t="shared" si="9"/>
        <v>115412.5</v>
      </c>
      <c r="P19" s="56" t="str">
        <f t="shared" si="4"/>
        <v>106 / 3302</v>
      </c>
      <c r="Q19" s="56" t="str">
        <f t="shared" si="5"/>
        <v>135 / 3293</v>
      </c>
      <c r="R19" s="13"/>
      <c r="S19" s="18"/>
      <c r="T19" s="18"/>
      <c r="V19" s="18"/>
      <c r="W19" s="18"/>
      <c r="X19" s="18"/>
      <c r="Y19" s="18"/>
      <c r="Z19" s="18"/>
      <c r="AA19" s="18"/>
    </row>
    <row r="20" spans="1:27" ht="12.75" hidden="1">
      <c r="A20" s="140">
        <f>COUNT(D5:D19)</f>
        <v>15</v>
      </c>
      <c r="B20" s="141">
        <f>SUM(B5:B19)</f>
        <v>21770</v>
      </c>
      <c r="C20" s="142">
        <v>23009</v>
      </c>
      <c r="D20" s="141">
        <f>SUM(D5:D19)</f>
        <v>13956222</v>
      </c>
      <c r="E20" s="141">
        <f>SUM(E5:E19)</f>
        <v>19994</v>
      </c>
      <c r="F20" s="142">
        <v>28669.98</v>
      </c>
      <c r="G20" s="141">
        <f>SUM(G5:G19)</f>
        <v>8489718</v>
      </c>
      <c r="H20" s="143">
        <f>K20/(D20+G20)</f>
        <v>5.588904184899363</v>
      </c>
      <c r="I20" s="144">
        <f>SUM(I5:I19)</f>
        <v>81699627</v>
      </c>
      <c r="J20" s="144">
        <f>SUM(J5:J19)</f>
        <v>43748581</v>
      </c>
      <c r="K20" s="144">
        <f>SUM(K5:K19)</f>
        <v>125448208</v>
      </c>
      <c r="L20" s="145">
        <f t="shared" si="2"/>
        <v>0.00026646388483511684</v>
      </c>
      <c r="M20" s="145">
        <f t="shared" si="3"/>
        <v>0.0004570205374204023</v>
      </c>
      <c r="N20" s="146">
        <f>O20/(D20+G20)</f>
        <v>17.5</v>
      </c>
      <c r="O20" s="218">
        <f>SUM(O5:O19)</f>
        <v>392803950</v>
      </c>
      <c r="P20" s="57" t="str">
        <f t="shared" si="4"/>
        <v>21770 / 13956222</v>
      </c>
      <c r="Q20" s="57" t="str">
        <f t="shared" si="5"/>
        <v>19994 / 8489718</v>
      </c>
      <c r="S20" s="18"/>
      <c r="T20" s="18"/>
      <c r="V20" s="18"/>
      <c r="W20" s="18"/>
      <c r="X20" s="18"/>
      <c r="Y20" s="18"/>
      <c r="Z20" s="18"/>
      <c r="AA20" s="18"/>
    </row>
    <row r="21" spans="2:27" ht="13.5" hidden="1" thickBot="1">
      <c r="B21" s="2"/>
      <c r="C21" s="2"/>
      <c r="E21" s="3"/>
      <c r="F21" s="26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3.5" hidden="1" thickBot="1">
      <c r="A22" s="18"/>
      <c r="B22" s="28" t="s">
        <v>51</v>
      </c>
      <c r="C22" s="192">
        <v>0.002554243994173842</v>
      </c>
      <c r="D22" s="264" t="s">
        <v>13</v>
      </c>
      <c r="E22" s="265"/>
      <c r="F22" s="266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26.25" hidden="1" thickBot="1">
      <c r="A23" s="178">
        <f>I60</f>
        <v>0.0004570205374204023</v>
      </c>
      <c r="B23" s="179" t="s">
        <v>52</v>
      </c>
      <c r="C23" s="12"/>
      <c r="D23" s="10" t="s">
        <v>12</v>
      </c>
      <c r="E23" s="11" t="s">
        <v>21</v>
      </c>
      <c r="F23" s="10" t="s">
        <v>22</v>
      </c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3.5" hidden="1" thickBot="1">
      <c r="A24" s="180">
        <f>E60</f>
        <v>5.588904184899363</v>
      </c>
      <c r="B24" s="181" t="s">
        <v>53</v>
      </c>
      <c r="C24" s="12"/>
      <c r="D24" s="193">
        <v>0.5024364873607943</v>
      </c>
      <c r="E24" s="194">
        <v>0.4120512411711791</v>
      </c>
      <c r="F24" s="195">
        <v>0.6126503662125727</v>
      </c>
      <c r="G24" s="12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2.75" hidden="1">
      <c r="A25" s="30"/>
      <c r="B25" s="29"/>
      <c r="C25" s="18"/>
      <c r="D25" s="18"/>
      <c r="E25" s="18"/>
      <c r="F25" s="18"/>
      <c r="G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3.5" hidden="1" thickBot="1">
      <c r="A26" s="30"/>
      <c r="B26" s="31"/>
      <c r="C26" s="32"/>
      <c r="D26" s="33">
        <f>C22*D24</f>
        <v>0.0012833453802951103</v>
      </c>
      <c r="E26" s="34">
        <f>C22*E24</f>
        <v>0.0010524794080533615</v>
      </c>
      <c r="F26" s="35">
        <f>C22*F24</f>
        <v>0.0015648585184268688</v>
      </c>
      <c r="G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2.75" hidden="1">
      <c r="A27" s="30"/>
      <c r="B27" s="29"/>
      <c r="C27" s="18"/>
      <c r="D27" s="18"/>
      <c r="E27" s="18"/>
      <c r="F27" s="18"/>
      <c r="G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3.5" hidden="1" thickBot="1">
      <c r="A28" s="30"/>
      <c r="B28" s="36"/>
      <c r="C28" s="37" t="s">
        <v>2</v>
      </c>
      <c r="D28" s="38">
        <f>C22-D26</f>
        <v>0.0012708986138787318</v>
      </c>
      <c r="E28" s="39">
        <f>C22-F26</f>
        <v>0.0009893854757469732</v>
      </c>
      <c r="F28" s="40">
        <f>C22-E26</f>
        <v>0.0015017645861204805</v>
      </c>
      <c r="G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3.5" hidden="1" thickBot="1">
      <c r="A29" s="30"/>
      <c r="B29" s="41"/>
      <c r="C29" s="42" t="s">
        <v>3</v>
      </c>
      <c r="D29" s="43">
        <f>1/D28</f>
        <v>786.8448270220706</v>
      </c>
      <c r="E29" s="44">
        <f>1/F28</f>
        <v>665.8833276814094</v>
      </c>
      <c r="F29" s="45">
        <f>1/E28</f>
        <v>1010.7284011269853</v>
      </c>
      <c r="G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2.75" hidden="1">
      <c r="A30" s="30"/>
      <c r="B30" s="29"/>
      <c r="C30" s="12"/>
      <c r="D30" s="12"/>
      <c r="E30" s="12"/>
      <c r="F30" s="12"/>
      <c r="G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2.75" hidden="1">
      <c r="A31" s="30"/>
      <c r="B31" s="123" t="s">
        <v>4</v>
      </c>
      <c r="C31" s="124"/>
      <c r="D31" s="124"/>
      <c r="E31" s="125">
        <f>ROUND(D24,2)</f>
        <v>0.5</v>
      </c>
      <c r="F31" s="126">
        <f>ROUND(D28,4)</f>
        <v>0.0013</v>
      </c>
      <c r="G31" s="127">
        <f>ROUND(D29,0)</f>
        <v>787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2.75" hidden="1">
      <c r="A32" s="30"/>
      <c r="B32" s="46" t="s">
        <v>6</v>
      </c>
      <c r="C32" s="47">
        <f>ROUND(D26,4)</f>
        <v>0.0013</v>
      </c>
      <c r="D32" s="48">
        <f>ROUND(C22,4)</f>
        <v>0.0026</v>
      </c>
      <c r="E32" s="6">
        <f>ROUND(E24,2)</f>
        <v>0.41</v>
      </c>
      <c r="F32" s="7">
        <f>ROUND(E28,4)</f>
        <v>0.001</v>
      </c>
      <c r="G32" s="8">
        <f>ROUND(E29,0)</f>
        <v>666</v>
      </c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2.75" hidden="1">
      <c r="A33" s="30"/>
      <c r="B33" s="46" t="s">
        <v>5</v>
      </c>
      <c r="C33" s="14"/>
      <c r="D33" s="14"/>
      <c r="E33" s="6">
        <f>ROUND(F24,2)</f>
        <v>0.61</v>
      </c>
      <c r="F33" s="7">
        <f>ROUND(F28,4)</f>
        <v>0.0015</v>
      </c>
      <c r="G33" s="8">
        <f>ROUND(F29,0)</f>
        <v>1011</v>
      </c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2.75" hidden="1">
      <c r="A34" s="30"/>
      <c r="B34" s="46" t="s">
        <v>7</v>
      </c>
      <c r="C34" s="128" t="s">
        <v>54</v>
      </c>
      <c r="D34" s="128" t="s">
        <v>11</v>
      </c>
      <c r="E34" s="129" t="s">
        <v>8</v>
      </c>
      <c r="F34" s="129" t="s">
        <v>9</v>
      </c>
      <c r="G34" s="128" t="s">
        <v>3</v>
      </c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2.75" hidden="1">
      <c r="A35" s="30"/>
      <c r="B35" s="49" t="s">
        <v>0</v>
      </c>
      <c r="C35" s="128" t="str">
        <f>CONCATENATE(C32*100,B34)</f>
        <v>0,13%</v>
      </c>
      <c r="D35" s="128" t="str">
        <f>CONCATENATE(D32*100,B34)</f>
        <v>0,26%</v>
      </c>
      <c r="E35" s="128" t="str">
        <f>CONCATENATE(E31," ",B31,E32,B32,E33,B33)</f>
        <v>0,5 (0,41-0,61)</v>
      </c>
      <c r="F35" s="128" t="str">
        <f>CONCATENATE(F31*100,B34," ",B31,F32*100,B34," ",B35," ",F33*100,B34,B33)</f>
        <v>0,13% (0,1% a 0,15%)</v>
      </c>
      <c r="G35" s="128" t="str">
        <f>CONCATENATE(G31," ",B31,G32," ",B35," ",G33,B33)</f>
        <v>787 (666 a 1011)</v>
      </c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2.75" hidden="1">
      <c r="A36" s="50"/>
      <c r="B36" s="4"/>
      <c r="C36" s="19"/>
      <c r="D36" s="19"/>
      <c r="E36" s="19"/>
      <c r="F36" s="19"/>
      <c r="G36" s="19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3.5" hidden="1" thickBot="1">
      <c r="A37" s="178">
        <f>A23*A24</f>
        <v>0.002554243994173842</v>
      </c>
      <c r="B37" s="179" t="s">
        <v>55</v>
      </c>
      <c r="C37" s="18"/>
      <c r="D37" s="18"/>
      <c r="E37" s="18"/>
      <c r="F37" s="18"/>
      <c r="G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3.5" hidden="1" thickBot="1">
      <c r="A38" s="51"/>
      <c r="B38" s="18"/>
      <c r="C38" s="186" t="s">
        <v>56</v>
      </c>
      <c r="D38" s="187" t="s">
        <v>11</v>
      </c>
      <c r="E38" s="187" t="s">
        <v>8</v>
      </c>
      <c r="F38" s="187" t="s">
        <v>2</v>
      </c>
      <c r="G38" s="188" t="s">
        <v>3</v>
      </c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3.5" hidden="1" thickBot="1">
      <c r="A39" s="52"/>
      <c r="B39" s="15"/>
      <c r="C39" s="183" t="str">
        <f>C35</f>
        <v>0,13%</v>
      </c>
      <c r="D39" s="184" t="str">
        <f>D35</f>
        <v>0,26%</v>
      </c>
      <c r="E39" s="184" t="str">
        <f>E35</f>
        <v>0,5 (0,41-0,61)</v>
      </c>
      <c r="F39" s="184" t="str">
        <f>F35</f>
        <v>0,13% (0,1% a 0,15%)</v>
      </c>
      <c r="G39" s="185" t="str">
        <f>G35</f>
        <v>787 (666 a 1011)</v>
      </c>
      <c r="S39" s="18"/>
      <c r="T39" s="18"/>
      <c r="U39" s="18"/>
      <c r="V39" s="18"/>
      <c r="W39" s="18"/>
      <c r="X39" s="18"/>
      <c r="Y39" s="18"/>
      <c r="Z39" s="18"/>
      <c r="AA39" s="18"/>
    </row>
    <row r="40" spans="2:27" ht="12.75" hidden="1">
      <c r="B40" s="2"/>
      <c r="C40" s="2"/>
      <c r="E40" s="3"/>
      <c r="F40" s="26"/>
      <c r="S40" s="18"/>
      <c r="T40" s="18"/>
      <c r="U40" s="18"/>
      <c r="V40" s="18"/>
      <c r="W40" s="18"/>
      <c r="X40" s="18"/>
      <c r="Y40" s="18"/>
      <c r="Z40" s="18"/>
      <c r="AA40" s="18"/>
    </row>
    <row r="41" spans="4:27" ht="13.5" thickBot="1">
      <c r="D41" s="3"/>
      <c r="E41" s="3"/>
      <c r="S41" s="18"/>
      <c r="T41" s="18"/>
      <c r="U41" s="18"/>
      <c r="V41" s="18"/>
      <c r="W41" s="18"/>
      <c r="X41" s="18"/>
      <c r="Y41" s="18"/>
      <c r="Z41" s="18"/>
      <c r="AA41" s="18"/>
    </row>
    <row r="42" spans="1:20" ht="23.25" customHeight="1" thickBot="1">
      <c r="A42" s="245" t="s">
        <v>332</v>
      </c>
      <c r="B42" s="177" t="str">
        <f>B2</f>
        <v>CAMBIO Verrugas AG, mujeres 15-19 años, tras 3 a 8 años de vacunación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6"/>
      <c r="S42" s="18"/>
      <c r="T42" s="18"/>
    </row>
    <row r="43" spans="1:20" ht="15.75" thickBot="1">
      <c r="A43" s="256" t="s">
        <v>28</v>
      </c>
      <c r="B43" s="256" t="s">
        <v>29</v>
      </c>
      <c r="C43" s="267" t="s">
        <v>30</v>
      </c>
      <c r="D43" s="269" t="s">
        <v>31</v>
      </c>
      <c r="E43" s="256" t="s">
        <v>32</v>
      </c>
      <c r="F43" s="256" t="s">
        <v>91</v>
      </c>
      <c r="G43" s="256" t="s">
        <v>92</v>
      </c>
      <c r="H43" s="256" t="s">
        <v>95</v>
      </c>
      <c r="I43" s="256" t="s">
        <v>96</v>
      </c>
      <c r="J43" s="256" t="s">
        <v>33</v>
      </c>
      <c r="K43" s="258" t="s">
        <v>34</v>
      </c>
      <c r="L43" s="246" t="s">
        <v>35</v>
      </c>
      <c r="M43" s="247"/>
      <c r="N43" s="247"/>
      <c r="O43" s="248"/>
      <c r="S43" s="18"/>
      <c r="T43" s="18"/>
    </row>
    <row r="44" spans="1:20" ht="30.75" thickBot="1">
      <c r="A44" s="257"/>
      <c r="B44" s="257"/>
      <c r="C44" s="268"/>
      <c r="D44" s="270"/>
      <c r="E44" s="257"/>
      <c r="F44" s="257"/>
      <c r="G44" s="257"/>
      <c r="H44" s="257"/>
      <c r="I44" s="257"/>
      <c r="J44" s="257"/>
      <c r="K44" s="259"/>
      <c r="L44" s="196" t="s">
        <v>36</v>
      </c>
      <c r="M44" s="197" t="s">
        <v>2</v>
      </c>
      <c r="N44" s="198" t="s">
        <v>3</v>
      </c>
      <c r="O44" s="199" t="s">
        <v>37</v>
      </c>
      <c r="S44" s="18"/>
      <c r="T44" s="18"/>
    </row>
    <row r="45" spans="1:20" ht="15">
      <c r="A45" s="249">
        <v>8</v>
      </c>
      <c r="B45" s="135" t="s">
        <v>100</v>
      </c>
      <c r="C45" s="58" t="s">
        <v>38</v>
      </c>
      <c r="D45" s="59"/>
      <c r="E45" s="147">
        <f aca="true" t="shared" si="10" ref="E45:E60">H5</f>
        <v>3</v>
      </c>
      <c r="F45" s="148" t="str">
        <f aca="true" t="shared" si="11" ref="F45:F60">P5</f>
        <v>354 / 129673</v>
      </c>
      <c r="G45" s="149">
        <f aca="true" t="shared" si="12" ref="G45:G60">L5</f>
        <v>0.0009099812605553971</v>
      </c>
      <c r="H45" s="148" t="str">
        <f aca="true" t="shared" si="13" ref="H45:H60">Q5</f>
        <v>344 / 127226</v>
      </c>
      <c r="I45" s="150">
        <f aca="true" t="shared" si="14" ref="I45:I60">M5</f>
        <v>0.0009012832806711416</v>
      </c>
      <c r="J45" s="151">
        <f aca="true" t="shared" si="15" ref="J45:J60">N5</f>
        <v>17.5</v>
      </c>
      <c r="K45" s="119">
        <v>0.07656324149561362</v>
      </c>
      <c r="L45" s="208" t="s">
        <v>115</v>
      </c>
      <c r="M45" s="209" t="s">
        <v>116</v>
      </c>
      <c r="N45" s="209" t="s">
        <v>117</v>
      </c>
      <c r="O45" s="152" t="s">
        <v>86</v>
      </c>
      <c r="R45" s="62">
        <f>Q45*K45</f>
        <v>0</v>
      </c>
      <c r="S45" s="18"/>
      <c r="T45" s="18"/>
    </row>
    <row r="46" spans="1:20" ht="15">
      <c r="A46" s="250"/>
      <c r="B46" s="139" t="s">
        <v>101</v>
      </c>
      <c r="C46" s="58" t="s">
        <v>38</v>
      </c>
      <c r="D46" s="59"/>
      <c r="E46" s="147">
        <f t="shared" si="10"/>
        <v>6</v>
      </c>
      <c r="F46" s="148" t="str">
        <f t="shared" si="11"/>
        <v>1745 / 1017243</v>
      </c>
      <c r="G46" s="149">
        <f t="shared" si="12"/>
        <v>0.00028590349929498985</v>
      </c>
      <c r="H46" s="148" t="str">
        <f t="shared" si="13"/>
        <v>2871 / 1529955</v>
      </c>
      <c r="I46" s="149">
        <f t="shared" si="14"/>
        <v>0.0003127542966950008</v>
      </c>
      <c r="J46" s="151">
        <f t="shared" si="15"/>
        <v>17.5</v>
      </c>
      <c r="K46" s="119">
        <v>0.07885443084790306</v>
      </c>
      <c r="L46" s="208" t="s">
        <v>118</v>
      </c>
      <c r="M46" s="209" t="s">
        <v>119</v>
      </c>
      <c r="N46" s="209" t="s">
        <v>120</v>
      </c>
      <c r="O46" s="120" t="s">
        <v>86</v>
      </c>
      <c r="R46" s="62">
        <f aca="true" t="shared" si="16" ref="R46:R59">Q46*K46</f>
        <v>0</v>
      </c>
      <c r="S46" s="18"/>
      <c r="T46" s="18"/>
    </row>
    <row r="47" spans="1:20" ht="15">
      <c r="A47" s="250"/>
      <c r="B47" s="135" t="s">
        <v>102</v>
      </c>
      <c r="C47" s="58" t="s">
        <v>38</v>
      </c>
      <c r="D47" s="59"/>
      <c r="E47" s="147">
        <f t="shared" si="10"/>
        <v>7</v>
      </c>
      <c r="F47" s="148" t="str">
        <f t="shared" si="11"/>
        <v>29 / 327264</v>
      </c>
      <c r="G47" s="149">
        <f t="shared" si="12"/>
        <v>1.2659067733869729E-05</v>
      </c>
      <c r="H47" s="148" t="str">
        <f t="shared" si="13"/>
        <v>62 / 309185</v>
      </c>
      <c r="I47" s="149">
        <f t="shared" si="14"/>
        <v>2.8646741779655732E-05</v>
      </c>
      <c r="J47" s="151">
        <f t="shared" si="15"/>
        <v>17.5</v>
      </c>
      <c r="K47" s="119">
        <v>0.06019473645202072</v>
      </c>
      <c r="L47" s="208" t="s">
        <v>121</v>
      </c>
      <c r="M47" s="209" t="s">
        <v>122</v>
      </c>
      <c r="N47" s="209" t="s">
        <v>123</v>
      </c>
      <c r="O47" s="120" t="s">
        <v>86</v>
      </c>
      <c r="R47" s="62">
        <f t="shared" si="16"/>
        <v>0</v>
      </c>
      <c r="S47" s="18"/>
      <c r="T47" s="18"/>
    </row>
    <row r="48" spans="1:20" ht="15">
      <c r="A48" s="250"/>
      <c r="B48" s="139" t="s">
        <v>103</v>
      </c>
      <c r="C48" s="58" t="s">
        <v>38</v>
      </c>
      <c r="D48" s="59"/>
      <c r="E48" s="147">
        <f t="shared" si="10"/>
        <v>6</v>
      </c>
      <c r="F48" s="148" t="str">
        <f t="shared" si="11"/>
        <v>2207 / 574742</v>
      </c>
      <c r="G48" s="149">
        <f t="shared" si="12"/>
        <v>0.0006399973089374595</v>
      </c>
      <c r="H48" s="148" t="str">
        <f t="shared" si="13"/>
        <v>1872 / 296421</v>
      </c>
      <c r="I48" s="149">
        <f t="shared" si="14"/>
        <v>0.0010525570050704909</v>
      </c>
      <c r="J48" s="151">
        <f t="shared" si="15"/>
        <v>17.5</v>
      </c>
      <c r="K48" s="119">
        <v>0.0788237248947501</v>
      </c>
      <c r="L48" s="208" t="s">
        <v>124</v>
      </c>
      <c r="M48" s="209" t="s">
        <v>125</v>
      </c>
      <c r="N48" s="209" t="s">
        <v>126</v>
      </c>
      <c r="O48" s="120" t="s">
        <v>86</v>
      </c>
      <c r="R48" s="62">
        <f t="shared" si="16"/>
        <v>0</v>
      </c>
      <c r="S48" s="18"/>
      <c r="T48" s="18"/>
    </row>
    <row r="49" spans="1:20" ht="15">
      <c r="A49" s="250"/>
      <c r="B49" s="135" t="s">
        <v>104</v>
      </c>
      <c r="C49" s="58" t="s">
        <v>38</v>
      </c>
      <c r="D49" s="59"/>
      <c r="E49" s="147">
        <f t="shared" si="10"/>
        <v>3</v>
      </c>
      <c r="F49" s="148" t="str">
        <f t="shared" si="11"/>
        <v>797 / 442000</v>
      </c>
      <c r="G49" s="149">
        <f t="shared" si="12"/>
        <v>0.0006010558069381599</v>
      </c>
      <c r="H49" s="148" t="str">
        <f t="shared" si="13"/>
        <v>1308 / 424000</v>
      </c>
      <c r="I49" s="149">
        <f t="shared" si="14"/>
        <v>0.0010283018867924527</v>
      </c>
      <c r="J49" s="151">
        <f t="shared" si="15"/>
        <v>17.5</v>
      </c>
      <c r="K49" s="119">
        <v>0.07831944006347921</v>
      </c>
      <c r="L49" s="208" t="s">
        <v>115</v>
      </c>
      <c r="M49" s="209" t="s">
        <v>116</v>
      </c>
      <c r="N49" s="209" t="s">
        <v>117</v>
      </c>
      <c r="O49" s="120" t="s">
        <v>86</v>
      </c>
      <c r="R49" s="62">
        <f t="shared" si="16"/>
        <v>0</v>
      </c>
      <c r="S49" s="18"/>
      <c r="T49" s="18"/>
    </row>
    <row r="50" spans="1:20" ht="15">
      <c r="A50" s="250"/>
      <c r="B50" s="139" t="s">
        <v>105</v>
      </c>
      <c r="C50" s="58" t="s">
        <v>38</v>
      </c>
      <c r="D50" s="59"/>
      <c r="E50" s="147">
        <f t="shared" si="10"/>
        <v>8</v>
      </c>
      <c r="F50" s="148" t="str">
        <f t="shared" si="11"/>
        <v>7378 / 5507747</v>
      </c>
      <c r="G50" s="149">
        <f t="shared" si="12"/>
        <v>0.00016744596293184855</v>
      </c>
      <c r="H50" s="148" t="str">
        <f t="shared" si="13"/>
        <v>3666 / 1396354</v>
      </c>
      <c r="I50" s="149">
        <f t="shared" si="14"/>
        <v>0.000328176092881891</v>
      </c>
      <c r="J50" s="151">
        <f t="shared" si="15"/>
        <v>17.5</v>
      </c>
      <c r="K50" s="119">
        <v>0.07910728736249466</v>
      </c>
      <c r="L50" s="208" t="s">
        <v>127</v>
      </c>
      <c r="M50" s="209" t="s">
        <v>128</v>
      </c>
      <c r="N50" s="209" t="s">
        <v>129</v>
      </c>
      <c r="O50" s="152" t="s">
        <v>87</v>
      </c>
      <c r="R50" s="62">
        <f t="shared" si="16"/>
        <v>0</v>
      </c>
      <c r="S50" s="18"/>
      <c r="T50" s="18"/>
    </row>
    <row r="51" spans="1:20" ht="15">
      <c r="A51" s="250"/>
      <c r="B51" s="135" t="s">
        <v>106</v>
      </c>
      <c r="C51" s="58" t="s">
        <v>38</v>
      </c>
      <c r="D51" s="59"/>
      <c r="E51" s="147">
        <f t="shared" si="10"/>
        <v>4</v>
      </c>
      <c r="F51" s="148" t="str">
        <f t="shared" si="11"/>
        <v>6139 / 890337</v>
      </c>
      <c r="G51" s="149">
        <f t="shared" si="12"/>
        <v>0.0017237854879669158</v>
      </c>
      <c r="H51" s="148" t="str">
        <f t="shared" si="13"/>
        <v>2667 / 295941</v>
      </c>
      <c r="I51" s="149">
        <f t="shared" si="14"/>
        <v>0.0022529828580696827</v>
      </c>
      <c r="J51" s="151">
        <f t="shared" si="15"/>
        <v>17.5</v>
      </c>
      <c r="K51" s="119">
        <v>0.07904498616126329</v>
      </c>
      <c r="L51" s="208" t="s">
        <v>130</v>
      </c>
      <c r="M51" s="209" t="s">
        <v>131</v>
      </c>
      <c r="N51" s="209" t="s">
        <v>132</v>
      </c>
      <c r="O51" s="152" t="s">
        <v>86</v>
      </c>
      <c r="R51" s="62">
        <f t="shared" si="16"/>
        <v>0</v>
      </c>
      <c r="S51" s="18"/>
      <c r="T51" s="18"/>
    </row>
    <row r="52" spans="1:20" ht="15">
      <c r="A52" s="250"/>
      <c r="B52" s="139" t="s">
        <v>107</v>
      </c>
      <c r="C52" s="58" t="s">
        <v>38</v>
      </c>
      <c r="D52" s="59"/>
      <c r="E52" s="147">
        <f t="shared" si="10"/>
        <v>6</v>
      </c>
      <c r="F52" s="148" t="str">
        <f t="shared" si="11"/>
        <v>30 / 101006</v>
      </c>
      <c r="G52" s="149">
        <f t="shared" si="12"/>
        <v>4.950200978159713E-05</v>
      </c>
      <c r="H52" s="148" t="str">
        <f t="shared" si="13"/>
        <v>55 / 66067</v>
      </c>
      <c r="I52" s="149">
        <f t="shared" si="14"/>
        <v>0.00013874803860727242</v>
      </c>
      <c r="J52" s="151">
        <f t="shared" si="15"/>
        <v>17.5</v>
      </c>
      <c r="K52" s="119">
        <v>0.059942194842530154</v>
      </c>
      <c r="L52" s="208" t="s">
        <v>133</v>
      </c>
      <c r="M52" s="209" t="s">
        <v>134</v>
      </c>
      <c r="N52" s="209" t="s">
        <v>135</v>
      </c>
      <c r="O52" s="152" t="s">
        <v>86</v>
      </c>
      <c r="R52" s="62">
        <f t="shared" si="16"/>
        <v>0</v>
      </c>
      <c r="S52" s="18"/>
      <c r="T52" s="18"/>
    </row>
    <row r="53" spans="1:20" ht="15">
      <c r="A53" s="250"/>
      <c r="B53" s="135" t="s">
        <v>108</v>
      </c>
      <c r="C53" s="58" t="s">
        <v>38</v>
      </c>
      <c r="D53" s="59"/>
      <c r="E53" s="147">
        <f t="shared" si="10"/>
        <v>5</v>
      </c>
      <c r="F53" s="148" t="str">
        <f t="shared" si="11"/>
        <v>22 / 574</v>
      </c>
      <c r="G53" s="149">
        <f t="shared" si="12"/>
        <v>0.007665505226480836</v>
      </c>
      <c r="H53" s="148" t="str">
        <f t="shared" si="13"/>
        <v>308 / 1326</v>
      </c>
      <c r="I53" s="149">
        <f t="shared" si="14"/>
        <v>0.04645550527903469</v>
      </c>
      <c r="J53" s="151">
        <f t="shared" si="15"/>
        <v>17.5</v>
      </c>
      <c r="K53" s="119">
        <v>0.06148330257979197</v>
      </c>
      <c r="L53" s="208" t="s">
        <v>136</v>
      </c>
      <c r="M53" s="209" t="s">
        <v>137</v>
      </c>
      <c r="N53" s="209" t="s">
        <v>138</v>
      </c>
      <c r="O53" s="153" t="s">
        <v>86</v>
      </c>
      <c r="R53" s="62">
        <f t="shared" si="16"/>
        <v>0</v>
      </c>
      <c r="S53" s="18"/>
      <c r="T53" s="18"/>
    </row>
    <row r="54" spans="1:20" ht="15">
      <c r="A54" s="250"/>
      <c r="B54" s="139" t="s">
        <v>109</v>
      </c>
      <c r="C54" s="58" t="s">
        <v>38</v>
      </c>
      <c r="D54" s="59"/>
      <c r="E54" s="147">
        <f t="shared" si="10"/>
        <v>4</v>
      </c>
      <c r="F54" s="148" t="str">
        <f t="shared" si="11"/>
        <v>351 / 962357</v>
      </c>
      <c r="G54" s="149">
        <f t="shared" si="12"/>
        <v>9.118237826503054E-05</v>
      </c>
      <c r="H54" s="148" t="str">
        <f t="shared" si="13"/>
        <v>727 / 1111777</v>
      </c>
      <c r="I54" s="149">
        <f t="shared" si="14"/>
        <v>0.00016347702821698957</v>
      </c>
      <c r="J54" s="151">
        <f t="shared" si="15"/>
        <v>17.5</v>
      </c>
      <c r="K54" s="119">
        <v>0.077262334140672</v>
      </c>
      <c r="L54" s="208" t="s">
        <v>139</v>
      </c>
      <c r="M54" s="209" t="s">
        <v>140</v>
      </c>
      <c r="N54" s="209" t="s">
        <v>141</v>
      </c>
      <c r="O54" s="153" t="s">
        <v>86</v>
      </c>
      <c r="R54" s="62">
        <f t="shared" si="16"/>
        <v>0</v>
      </c>
      <c r="S54" s="18"/>
      <c r="T54" s="18"/>
    </row>
    <row r="55" spans="1:20" ht="15">
      <c r="A55" s="250"/>
      <c r="B55" s="135" t="s">
        <v>110</v>
      </c>
      <c r="C55" s="58" t="s">
        <v>38</v>
      </c>
      <c r="D55" s="59"/>
      <c r="E55" s="147">
        <f t="shared" si="10"/>
        <v>4</v>
      </c>
      <c r="F55" s="148" t="str">
        <f t="shared" si="11"/>
        <v>2455 / 693877</v>
      </c>
      <c r="G55" s="149">
        <f t="shared" si="12"/>
        <v>0.0008845227612386634</v>
      </c>
      <c r="H55" s="148" t="str">
        <f t="shared" si="13"/>
        <v>5517 / 486761</v>
      </c>
      <c r="I55" s="149">
        <f t="shared" si="14"/>
        <v>0.0028335261041866544</v>
      </c>
      <c r="J55" s="151">
        <f t="shared" si="15"/>
        <v>17.5</v>
      </c>
      <c r="K55" s="119">
        <v>0.07901941148425193</v>
      </c>
      <c r="L55" s="210" t="s">
        <v>142</v>
      </c>
      <c r="M55" s="211" t="s">
        <v>143</v>
      </c>
      <c r="N55" s="211" t="s">
        <v>144</v>
      </c>
      <c r="O55" s="153" t="s">
        <v>86</v>
      </c>
      <c r="R55" s="62">
        <f t="shared" si="16"/>
        <v>0</v>
      </c>
      <c r="S55" s="18"/>
      <c r="T55" s="18"/>
    </row>
    <row r="56" spans="1:20" ht="15">
      <c r="A56" s="250"/>
      <c r="B56" s="139" t="s">
        <v>111</v>
      </c>
      <c r="C56" s="58" t="s">
        <v>38</v>
      </c>
      <c r="D56" s="59"/>
      <c r="E56" s="147">
        <f t="shared" si="10"/>
        <v>4</v>
      </c>
      <c r="F56" s="148" t="str">
        <f t="shared" si="11"/>
        <v>2 / 400</v>
      </c>
      <c r="G56" s="149">
        <f t="shared" si="12"/>
        <v>0.00125</v>
      </c>
      <c r="H56" s="148" t="str">
        <f t="shared" si="13"/>
        <v>3 / 600</v>
      </c>
      <c r="I56" s="149">
        <f t="shared" si="14"/>
        <v>0.00125</v>
      </c>
      <c r="J56" s="151">
        <f t="shared" si="15"/>
        <v>17.5</v>
      </c>
      <c r="K56" s="119">
        <v>0.01278563975825517</v>
      </c>
      <c r="L56" s="210" t="s">
        <v>145</v>
      </c>
      <c r="M56" s="211" t="s">
        <v>146</v>
      </c>
      <c r="N56" s="211" t="e">
        <v>#DIV/0!</v>
      </c>
      <c r="O56" s="153" t="s">
        <v>86</v>
      </c>
      <c r="R56" s="62">
        <f t="shared" si="16"/>
        <v>0</v>
      </c>
      <c r="S56" s="18"/>
      <c r="T56" s="18"/>
    </row>
    <row r="57" spans="1:20" ht="15">
      <c r="A57" s="250"/>
      <c r="B57" s="135" t="s">
        <v>112</v>
      </c>
      <c r="C57" s="58" t="s">
        <v>38</v>
      </c>
      <c r="D57" s="59"/>
      <c r="E57" s="147">
        <f t="shared" si="10"/>
        <v>8</v>
      </c>
      <c r="F57" s="148" t="str">
        <f t="shared" si="11"/>
        <v>5 / 8467</v>
      </c>
      <c r="G57" s="149">
        <f t="shared" si="12"/>
        <v>7.381599149639779E-05</v>
      </c>
      <c r="H57" s="148" t="str">
        <f t="shared" si="13"/>
        <v>24 / 7145</v>
      </c>
      <c r="I57" s="149">
        <f t="shared" si="14"/>
        <v>0.0004198740377886634</v>
      </c>
      <c r="J57" s="151">
        <f t="shared" si="15"/>
        <v>17.5</v>
      </c>
      <c r="K57" s="119">
        <v>0.03153664030723314</v>
      </c>
      <c r="L57" s="210" t="s">
        <v>147</v>
      </c>
      <c r="M57" s="211" t="s">
        <v>148</v>
      </c>
      <c r="N57" s="211" t="s">
        <v>149</v>
      </c>
      <c r="O57" s="153" t="s">
        <v>88</v>
      </c>
      <c r="R57" s="62">
        <f t="shared" si="16"/>
        <v>0</v>
      </c>
      <c r="S57" s="18"/>
      <c r="T57" s="18"/>
    </row>
    <row r="58" spans="1:20" ht="15">
      <c r="A58" s="250"/>
      <c r="B58" s="139" t="s">
        <v>113</v>
      </c>
      <c r="C58" s="58" t="s">
        <v>38</v>
      </c>
      <c r="D58" s="59"/>
      <c r="E58" s="147">
        <f t="shared" si="10"/>
        <v>4</v>
      </c>
      <c r="F58" s="148" t="str">
        <f t="shared" si="11"/>
        <v>150 / 3297233</v>
      </c>
      <c r="G58" s="149">
        <f t="shared" si="12"/>
        <v>1.1373172596537764E-05</v>
      </c>
      <c r="H58" s="148" t="str">
        <f t="shared" si="13"/>
        <v>435 / 2433667</v>
      </c>
      <c r="I58" s="149">
        <f t="shared" si="14"/>
        <v>4.468565337821485E-05</v>
      </c>
      <c r="J58" s="151">
        <f t="shared" si="15"/>
        <v>17.5</v>
      </c>
      <c r="K58" s="119">
        <v>0.07508565347237244</v>
      </c>
      <c r="L58" s="210" t="s">
        <v>150</v>
      </c>
      <c r="M58" s="211" t="s">
        <v>151</v>
      </c>
      <c r="N58" s="211" t="s">
        <v>152</v>
      </c>
      <c r="O58" s="153" t="s">
        <v>86</v>
      </c>
      <c r="R58" s="62">
        <f t="shared" si="16"/>
        <v>0</v>
      </c>
      <c r="S58" s="18"/>
      <c r="T58" s="18"/>
    </row>
    <row r="59" spans="1:20" ht="15.75" thickBot="1">
      <c r="A59" s="250"/>
      <c r="B59" s="135" t="s">
        <v>114</v>
      </c>
      <c r="C59" s="58" t="s">
        <v>38</v>
      </c>
      <c r="D59" s="59"/>
      <c r="E59" s="147">
        <f t="shared" si="10"/>
        <v>8</v>
      </c>
      <c r="F59" s="148" t="str">
        <f t="shared" si="11"/>
        <v>106 / 3302</v>
      </c>
      <c r="G59" s="149">
        <f t="shared" si="12"/>
        <v>0.004012719563900666</v>
      </c>
      <c r="H59" s="148" t="str">
        <f t="shared" si="13"/>
        <v>135 / 3293</v>
      </c>
      <c r="I59" s="149">
        <f t="shared" si="14"/>
        <v>0.005124506529000911</v>
      </c>
      <c r="J59" s="151">
        <f t="shared" si="15"/>
        <v>17.5</v>
      </c>
      <c r="K59" s="119">
        <v>0.07197697613736842</v>
      </c>
      <c r="L59" s="210" t="s">
        <v>153</v>
      </c>
      <c r="M59" s="211" t="s">
        <v>154</v>
      </c>
      <c r="N59" s="211" t="s">
        <v>155</v>
      </c>
      <c r="O59" s="153" t="s">
        <v>86</v>
      </c>
      <c r="R59" s="62">
        <f t="shared" si="16"/>
        <v>0</v>
      </c>
      <c r="S59" s="18"/>
      <c r="T59" s="18"/>
    </row>
    <row r="60" spans="1:20" ht="21.75" thickBot="1">
      <c r="A60" s="154" t="s">
        <v>39</v>
      </c>
      <c r="B60" s="155">
        <f>COUNT(E45:E59)</f>
        <v>15</v>
      </c>
      <c r="C60" s="156"/>
      <c r="D60" s="63" t="s">
        <v>287</v>
      </c>
      <c r="E60" s="157">
        <f t="shared" si="10"/>
        <v>5.588904184899363</v>
      </c>
      <c r="F60" s="158" t="str">
        <f t="shared" si="11"/>
        <v>21770 / 13956222</v>
      </c>
      <c r="G60" s="159">
        <f t="shared" si="12"/>
        <v>0.00026646388483511684</v>
      </c>
      <c r="H60" s="158" t="str">
        <f t="shared" si="13"/>
        <v>19994 / 8489718</v>
      </c>
      <c r="I60" s="159">
        <f t="shared" si="14"/>
        <v>0.0004570205374204023</v>
      </c>
      <c r="J60" s="157">
        <f t="shared" si="15"/>
        <v>17.5</v>
      </c>
      <c r="K60" s="160">
        <v>0.9999999999999998</v>
      </c>
      <c r="L60" s="112" t="s">
        <v>285</v>
      </c>
      <c r="M60" s="64"/>
      <c r="N60" s="65"/>
      <c r="O60" s="66" t="s">
        <v>86</v>
      </c>
      <c r="R60" s="161">
        <f>SUM(R45:R59)</f>
        <v>0</v>
      </c>
      <c r="S60" s="18"/>
      <c r="T60" s="18"/>
    </row>
    <row r="61" spans="1:15" ht="13.5" thickBot="1">
      <c r="A61" s="67"/>
      <c r="B61" s="67"/>
      <c r="C61" s="68"/>
      <c r="D61" s="69"/>
      <c r="E61" s="70"/>
      <c r="F61" s="71"/>
      <c r="G61" s="72"/>
      <c r="H61" s="71"/>
      <c r="I61" s="73"/>
      <c r="J61" s="74"/>
      <c r="K61" s="75"/>
      <c r="L61" s="64"/>
      <c r="M61" s="65"/>
      <c r="N61" s="65"/>
      <c r="O61" s="75"/>
    </row>
    <row r="62" spans="1:255" ht="48" thickBot="1">
      <c r="A62" s="76"/>
      <c r="B62" s="251" t="s">
        <v>99</v>
      </c>
      <c r="C62" s="252"/>
      <c r="D62" s="252"/>
      <c r="E62" s="252"/>
      <c r="F62" s="252"/>
      <c r="G62" s="252"/>
      <c r="H62" s="252"/>
      <c r="I62" s="253"/>
      <c r="J62" s="77" t="s">
        <v>93</v>
      </c>
      <c r="K62" s="162" t="s">
        <v>97</v>
      </c>
      <c r="L62" s="78" t="s">
        <v>36</v>
      </c>
      <c r="M62" s="79" t="s">
        <v>2</v>
      </c>
      <c r="N62" s="80" t="s">
        <v>3</v>
      </c>
      <c r="O62" s="6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15" ht="19.5" customHeight="1">
      <c r="A63" s="254" t="s">
        <v>40</v>
      </c>
      <c r="B63" s="81" t="s">
        <v>41</v>
      </c>
      <c r="C63" s="82">
        <f>I60</f>
        <v>0.0004570205374204023</v>
      </c>
      <c r="D63" s="83" t="s">
        <v>42</v>
      </c>
      <c r="E63" s="83"/>
      <c r="F63" s="83"/>
      <c r="G63" s="83"/>
      <c r="H63" s="84">
        <f>J60</f>
        <v>17.5</v>
      </c>
      <c r="I63" s="85" t="s">
        <v>43</v>
      </c>
      <c r="J63" s="86" t="s">
        <v>288</v>
      </c>
      <c r="K63" s="87" t="s">
        <v>289</v>
      </c>
      <c r="L63" s="113" t="s">
        <v>285</v>
      </c>
      <c r="M63" s="88" t="s">
        <v>290</v>
      </c>
      <c r="N63" s="88" t="s">
        <v>291</v>
      </c>
      <c r="O63" s="89" t="s">
        <v>44</v>
      </c>
    </row>
    <row r="64" spans="1:15" ht="19.5" thickBot="1">
      <c r="A64" s="255"/>
      <c r="B64" s="163" t="s">
        <v>41</v>
      </c>
      <c r="C64" s="164">
        <f>I60*E60</f>
        <v>0.002554243994173842</v>
      </c>
      <c r="D64" s="165" t="s">
        <v>45</v>
      </c>
      <c r="E64" s="166"/>
      <c r="F64" s="167"/>
      <c r="G64" s="168">
        <f>E60</f>
        <v>5.588904184899363</v>
      </c>
      <c r="H64" s="165" t="s">
        <v>46</v>
      </c>
      <c r="I64" s="169"/>
      <c r="J64" s="170" t="s">
        <v>292</v>
      </c>
      <c r="K64" s="171" t="s">
        <v>293</v>
      </c>
      <c r="L64" s="172" t="s">
        <v>284</v>
      </c>
      <c r="M64" s="173" t="s">
        <v>294</v>
      </c>
      <c r="N64" s="173" t="s">
        <v>295</v>
      </c>
      <c r="O64" s="174" t="s">
        <v>89</v>
      </c>
    </row>
    <row r="65" spans="1:15" ht="19.5" thickBot="1">
      <c r="A65" s="92"/>
      <c r="B65" s="93"/>
      <c r="C65" s="94"/>
      <c r="D65" s="95"/>
      <c r="E65" s="96"/>
      <c r="F65" s="97"/>
      <c r="G65" s="98"/>
      <c r="H65" s="95"/>
      <c r="I65" s="97"/>
      <c r="J65" s="99"/>
      <c r="K65" s="99"/>
      <c r="L65" s="100"/>
      <c r="M65" s="101"/>
      <c r="N65" s="101"/>
      <c r="O65" s="102"/>
    </row>
    <row r="66" spans="1:15" ht="19.5" thickBot="1">
      <c r="A66" s="103"/>
      <c r="B66" s="103"/>
      <c r="C66" s="75"/>
      <c r="D66" s="75"/>
      <c r="E66" s="75"/>
      <c r="F66" s="75"/>
      <c r="G66" s="75"/>
      <c r="H66" s="75"/>
      <c r="I66" s="200"/>
      <c r="J66" s="201"/>
      <c r="K66" s="202" t="s">
        <v>47</v>
      </c>
      <c r="L66" s="214" t="s">
        <v>286</v>
      </c>
      <c r="M66" s="107"/>
      <c r="N66" s="108"/>
      <c r="O66" s="109"/>
    </row>
    <row r="67" spans="1:11" ht="12.75">
      <c r="A67" s="20"/>
      <c r="C67" s="2"/>
      <c r="I67" s="5" t="s">
        <v>48</v>
      </c>
      <c r="J67" s="204">
        <f>G64</f>
        <v>5.588904184899363</v>
      </c>
      <c r="K67" s="204">
        <f>J67</f>
        <v>5.588904184899363</v>
      </c>
    </row>
    <row r="68" spans="1:12" ht="12.75">
      <c r="A68" s="20"/>
      <c r="C68" s="2"/>
      <c r="I68" s="13"/>
      <c r="J68" s="138" t="s">
        <v>14</v>
      </c>
      <c r="K68" s="138" t="s">
        <v>15</v>
      </c>
      <c r="L68" s="138" t="s">
        <v>49</v>
      </c>
    </row>
    <row r="69" spans="9:14" ht="17.25">
      <c r="I69" s="110" t="s">
        <v>50</v>
      </c>
      <c r="J69" s="118">
        <f>J63*1000*J67</f>
        <v>1.1177808369798725</v>
      </c>
      <c r="K69" s="116">
        <f>K63*1000*K67</f>
        <v>2.7944520924496814</v>
      </c>
      <c r="L69" s="117">
        <f>((J69*I20)+(K69*J20))/K20</f>
        <v>1.7025001358820349</v>
      </c>
      <c r="M69" s="111"/>
      <c r="N69" s="111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  <row r="75" spans="1:7" ht="12.75">
      <c r="A75" s="18"/>
      <c r="B75" s="18"/>
      <c r="C75" s="18"/>
      <c r="D75" s="18"/>
      <c r="E75" s="18"/>
      <c r="F75" s="18"/>
      <c r="G75" s="18"/>
    </row>
    <row r="76" spans="1:7" ht="12.75">
      <c r="A76" s="18"/>
      <c r="B76" s="18"/>
      <c r="C76" s="18"/>
      <c r="D76" s="18"/>
      <c r="E76" s="18"/>
      <c r="F76" s="18"/>
      <c r="G76" s="18"/>
    </row>
    <row r="77" spans="1:7" ht="12.75">
      <c r="A77" s="18"/>
      <c r="B77" s="18"/>
      <c r="C77" s="18"/>
      <c r="D77" s="18"/>
      <c r="E77" s="18"/>
      <c r="F77" s="18"/>
      <c r="G77" s="18"/>
    </row>
    <row r="78" spans="1:7" ht="12.75">
      <c r="A78" s="18"/>
      <c r="B78" s="18"/>
      <c r="C78" s="18"/>
      <c r="D78" s="18"/>
      <c r="E78" s="18"/>
      <c r="F78" s="18"/>
      <c r="G78" s="18"/>
    </row>
    <row r="79" spans="1:7" ht="12.75">
      <c r="A79" s="18"/>
      <c r="B79" s="18"/>
      <c r="C79" s="18"/>
      <c r="D79" s="18"/>
      <c r="E79" s="18"/>
      <c r="F79" s="18"/>
      <c r="G79" s="18"/>
    </row>
    <row r="80" spans="1:7" ht="12.75">
      <c r="A80" s="18"/>
      <c r="B80" s="18"/>
      <c r="C80" s="18"/>
      <c r="D80" s="18"/>
      <c r="E80" s="18"/>
      <c r="F80" s="18"/>
      <c r="G80" s="18"/>
    </row>
    <row r="81" spans="1:7" ht="12.75">
      <c r="A81" s="18"/>
      <c r="B81" s="18"/>
      <c r="C81" s="18"/>
      <c r="D81" s="18"/>
      <c r="E81" s="18"/>
      <c r="F81" s="18"/>
      <c r="G81" s="18"/>
    </row>
    <row r="82" spans="1:7" ht="12.75">
      <c r="A82" s="18"/>
      <c r="B82" s="18"/>
      <c r="C82" s="18"/>
      <c r="D82" s="18"/>
      <c r="E82" s="18"/>
      <c r="F82" s="18"/>
      <c r="G82" s="18"/>
    </row>
    <row r="83" spans="1:7" ht="12.75">
      <c r="A83" s="18"/>
      <c r="B83" s="18"/>
      <c r="C83" s="18"/>
      <c r="D83" s="18"/>
      <c r="E83" s="18"/>
      <c r="F83" s="18"/>
      <c r="G83" s="18"/>
    </row>
    <row r="84" spans="1:7" ht="12.75">
      <c r="A84" s="18"/>
      <c r="B84" s="18"/>
      <c r="C84" s="18"/>
      <c r="D84" s="18"/>
      <c r="E84" s="18"/>
      <c r="F84" s="18"/>
      <c r="G84" s="18"/>
    </row>
    <row r="85" spans="1:7" ht="12.75">
      <c r="A85" s="18"/>
      <c r="B85" s="18"/>
      <c r="C85" s="18"/>
      <c r="D85" s="18"/>
      <c r="E85" s="18"/>
      <c r="F85" s="18"/>
      <c r="G85" s="18"/>
    </row>
    <row r="86" spans="1:7" ht="12.75">
      <c r="A86" s="18"/>
      <c r="B86" s="18"/>
      <c r="C86" s="18"/>
      <c r="D86" s="18"/>
      <c r="E86" s="18"/>
      <c r="F86" s="18"/>
      <c r="G86" s="18"/>
    </row>
    <row r="87" spans="1:7" ht="12.75">
      <c r="A87" s="18"/>
      <c r="B87" s="18"/>
      <c r="C87" s="18"/>
      <c r="D87" s="18"/>
      <c r="E87" s="18"/>
      <c r="F87" s="18"/>
      <c r="G87" s="18"/>
    </row>
    <row r="88" spans="1:7" ht="12.75">
      <c r="A88" s="18"/>
      <c r="B88" s="18"/>
      <c r="C88" s="18"/>
      <c r="D88" s="18"/>
      <c r="E88" s="18"/>
      <c r="F88" s="18"/>
      <c r="G88" s="18"/>
    </row>
  </sheetData>
  <sheetProtection/>
  <mergeCells count="20">
    <mergeCell ref="B3:D3"/>
    <mergeCell ref="E3:G3"/>
    <mergeCell ref="I3:K3"/>
    <mergeCell ref="L3:M3"/>
    <mergeCell ref="D22:F22"/>
    <mergeCell ref="A43:A44"/>
    <mergeCell ref="B43:B44"/>
    <mergeCell ref="C43:C44"/>
    <mergeCell ref="D43:D44"/>
    <mergeCell ref="E43:E44"/>
    <mergeCell ref="L43:O43"/>
    <mergeCell ref="A45:A59"/>
    <mergeCell ref="B62:I62"/>
    <mergeCell ref="A63:A64"/>
    <mergeCell ref="F43:F44"/>
    <mergeCell ref="G43:G44"/>
    <mergeCell ref="H43:H44"/>
    <mergeCell ref="I43:I44"/>
    <mergeCell ref="J43:J44"/>
    <mergeCell ref="K43:K44"/>
  </mergeCells>
  <printOptions/>
  <pageMargins left="0.75" right="0.75" top="1" bottom="1" header="0.5" footer="0.5"/>
  <pageSetup orientation="portrait" paperSize="9"/>
  <ignoredErrors>
    <ignoredError sqref="H20" formula="1"/>
    <ignoredError sqref="J63:K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8"/>
  <sheetViews>
    <sheetView zoomScalePageLayoutView="0" workbookViewId="0" topLeftCell="A1">
      <selection activeCell="A42" sqref="A42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9.281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6.7109375" style="2" customWidth="1"/>
    <col min="13" max="13" width="25.421875" style="2" customWidth="1"/>
    <col min="14" max="14" width="20.421875" style="2" customWidth="1"/>
    <col min="15" max="15" width="16.7109375" style="2" customWidth="1"/>
    <col min="16" max="16" width="16.00390625" style="2" customWidth="1"/>
    <col min="17" max="17" width="13.8515625" style="2" customWidth="1"/>
    <col min="18" max="18" width="8.7109375" style="2" customWidth="1"/>
    <col min="19" max="19" width="34.8515625" style="2" customWidth="1"/>
    <col min="20" max="16384" width="16.00390625" style="2" customWidth="1"/>
  </cols>
  <sheetData>
    <row r="1" spans="19:28" ht="15"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12.75" hidden="1">
      <c r="A2" s="203" t="s">
        <v>98</v>
      </c>
      <c r="B2" s="189" t="str">
        <f>A4</f>
        <v>CAMBIO Verrugas AG, mujeres 20-24 años, tras 3 a 8 años de vacunación</v>
      </c>
      <c r="C2" s="190"/>
      <c r="D2" s="191"/>
      <c r="E2" s="191"/>
      <c r="F2" s="191"/>
      <c r="G2" s="191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5.5" hidden="1">
      <c r="A3" s="21" t="s">
        <v>16</v>
      </c>
      <c r="B3" s="260" t="s">
        <v>17</v>
      </c>
      <c r="C3" s="260"/>
      <c r="D3" s="260"/>
      <c r="E3" s="260" t="s">
        <v>18</v>
      </c>
      <c r="F3" s="260"/>
      <c r="G3" s="260"/>
      <c r="H3" s="130" t="s">
        <v>23</v>
      </c>
      <c r="I3" s="261" t="s">
        <v>24</v>
      </c>
      <c r="J3" s="262"/>
      <c r="K3" s="263"/>
      <c r="L3" s="261" t="s">
        <v>25</v>
      </c>
      <c r="M3" s="263"/>
      <c r="N3" s="131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38.25" hidden="1">
      <c r="A4" s="22" t="s">
        <v>325</v>
      </c>
      <c r="B4" s="121" t="s">
        <v>19</v>
      </c>
      <c r="C4" s="121" t="s">
        <v>20</v>
      </c>
      <c r="D4" s="121" t="s">
        <v>1</v>
      </c>
      <c r="E4" s="121" t="s">
        <v>19</v>
      </c>
      <c r="F4" s="121" t="s">
        <v>20</v>
      </c>
      <c r="G4" s="121" t="s">
        <v>1</v>
      </c>
      <c r="H4" s="132" t="s">
        <v>27</v>
      </c>
      <c r="I4" s="54" t="s">
        <v>14</v>
      </c>
      <c r="J4" s="55" t="s">
        <v>15</v>
      </c>
      <c r="K4" s="54" t="s">
        <v>1</v>
      </c>
      <c r="L4" s="133" t="s">
        <v>14</v>
      </c>
      <c r="M4" s="134" t="s">
        <v>94</v>
      </c>
      <c r="N4" s="53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.75" hidden="1">
      <c r="A5" s="25" t="s">
        <v>156</v>
      </c>
      <c r="B5" s="212">
        <v>570</v>
      </c>
      <c r="C5" s="122">
        <f>D5-B5</f>
        <v>127568</v>
      </c>
      <c r="D5" s="213">
        <v>128138</v>
      </c>
      <c r="E5" s="212">
        <v>638</v>
      </c>
      <c r="F5" s="122">
        <f>G5-E5</f>
        <v>120658</v>
      </c>
      <c r="G5" s="213">
        <v>121296</v>
      </c>
      <c r="H5" s="182">
        <v>3</v>
      </c>
      <c r="I5" s="136">
        <f aca="true" t="shared" si="0" ref="I5:I19">D5*H5</f>
        <v>384414</v>
      </c>
      <c r="J5" s="136">
        <f aca="true" t="shared" si="1" ref="J5:J19">G5*H5</f>
        <v>363888</v>
      </c>
      <c r="K5" s="136">
        <f>I5+J5</f>
        <v>748302</v>
      </c>
      <c r="L5" s="137">
        <f aca="true" t="shared" si="2" ref="L5:L20">B5/I5</f>
        <v>0.0014827763817134652</v>
      </c>
      <c r="M5" s="137">
        <f aca="true" t="shared" si="3" ref="M5:M20">E5/J5</f>
        <v>0.0017532867255858945</v>
      </c>
      <c r="N5" s="207">
        <v>22.5</v>
      </c>
      <c r="O5" s="217">
        <f>N5*(D5+G5)</f>
        <v>5612265</v>
      </c>
      <c r="P5" s="56" t="str">
        <f aca="true" t="shared" si="4" ref="P5:P20">CONCATENATE(B5," ",$P$4," ",D5)</f>
        <v>570 / 128138</v>
      </c>
      <c r="Q5" s="56" t="str">
        <f aca="true" t="shared" si="5" ref="Q5:Q20">CONCATENATE(E5," ",$Q$4," ",G5)</f>
        <v>638 / 121296</v>
      </c>
      <c r="T5" s="18"/>
      <c r="U5" s="18"/>
      <c r="W5" s="18"/>
      <c r="X5" s="18"/>
      <c r="Y5" s="18"/>
      <c r="Z5" s="18"/>
      <c r="AA5" s="18"/>
      <c r="AB5" s="18"/>
    </row>
    <row r="6" spans="1:28" ht="12.75" hidden="1">
      <c r="A6" s="25" t="s">
        <v>157</v>
      </c>
      <c r="B6" s="212">
        <v>1815</v>
      </c>
      <c r="C6" s="122">
        <f aca="true" t="shared" si="6" ref="C6:C19">D6-B6</f>
        <v>568289</v>
      </c>
      <c r="D6" s="213">
        <v>570104</v>
      </c>
      <c r="E6" s="212">
        <v>2745</v>
      </c>
      <c r="F6" s="122">
        <f aca="true" t="shared" si="7" ref="F6:F19">G6-E6</f>
        <v>768913</v>
      </c>
      <c r="G6" s="213">
        <v>771658</v>
      </c>
      <c r="H6" s="182">
        <v>6</v>
      </c>
      <c r="I6" s="136">
        <f t="shared" si="0"/>
        <v>3420624</v>
      </c>
      <c r="J6" s="136">
        <f t="shared" si="1"/>
        <v>4629948</v>
      </c>
      <c r="K6" s="136">
        <f aca="true" t="shared" si="8" ref="K6:K19">I6+J6</f>
        <v>8050572</v>
      </c>
      <c r="L6" s="137">
        <f t="shared" si="2"/>
        <v>0.0005306049422561498</v>
      </c>
      <c r="M6" s="137">
        <f t="shared" si="3"/>
        <v>0.0005928792288811883</v>
      </c>
      <c r="N6" s="207">
        <v>22.5</v>
      </c>
      <c r="O6" s="217">
        <f aca="true" t="shared" si="9" ref="O6:O19">N6*(D6+G6)</f>
        <v>30189645</v>
      </c>
      <c r="P6" s="56" t="str">
        <f t="shared" si="4"/>
        <v>1815 / 570104</v>
      </c>
      <c r="Q6" s="56" t="str">
        <f t="shared" si="5"/>
        <v>2745 / 771658</v>
      </c>
      <c r="T6" s="18"/>
      <c r="U6" s="18"/>
      <c r="W6" s="18"/>
      <c r="X6" s="18"/>
      <c r="Y6" s="18"/>
      <c r="Z6" s="18"/>
      <c r="AA6" s="18"/>
      <c r="AB6" s="18"/>
    </row>
    <row r="7" spans="1:28" ht="12.75" hidden="1">
      <c r="A7" s="25" t="s">
        <v>158</v>
      </c>
      <c r="B7" s="212">
        <v>137</v>
      </c>
      <c r="C7" s="122">
        <f t="shared" si="6"/>
        <v>342456</v>
      </c>
      <c r="D7" s="213">
        <v>342593</v>
      </c>
      <c r="E7" s="212">
        <v>220</v>
      </c>
      <c r="F7" s="122">
        <f t="shared" si="7"/>
        <v>335399</v>
      </c>
      <c r="G7" s="213">
        <v>335619</v>
      </c>
      <c r="H7" s="182">
        <v>7</v>
      </c>
      <c r="I7" s="136">
        <f t="shared" si="0"/>
        <v>2398151</v>
      </c>
      <c r="J7" s="136">
        <f t="shared" si="1"/>
        <v>2349333</v>
      </c>
      <c r="K7" s="136">
        <f t="shared" si="8"/>
        <v>4747484</v>
      </c>
      <c r="L7" s="137">
        <f t="shared" si="2"/>
        <v>5.712734519219182E-05</v>
      </c>
      <c r="M7" s="137">
        <f t="shared" si="3"/>
        <v>9.364360011969355E-05</v>
      </c>
      <c r="N7" s="207">
        <v>22.5</v>
      </c>
      <c r="O7" s="217">
        <f t="shared" si="9"/>
        <v>15259770</v>
      </c>
      <c r="P7" s="56" t="str">
        <f t="shared" si="4"/>
        <v>137 / 342593</v>
      </c>
      <c r="Q7" s="56" t="str">
        <f t="shared" si="5"/>
        <v>220 / 335619</v>
      </c>
      <c r="T7" s="18"/>
      <c r="U7" s="18"/>
      <c r="W7" s="18"/>
      <c r="X7" s="18"/>
      <c r="Y7" s="18"/>
      <c r="Z7" s="18"/>
      <c r="AA7" s="18"/>
      <c r="AB7" s="18"/>
    </row>
    <row r="8" spans="1:28" ht="12.75" hidden="1">
      <c r="A8" s="25" t="s">
        <v>159</v>
      </c>
      <c r="B8" s="212">
        <v>4761</v>
      </c>
      <c r="C8" s="122">
        <f t="shared" si="6"/>
        <v>630509</v>
      </c>
      <c r="D8" s="213">
        <v>635270</v>
      </c>
      <c r="E8" s="212">
        <v>2763</v>
      </c>
      <c r="F8" s="122">
        <f t="shared" si="7"/>
        <v>258167</v>
      </c>
      <c r="G8" s="213">
        <v>260930</v>
      </c>
      <c r="H8" s="182">
        <v>6</v>
      </c>
      <c r="I8" s="136">
        <f t="shared" si="0"/>
        <v>3811620</v>
      </c>
      <c r="J8" s="136">
        <f t="shared" si="1"/>
        <v>1565580</v>
      </c>
      <c r="K8" s="136">
        <f t="shared" si="8"/>
        <v>5377200</v>
      </c>
      <c r="L8" s="137">
        <f t="shared" si="2"/>
        <v>0.0012490751963731956</v>
      </c>
      <c r="M8" s="137">
        <f t="shared" si="3"/>
        <v>0.0017648411451347105</v>
      </c>
      <c r="N8" s="207">
        <v>22.5</v>
      </c>
      <c r="O8" s="217">
        <f t="shared" si="9"/>
        <v>20164500</v>
      </c>
      <c r="P8" s="56" t="str">
        <f t="shared" si="4"/>
        <v>4761 / 635270</v>
      </c>
      <c r="Q8" s="56" t="str">
        <f t="shared" si="5"/>
        <v>2763 / 260930</v>
      </c>
      <c r="T8" s="18"/>
      <c r="U8" s="18"/>
      <c r="W8" s="18"/>
      <c r="X8" s="18"/>
      <c r="Y8" s="18"/>
      <c r="Z8" s="18"/>
      <c r="AA8" s="18"/>
      <c r="AB8" s="18"/>
    </row>
    <row r="9" spans="1:28" ht="12.75" hidden="1">
      <c r="A9" s="25" t="s">
        <v>160</v>
      </c>
      <c r="B9" s="212">
        <v>2515</v>
      </c>
      <c r="C9" s="122">
        <f t="shared" si="6"/>
        <v>463485</v>
      </c>
      <c r="D9" s="213">
        <v>466000</v>
      </c>
      <c r="E9" s="212">
        <v>2534</v>
      </c>
      <c r="F9" s="122">
        <f t="shared" si="7"/>
        <v>410466</v>
      </c>
      <c r="G9" s="213">
        <v>413000</v>
      </c>
      <c r="H9" s="182">
        <v>3</v>
      </c>
      <c r="I9" s="136">
        <f t="shared" si="0"/>
        <v>1398000</v>
      </c>
      <c r="J9" s="136">
        <f t="shared" si="1"/>
        <v>1239000</v>
      </c>
      <c r="K9" s="136">
        <f t="shared" si="8"/>
        <v>2637000</v>
      </c>
      <c r="L9" s="137">
        <f t="shared" si="2"/>
        <v>0.0017989985693848355</v>
      </c>
      <c r="M9" s="137">
        <f t="shared" si="3"/>
        <v>0.0020451977401129942</v>
      </c>
      <c r="N9" s="207">
        <v>22.5</v>
      </c>
      <c r="O9" s="217">
        <f t="shared" si="9"/>
        <v>19777500</v>
      </c>
      <c r="P9" s="56" t="str">
        <f t="shared" si="4"/>
        <v>2515 / 466000</v>
      </c>
      <c r="Q9" s="56" t="str">
        <f t="shared" si="5"/>
        <v>2534 / 413000</v>
      </c>
      <c r="T9" s="18"/>
      <c r="U9" s="18"/>
      <c r="W9" s="18"/>
      <c r="X9" s="18"/>
      <c r="Y9" s="18"/>
      <c r="Z9" s="18"/>
      <c r="AA9" s="18"/>
      <c r="AB9" s="18"/>
    </row>
    <row r="10" spans="1:28" ht="12.75" hidden="1">
      <c r="A10" s="25" t="s">
        <v>161</v>
      </c>
      <c r="B10" s="212">
        <v>18741</v>
      </c>
      <c r="C10" s="122">
        <f t="shared" si="6"/>
        <v>5230648</v>
      </c>
      <c r="D10" s="213">
        <v>5249389</v>
      </c>
      <c r="E10" s="212">
        <v>4315</v>
      </c>
      <c r="F10" s="122">
        <f t="shared" si="7"/>
        <v>911171</v>
      </c>
      <c r="G10" s="213">
        <v>915486</v>
      </c>
      <c r="H10" s="182">
        <v>8</v>
      </c>
      <c r="I10" s="136">
        <f t="shared" si="0"/>
        <v>41995112</v>
      </c>
      <c r="J10" s="136">
        <f t="shared" si="1"/>
        <v>7323888</v>
      </c>
      <c r="K10" s="136">
        <f t="shared" si="8"/>
        <v>49319000</v>
      </c>
      <c r="L10" s="137">
        <f t="shared" si="2"/>
        <v>0.00044626622260228764</v>
      </c>
      <c r="M10" s="137">
        <f t="shared" si="3"/>
        <v>0.0005891679392147996</v>
      </c>
      <c r="N10" s="207">
        <v>22.5</v>
      </c>
      <c r="O10" s="217">
        <f t="shared" si="9"/>
        <v>138709687.5</v>
      </c>
      <c r="P10" s="56" t="str">
        <f t="shared" si="4"/>
        <v>18741 / 5249389</v>
      </c>
      <c r="Q10" s="56" t="str">
        <f t="shared" si="5"/>
        <v>4315 / 915486</v>
      </c>
      <c r="T10" s="18"/>
      <c r="U10" s="18"/>
      <c r="W10" s="18"/>
      <c r="X10" s="18"/>
      <c r="Y10" s="18"/>
      <c r="Z10" s="18"/>
      <c r="AA10" s="18"/>
      <c r="AB10" s="18"/>
    </row>
    <row r="11" spans="1:28" ht="12.75" hidden="1">
      <c r="A11" s="25" t="s">
        <v>162</v>
      </c>
      <c r="B11" s="212">
        <v>15605</v>
      </c>
      <c r="C11" s="122">
        <f t="shared" si="6"/>
        <v>1534932</v>
      </c>
      <c r="D11" s="213">
        <v>1550537</v>
      </c>
      <c r="E11" s="212">
        <v>5215</v>
      </c>
      <c r="F11" s="122">
        <f t="shared" si="7"/>
        <v>481911</v>
      </c>
      <c r="G11" s="213">
        <v>487126</v>
      </c>
      <c r="H11" s="182">
        <v>4</v>
      </c>
      <c r="I11" s="136">
        <f t="shared" si="0"/>
        <v>6202148</v>
      </c>
      <c r="J11" s="136">
        <f t="shared" si="1"/>
        <v>1948504</v>
      </c>
      <c r="K11" s="136">
        <f t="shared" si="8"/>
        <v>8150652</v>
      </c>
      <c r="L11" s="137">
        <f t="shared" si="2"/>
        <v>0.0025160637895129236</v>
      </c>
      <c r="M11" s="137">
        <f t="shared" si="3"/>
        <v>0.0026764122629463426</v>
      </c>
      <c r="N11" s="207">
        <v>22.5</v>
      </c>
      <c r="O11" s="217">
        <f t="shared" si="9"/>
        <v>45847417.5</v>
      </c>
      <c r="P11" s="56" t="str">
        <f t="shared" si="4"/>
        <v>15605 / 1550537</v>
      </c>
      <c r="Q11" s="56" t="str">
        <f t="shared" si="5"/>
        <v>5215 / 487126</v>
      </c>
      <c r="T11" s="18"/>
      <c r="U11" s="18"/>
      <c r="W11" s="18"/>
      <c r="X11" s="18"/>
      <c r="Y11" s="18"/>
      <c r="Z11" s="18"/>
      <c r="AA11" s="18"/>
      <c r="AB11" s="18"/>
    </row>
    <row r="12" spans="1:28" ht="12.75" hidden="1">
      <c r="A12" s="25" t="s">
        <v>163</v>
      </c>
      <c r="B12" s="212">
        <v>179</v>
      </c>
      <c r="C12" s="122">
        <f t="shared" si="6"/>
        <v>131998</v>
      </c>
      <c r="D12" s="213">
        <v>132177</v>
      </c>
      <c r="E12" s="212">
        <v>214</v>
      </c>
      <c r="F12" s="122">
        <f t="shared" si="7"/>
        <v>62283</v>
      </c>
      <c r="G12" s="213">
        <v>62497</v>
      </c>
      <c r="H12" s="182">
        <v>6</v>
      </c>
      <c r="I12" s="136">
        <f t="shared" si="0"/>
        <v>793062</v>
      </c>
      <c r="J12" s="136">
        <f t="shared" si="1"/>
        <v>374982</v>
      </c>
      <c r="K12" s="136">
        <f t="shared" si="8"/>
        <v>1168044</v>
      </c>
      <c r="L12" s="137">
        <f t="shared" si="2"/>
        <v>0.00022570744784140457</v>
      </c>
      <c r="M12" s="137">
        <f t="shared" si="3"/>
        <v>0.0005706940599815458</v>
      </c>
      <c r="N12" s="207">
        <v>22.5</v>
      </c>
      <c r="O12" s="217">
        <f t="shared" si="9"/>
        <v>4380165</v>
      </c>
      <c r="P12" s="56" t="str">
        <f t="shared" si="4"/>
        <v>179 / 132177</v>
      </c>
      <c r="Q12" s="56" t="str">
        <f t="shared" si="5"/>
        <v>214 / 62497</v>
      </c>
      <c r="T12" s="18"/>
      <c r="U12" s="18"/>
      <c r="W12" s="18"/>
      <c r="X12" s="18"/>
      <c r="Y12" s="18"/>
      <c r="Z12" s="18"/>
      <c r="AA12" s="18"/>
      <c r="AB12" s="18"/>
    </row>
    <row r="13" spans="1:28" ht="12.75" hidden="1">
      <c r="A13" s="25" t="s">
        <v>164</v>
      </c>
      <c r="B13" s="212">
        <v>77</v>
      </c>
      <c r="C13" s="122">
        <f t="shared" si="6"/>
        <v>781</v>
      </c>
      <c r="D13" s="213">
        <v>858</v>
      </c>
      <c r="E13" s="212">
        <v>302</v>
      </c>
      <c r="F13" s="122">
        <f t="shared" si="7"/>
        <v>1007</v>
      </c>
      <c r="G13" s="213">
        <v>1309</v>
      </c>
      <c r="H13" s="182">
        <v>5</v>
      </c>
      <c r="I13" s="136">
        <f t="shared" si="0"/>
        <v>4290</v>
      </c>
      <c r="J13" s="136">
        <f t="shared" si="1"/>
        <v>6545</v>
      </c>
      <c r="K13" s="136">
        <f t="shared" si="8"/>
        <v>10835</v>
      </c>
      <c r="L13" s="137">
        <f t="shared" si="2"/>
        <v>0.017948717948717947</v>
      </c>
      <c r="M13" s="137">
        <f t="shared" si="3"/>
        <v>0.04614209320091673</v>
      </c>
      <c r="N13" s="207">
        <v>22.5</v>
      </c>
      <c r="O13" s="217">
        <f t="shared" si="9"/>
        <v>48757.5</v>
      </c>
      <c r="P13" s="56" t="str">
        <f t="shared" si="4"/>
        <v>77 / 858</v>
      </c>
      <c r="Q13" s="56" t="str">
        <f t="shared" si="5"/>
        <v>302 / 1309</v>
      </c>
      <c r="T13" s="18"/>
      <c r="U13" s="18"/>
      <c r="W13" s="18"/>
      <c r="X13" s="18"/>
      <c r="Y13" s="18"/>
      <c r="Z13" s="18"/>
      <c r="AA13" s="18"/>
      <c r="AB13" s="18"/>
    </row>
    <row r="14" spans="1:28" ht="12.75" hidden="1">
      <c r="A14" s="25" t="s">
        <v>165</v>
      </c>
      <c r="B14" s="212">
        <v>978</v>
      </c>
      <c r="C14" s="122">
        <f t="shared" si="6"/>
        <v>355008</v>
      </c>
      <c r="D14" s="213">
        <v>355986</v>
      </c>
      <c r="E14" s="212">
        <v>1256</v>
      </c>
      <c r="F14" s="122">
        <f t="shared" si="7"/>
        <v>372688</v>
      </c>
      <c r="G14" s="213">
        <v>373944</v>
      </c>
      <c r="H14" s="182">
        <v>4</v>
      </c>
      <c r="I14" s="136">
        <f t="shared" si="0"/>
        <v>1423944</v>
      </c>
      <c r="J14" s="136">
        <f t="shared" si="1"/>
        <v>1495776</v>
      </c>
      <c r="K14" s="136">
        <f t="shared" si="8"/>
        <v>2919720</v>
      </c>
      <c r="L14" s="137">
        <f t="shared" si="2"/>
        <v>0.0006868247627715697</v>
      </c>
      <c r="M14" s="137">
        <f t="shared" si="3"/>
        <v>0.0008396979226836104</v>
      </c>
      <c r="N14" s="207">
        <v>22.5</v>
      </c>
      <c r="O14" s="217">
        <f t="shared" si="9"/>
        <v>16423425</v>
      </c>
      <c r="P14" s="56" t="str">
        <f t="shared" si="4"/>
        <v>978 / 355986</v>
      </c>
      <c r="Q14" s="56" t="str">
        <f t="shared" si="5"/>
        <v>1256 / 373944</v>
      </c>
      <c r="T14" s="18"/>
      <c r="U14" s="18"/>
      <c r="W14" s="18"/>
      <c r="X14" s="18"/>
      <c r="Y14" s="18"/>
      <c r="Z14" s="18"/>
      <c r="AA14" s="18"/>
      <c r="AB14" s="18"/>
    </row>
    <row r="15" spans="1:28" ht="12.75" hidden="1">
      <c r="A15" s="25" t="s">
        <v>166</v>
      </c>
      <c r="B15" s="212">
        <v>7463</v>
      </c>
      <c r="C15" s="122">
        <f t="shared" si="6"/>
        <v>665345</v>
      </c>
      <c r="D15" s="213">
        <v>672808</v>
      </c>
      <c r="E15" s="212">
        <v>7081</v>
      </c>
      <c r="F15" s="122">
        <f t="shared" si="7"/>
        <v>442595</v>
      </c>
      <c r="G15" s="213">
        <v>449676</v>
      </c>
      <c r="H15" s="182">
        <v>4</v>
      </c>
      <c r="I15" s="136">
        <f t="shared" si="0"/>
        <v>2691232</v>
      </c>
      <c r="J15" s="136">
        <f t="shared" si="1"/>
        <v>1798704</v>
      </c>
      <c r="K15" s="136">
        <f t="shared" si="8"/>
        <v>4489936</v>
      </c>
      <c r="L15" s="137">
        <f t="shared" si="2"/>
        <v>0.002773079392635046</v>
      </c>
      <c r="M15" s="137">
        <f t="shared" si="3"/>
        <v>0.003936723329686263</v>
      </c>
      <c r="N15" s="207">
        <v>22.5</v>
      </c>
      <c r="O15" s="217">
        <f t="shared" si="9"/>
        <v>25255890</v>
      </c>
      <c r="P15" s="56" t="str">
        <f t="shared" si="4"/>
        <v>7463 / 672808</v>
      </c>
      <c r="Q15" s="56" t="str">
        <f t="shared" si="5"/>
        <v>7081 / 449676</v>
      </c>
      <c r="T15" s="18"/>
      <c r="U15" s="18"/>
      <c r="W15" s="18"/>
      <c r="X15" s="18"/>
      <c r="Y15" s="18"/>
      <c r="Z15" s="18"/>
      <c r="AA15" s="18"/>
      <c r="AB15" s="18"/>
    </row>
    <row r="16" spans="1:28" ht="12.75" hidden="1">
      <c r="A16" s="25" t="s">
        <v>167</v>
      </c>
      <c r="B16" s="212">
        <v>11</v>
      </c>
      <c r="C16" s="122">
        <f t="shared" si="6"/>
        <v>722</v>
      </c>
      <c r="D16" s="213">
        <v>733</v>
      </c>
      <c r="E16" s="212">
        <v>23</v>
      </c>
      <c r="F16" s="122">
        <f t="shared" si="7"/>
        <v>1022</v>
      </c>
      <c r="G16" s="213">
        <v>1045</v>
      </c>
      <c r="H16" s="182">
        <v>4</v>
      </c>
      <c r="I16" s="136">
        <f t="shared" si="0"/>
        <v>2932</v>
      </c>
      <c r="J16" s="136">
        <f t="shared" si="1"/>
        <v>4180</v>
      </c>
      <c r="K16" s="136">
        <f t="shared" si="8"/>
        <v>7112</v>
      </c>
      <c r="L16" s="137">
        <f t="shared" si="2"/>
        <v>0.003751705320600273</v>
      </c>
      <c r="M16" s="137">
        <f t="shared" si="3"/>
        <v>0.005502392344497608</v>
      </c>
      <c r="N16" s="207">
        <v>22.5</v>
      </c>
      <c r="O16" s="217">
        <f t="shared" si="9"/>
        <v>40005</v>
      </c>
      <c r="P16" s="56" t="str">
        <f t="shared" si="4"/>
        <v>11 / 733</v>
      </c>
      <c r="Q16" s="56" t="str">
        <f t="shared" si="5"/>
        <v>23 / 1045</v>
      </c>
      <c r="T16" s="18"/>
      <c r="U16" s="18"/>
      <c r="W16" s="18"/>
      <c r="X16" s="18"/>
      <c r="Y16" s="18"/>
      <c r="Z16" s="18"/>
      <c r="AA16" s="18"/>
      <c r="AB16" s="18"/>
    </row>
    <row r="17" spans="1:28" ht="12.75" hidden="1">
      <c r="A17" s="25" t="s">
        <v>168</v>
      </c>
      <c r="B17" s="212">
        <v>14</v>
      </c>
      <c r="C17" s="122">
        <f t="shared" si="6"/>
        <v>11657</v>
      </c>
      <c r="D17" s="213">
        <v>11671</v>
      </c>
      <c r="E17" s="212">
        <v>56</v>
      </c>
      <c r="F17" s="122">
        <f t="shared" si="7"/>
        <v>10098</v>
      </c>
      <c r="G17" s="213">
        <v>10154</v>
      </c>
      <c r="H17" s="182">
        <v>8</v>
      </c>
      <c r="I17" s="136">
        <f t="shared" si="0"/>
        <v>93368</v>
      </c>
      <c r="J17" s="136">
        <f t="shared" si="1"/>
        <v>81232</v>
      </c>
      <c r="K17" s="136">
        <f t="shared" si="8"/>
        <v>174600</v>
      </c>
      <c r="L17" s="137">
        <f t="shared" si="2"/>
        <v>0.00014994430640047983</v>
      </c>
      <c r="M17" s="137">
        <f t="shared" si="3"/>
        <v>0.000689383494189482</v>
      </c>
      <c r="N17" s="207">
        <v>22.5</v>
      </c>
      <c r="O17" s="217">
        <f t="shared" si="9"/>
        <v>491062.5</v>
      </c>
      <c r="P17" s="56" t="str">
        <f t="shared" si="4"/>
        <v>14 / 11671</v>
      </c>
      <c r="Q17" s="56" t="str">
        <f t="shared" si="5"/>
        <v>56 / 10154</v>
      </c>
      <c r="T17" s="18"/>
      <c r="U17" s="18"/>
      <c r="W17" s="18"/>
      <c r="X17" s="18"/>
      <c r="Y17" s="18"/>
      <c r="Z17" s="18"/>
      <c r="AA17" s="18"/>
      <c r="AB17" s="18"/>
    </row>
    <row r="18" spans="1:28" ht="12.75" hidden="1">
      <c r="A18" s="25" t="s">
        <v>169</v>
      </c>
      <c r="B18" s="212">
        <v>2222</v>
      </c>
      <c r="C18" s="122">
        <f t="shared" si="6"/>
        <v>5454854</v>
      </c>
      <c r="D18" s="213">
        <v>5457076</v>
      </c>
      <c r="E18" s="212">
        <v>3177</v>
      </c>
      <c r="F18" s="122">
        <f t="shared" si="7"/>
        <v>3741564</v>
      </c>
      <c r="G18" s="213">
        <v>3744741</v>
      </c>
      <c r="H18" s="182">
        <v>4</v>
      </c>
      <c r="I18" s="136">
        <f t="shared" si="0"/>
        <v>21828304</v>
      </c>
      <c r="J18" s="136">
        <f t="shared" si="1"/>
        <v>14978964</v>
      </c>
      <c r="K18" s="136">
        <f t="shared" si="8"/>
        <v>36807268</v>
      </c>
      <c r="L18" s="137">
        <f t="shared" si="2"/>
        <v>0.00010179444083241648</v>
      </c>
      <c r="M18" s="137">
        <f t="shared" si="3"/>
        <v>0.00021209744545750962</v>
      </c>
      <c r="N18" s="207">
        <v>22.5</v>
      </c>
      <c r="O18" s="217">
        <f t="shared" si="9"/>
        <v>207040882.5</v>
      </c>
      <c r="P18" s="56" t="str">
        <f t="shared" si="4"/>
        <v>2222 / 5457076</v>
      </c>
      <c r="Q18" s="56" t="str">
        <f t="shared" si="5"/>
        <v>3177 / 3744741</v>
      </c>
      <c r="T18" s="18"/>
      <c r="U18" s="18"/>
      <c r="W18" s="18"/>
      <c r="X18" s="18"/>
      <c r="Y18" s="18"/>
      <c r="Z18" s="18"/>
      <c r="AA18" s="18"/>
      <c r="AB18" s="18"/>
    </row>
    <row r="19" spans="1:28" ht="12.75" hidden="1">
      <c r="A19" s="25" t="s">
        <v>170</v>
      </c>
      <c r="B19" s="212">
        <v>190</v>
      </c>
      <c r="C19" s="122">
        <f t="shared" si="6"/>
        <v>10080</v>
      </c>
      <c r="D19" s="213">
        <v>10270</v>
      </c>
      <c r="E19" s="212">
        <v>1081</v>
      </c>
      <c r="F19" s="122">
        <f t="shared" si="7"/>
        <v>7553</v>
      </c>
      <c r="G19" s="213">
        <v>8634</v>
      </c>
      <c r="H19" s="182">
        <v>8</v>
      </c>
      <c r="I19" s="136">
        <f t="shared" si="0"/>
        <v>82160</v>
      </c>
      <c r="J19" s="136">
        <f t="shared" si="1"/>
        <v>69072</v>
      </c>
      <c r="K19" s="136">
        <f t="shared" si="8"/>
        <v>151232</v>
      </c>
      <c r="L19" s="137">
        <f t="shared" si="2"/>
        <v>0.0023125608568646543</v>
      </c>
      <c r="M19" s="137">
        <f t="shared" si="3"/>
        <v>0.015650335881399118</v>
      </c>
      <c r="N19" s="207">
        <v>22.5</v>
      </c>
      <c r="O19" s="217">
        <f t="shared" si="9"/>
        <v>425340</v>
      </c>
      <c r="P19" s="56" t="str">
        <f t="shared" si="4"/>
        <v>190 / 10270</v>
      </c>
      <c r="Q19" s="56" t="str">
        <f t="shared" si="5"/>
        <v>1081 / 8634</v>
      </c>
      <c r="R19" s="13"/>
      <c r="T19" s="18"/>
      <c r="U19" s="18"/>
      <c r="W19" s="18"/>
      <c r="X19" s="18"/>
      <c r="Y19" s="18"/>
      <c r="Z19" s="18"/>
      <c r="AA19" s="18"/>
      <c r="AB19" s="18"/>
    </row>
    <row r="20" spans="1:28" ht="12.75" hidden="1">
      <c r="A20" s="140">
        <f>COUNT(D5:D19)</f>
        <v>15</v>
      </c>
      <c r="B20" s="141">
        <f>SUM(B5:B19)</f>
        <v>55278</v>
      </c>
      <c r="C20" s="142">
        <v>23009</v>
      </c>
      <c r="D20" s="141">
        <f>SUM(D5:D19)</f>
        <v>15583610</v>
      </c>
      <c r="E20" s="141">
        <f>SUM(E5:E19)</f>
        <v>31620</v>
      </c>
      <c r="F20" s="142">
        <v>28669.98</v>
      </c>
      <c r="G20" s="141">
        <f>SUM(G5:G19)</f>
        <v>7957115</v>
      </c>
      <c r="H20" s="143">
        <f>K20/(D20+G20)</f>
        <v>5.299707506884346</v>
      </c>
      <c r="I20" s="144">
        <f>SUM(I5:I19)</f>
        <v>86529361</v>
      </c>
      <c r="J20" s="144">
        <f>SUM(J5:J19)</f>
        <v>38229596</v>
      </c>
      <c r="K20" s="144">
        <f>SUM(K5:K19)</f>
        <v>124758957</v>
      </c>
      <c r="L20" s="145">
        <f t="shared" si="2"/>
        <v>0.0006388351810433455</v>
      </c>
      <c r="M20" s="145">
        <f t="shared" si="3"/>
        <v>0.0008271078773628683</v>
      </c>
      <c r="N20" s="146">
        <f>O20/(D20+G20)</f>
        <v>22.5</v>
      </c>
      <c r="O20" s="218">
        <f>SUM(O5:O19)</f>
        <v>529666312.5</v>
      </c>
      <c r="P20" s="57" t="str">
        <f t="shared" si="4"/>
        <v>55278 / 15583610</v>
      </c>
      <c r="Q20" s="57" t="str">
        <f t="shared" si="5"/>
        <v>31620 / 7957115</v>
      </c>
      <c r="T20" s="18"/>
      <c r="U20" s="18"/>
      <c r="W20" s="18"/>
      <c r="X20" s="18"/>
      <c r="Y20" s="18"/>
      <c r="Z20" s="18"/>
      <c r="AA20" s="18"/>
      <c r="AB20" s="18"/>
    </row>
    <row r="21" spans="2:28" ht="15.75" hidden="1" thickBot="1">
      <c r="B21" s="2"/>
      <c r="C21" s="2"/>
      <c r="E21" s="3"/>
      <c r="F21" s="26"/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.75" hidden="1" thickBot="1">
      <c r="A22" s="18"/>
      <c r="B22" s="28" t="s">
        <v>51</v>
      </c>
      <c r="C22" s="192">
        <v>0.0043834298266631705</v>
      </c>
      <c r="D22" s="264" t="s">
        <v>13</v>
      </c>
      <c r="E22" s="265"/>
      <c r="F22" s="266"/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26.25" hidden="1" thickBot="1">
      <c r="A23" s="178">
        <f>I60</f>
        <v>0.0008271078773628683</v>
      </c>
      <c r="B23" s="179" t="s">
        <v>52</v>
      </c>
      <c r="C23" s="12"/>
      <c r="D23" s="10" t="s">
        <v>12</v>
      </c>
      <c r="E23" s="11" t="s">
        <v>21</v>
      </c>
      <c r="F23" s="10" t="s">
        <v>22</v>
      </c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.75" hidden="1" thickBot="1">
      <c r="A24" s="180">
        <f>E60</f>
        <v>5.299707506884346</v>
      </c>
      <c r="B24" s="181" t="s">
        <v>53</v>
      </c>
      <c r="C24" s="12"/>
      <c r="D24" s="193">
        <v>0.5901782378890508</v>
      </c>
      <c r="E24" s="194">
        <v>0.5115319323525495</v>
      </c>
      <c r="F24" s="195">
        <v>0.6809179364970048</v>
      </c>
      <c r="G24" s="12"/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.75" hidden="1" thickBot="1">
      <c r="A25" s="30"/>
      <c r="B25" s="29"/>
      <c r="C25" s="18"/>
      <c r="D25" s="18"/>
      <c r="E25" s="18"/>
      <c r="F25" s="18"/>
      <c r="G25" s="18"/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.75" hidden="1" thickBot="1">
      <c r="A26" s="30"/>
      <c r="B26" s="31"/>
      <c r="C26" s="32"/>
      <c r="D26" s="33">
        <f>C22*D24</f>
        <v>0.0025870048910103774</v>
      </c>
      <c r="E26" s="34">
        <f>C22*E24</f>
        <v>0.0022422643295648124</v>
      </c>
      <c r="F26" s="35">
        <f>C22*F24</f>
        <v>0.0029847559923509097</v>
      </c>
      <c r="G26" s="18"/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.75" hidden="1" thickBot="1">
      <c r="A27" s="30"/>
      <c r="B27" s="29"/>
      <c r="C27" s="18"/>
      <c r="D27" s="18"/>
      <c r="E27" s="18"/>
      <c r="F27" s="18"/>
      <c r="G27" s="18"/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.75" hidden="1" thickBot="1">
      <c r="A28" s="30"/>
      <c r="B28" s="36"/>
      <c r="C28" s="37" t="s">
        <v>2</v>
      </c>
      <c r="D28" s="38">
        <f>C22-D26</f>
        <v>0.0017964249356527931</v>
      </c>
      <c r="E28" s="39">
        <f>C22-F26</f>
        <v>0.0013986738343122608</v>
      </c>
      <c r="F28" s="40">
        <f>C22-E26</f>
        <v>0.002141165497098358</v>
      </c>
      <c r="G28" s="18"/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5.75" hidden="1" thickBot="1">
      <c r="A29" s="30"/>
      <c r="B29" s="41"/>
      <c r="C29" s="42" t="s">
        <v>3</v>
      </c>
      <c r="D29" s="43">
        <f>1/D28</f>
        <v>556.6611663830058</v>
      </c>
      <c r="E29" s="44">
        <f>1/F28</f>
        <v>467.0353605805667</v>
      </c>
      <c r="F29" s="45">
        <f>1/E28</f>
        <v>714.9629709715047</v>
      </c>
      <c r="G29" s="18"/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5" hidden="1">
      <c r="A30" s="30"/>
      <c r="B30" s="29"/>
      <c r="C30" s="12"/>
      <c r="D30" s="12"/>
      <c r="E30" s="12"/>
      <c r="F30" s="12"/>
      <c r="G30" s="18"/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5" hidden="1">
      <c r="A31" s="30"/>
      <c r="B31" s="123" t="s">
        <v>4</v>
      </c>
      <c r="C31" s="124"/>
      <c r="D31" s="124"/>
      <c r="E31" s="125">
        <f>ROUND(D24,2)</f>
        <v>0.59</v>
      </c>
      <c r="F31" s="126">
        <f>ROUND(D28,4)</f>
        <v>0.0018</v>
      </c>
      <c r="G31" s="127">
        <f>ROUND(D29,0)</f>
        <v>557</v>
      </c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15" hidden="1">
      <c r="A32" s="30"/>
      <c r="B32" s="46" t="s">
        <v>6</v>
      </c>
      <c r="C32" s="47">
        <f>ROUND(D26,4)</f>
        <v>0.0026</v>
      </c>
      <c r="D32" s="48">
        <f>ROUND(C22,4)</f>
        <v>0.0044</v>
      </c>
      <c r="E32" s="6">
        <f>ROUND(E24,2)</f>
        <v>0.51</v>
      </c>
      <c r="F32" s="7">
        <f>ROUND(E28,4)</f>
        <v>0.0014</v>
      </c>
      <c r="G32" s="8">
        <f>ROUND(E29,0)</f>
        <v>467</v>
      </c>
      <c r="S32" s="9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ht="15" hidden="1">
      <c r="A33" s="30"/>
      <c r="B33" s="46" t="s">
        <v>5</v>
      </c>
      <c r="C33" s="14"/>
      <c r="D33" s="14"/>
      <c r="E33" s="6">
        <f>ROUND(F24,2)</f>
        <v>0.68</v>
      </c>
      <c r="F33" s="7">
        <f>ROUND(F28,4)</f>
        <v>0.0021</v>
      </c>
      <c r="G33" s="8">
        <f>ROUND(F29,0)</f>
        <v>715</v>
      </c>
      <c r="S33" s="9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15" hidden="1">
      <c r="A34" s="30"/>
      <c r="B34" s="46" t="s">
        <v>7</v>
      </c>
      <c r="C34" s="128" t="s">
        <v>54</v>
      </c>
      <c r="D34" s="128" t="s">
        <v>11</v>
      </c>
      <c r="E34" s="129" t="s">
        <v>8</v>
      </c>
      <c r="F34" s="129" t="s">
        <v>9</v>
      </c>
      <c r="G34" s="128" t="s">
        <v>3</v>
      </c>
      <c r="S34" s="9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15" hidden="1">
      <c r="A35" s="30"/>
      <c r="B35" s="49" t="s">
        <v>0</v>
      </c>
      <c r="C35" s="128" t="str">
        <f>CONCATENATE(C32*100,B34)</f>
        <v>0,26%</v>
      </c>
      <c r="D35" s="128" t="str">
        <f>CONCATENATE(D32*100,B34)</f>
        <v>0,44%</v>
      </c>
      <c r="E35" s="128" t="str">
        <f>CONCATENATE(E31," ",B31,E32,B32,E33,B33)</f>
        <v>0,59 (0,51-0,68)</v>
      </c>
      <c r="F35" s="128" t="str">
        <f>CONCATENATE(F31*100,B34," ",B31,F32*100,B34," ",B35," ",F33*100,B34,B33)</f>
        <v>0,18% (0,14% a 0,21%)</v>
      </c>
      <c r="G35" s="128" t="str">
        <f>CONCATENATE(G31," ",B31,G32," ",B35," ",G33,B33)</f>
        <v>557 (467 a 715)</v>
      </c>
      <c r="S35" s="9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ht="15" hidden="1">
      <c r="A36" s="50"/>
      <c r="B36" s="4"/>
      <c r="C36" s="19"/>
      <c r="D36" s="19"/>
      <c r="E36" s="19"/>
      <c r="F36" s="19"/>
      <c r="G36" s="19"/>
      <c r="S36" s="9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ht="15.75" hidden="1" thickBot="1">
      <c r="A37" s="178">
        <f>A23*A24</f>
        <v>0.0043834298266631705</v>
      </c>
      <c r="B37" s="179" t="s">
        <v>55</v>
      </c>
      <c r="C37" s="18"/>
      <c r="D37" s="18"/>
      <c r="E37" s="18"/>
      <c r="F37" s="18"/>
      <c r="G37" s="18"/>
      <c r="S37" s="9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ht="15.75" hidden="1" thickBot="1">
      <c r="A38" s="51"/>
      <c r="B38" s="18"/>
      <c r="C38" s="186" t="s">
        <v>56</v>
      </c>
      <c r="D38" s="187" t="s">
        <v>11</v>
      </c>
      <c r="E38" s="187" t="s">
        <v>8</v>
      </c>
      <c r="F38" s="187" t="s">
        <v>2</v>
      </c>
      <c r="G38" s="188" t="s">
        <v>3</v>
      </c>
      <c r="S38" s="9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15.75" hidden="1" thickBot="1">
      <c r="A39" s="52"/>
      <c r="B39" s="15"/>
      <c r="C39" s="183" t="str">
        <f>C35</f>
        <v>0,26%</v>
      </c>
      <c r="D39" s="184" t="str">
        <f>D35</f>
        <v>0,44%</v>
      </c>
      <c r="E39" s="184" t="str">
        <f>E35</f>
        <v>0,59 (0,51-0,68)</v>
      </c>
      <c r="F39" s="184" t="str">
        <f>F35</f>
        <v>0,18% (0,14% a 0,21%)</v>
      </c>
      <c r="G39" s="185" t="str">
        <f>G35</f>
        <v>557 (467 a 715)</v>
      </c>
      <c r="S39" s="9"/>
      <c r="T39" s="18"/>
      <c r="U39" s="18"/>
      <c r="V39" s="18"/>
      <c r="W39" s="18"/>
      <c r="X39" s="18"/>
      <c r="Y39" s="18"/>
      <c r="Z39" s="18"/>
      <c r="AA39" s="18"/>
      <c r="AB39" s="18"/>
    </row>
    <row r="40" spans="2:28" ht="15" hidden="1">
      <c r="B40" s="2"/>
      <c r="C40" s="2"/>
      <c r="E40" s="3"/>
      <c r="F40" s="26"/>
      <c r="S40" s="9"/>
      <c r="T40" s="18"/>
      <c r="U40" s="18"/>
      <c r="V40" s="18"/>
      <c r="W40" s="18"/>
      <c r="X40" s="18"/>
      <c r="Y40" s="18"/>
      <c r="Z40" s="18"/>
      <c r="AA40" s="18"/>
      <c r="AB40" s="18"/>
    </row>
    <row r="41" spans="4:28" ht="15.75" thickBot="1">
      <c r="D41" s="3"/>
      <c r="E41" s="3"/>
      <c r="S41" s="9"/>
      <c r="T41" s="18"/>
      <c r="U41" s="18"/>
      <c r="V41" s="18"/>
      <c r="W41" s="18"/>
      <c r="X41" s="18"/>
      <c r="Y41" s="18"/>
      <c r="Z41" s="18"/>
      <c r="AA41" s="18"/>
      <c r="AB41" s="18"/>
    </row>
    <row r="42" spans="1:21" ht="21" customHeight="1" thickBot="1">
      <c r="A42" s="245" t="s">
        <v>328</v>
      </c>
      <c r="B42" s="177" t="str">
        <f>B2</f>
        <v>CAMBIO Verrugas AG, mujeres 20-24 años, tras 3 a 8 años de vacunación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6"/>
      <c r="S42" s="9"/>
      <c r="T42" s="18"/>
      <c r="U42" s="18"/>
    </row>
    <row r="43" spans="1:21" ht="15.75" thickBot="1">
      <c r="A43" s="256" t="s">
        <v>28</v>
      </c>
      <c r="B43" s="256" t="s">
        <v>29</v>
      </c>
      <c r="C43" s="267" t="s">
        <v>30</v>
      </c>
      <c r="D43" s="269" t="s">
        <v>31</v>
      </c>
      <c r="E43" s="256" t="s">
        <v>32</v>
      </c>
      <c r="F43" s="256" t="s">
        <v>91</v>
      </c>
      <c r="G43" s="256" t="s">
        <v>92</v>
      </c>
      <c r="H43" s="256" t="s">
        <v>95</v>
      </c>
      <c r="I43" s="256" t="s">
        <v>96</v>
      </c>
      <c r="J43" s="256" t="s">
        <v>33</v>
      </c>
      <c r="K43" s="258" t="s">
        <v>34</v>
      </c>
      <c r="L43" s="246" t="s">
        <v>35</v>
      </c>
      <c r="M43" s="247"/>
      <c r="N43" s="247"/>
      <c r="O43" s="248"/>
      <c r="S43" s="9"/>
      <c r="T43" s="18"/>
      <c r="U43" s="18"/>
    </row>
    <row r="44" spans="1:21" ht="30.75" thickBot="1">
      <c r="A44" s="257"/>
      <c r="B44" s="257"/>
      <c r="C44" s="268"/>
      <c r="D44" s="270"/>
      <c r="E44" s="257"/>
      <c r="F44" s="257"/>
      <c r="G44" s="257"/>
      <c r="H44" s="257"/>
      <c r="I44" s="257"/>
      <c r="J44" s="257"/>
      <c r="K44" s="259"/>
      <c r="L44" s="196" t="s">
        <v>36</v>
      </c>
      <c r="M44" s="197" t="s">
        <v>2</v>
      </c>
      <c r="N44" s="198" t="s">
        <v>3</v>
      </c>
      <c r="O44" s="199" t="s">
        <v>37</v>
      </c>
      <c r="S44" s="9"/>
      <c r="T44" s="18"/>
      <c r="U44" s="18"/>
    </row>
    <row r="45" spans="1:21" ht="15">
      <c r="A45" s="249">
        <v>8</v>
      </c>
      <c r="B45" s="215" t="s">
        <v>156</v>
      </c>
      <c r="C45" s="58" t="s">
        <v>38</v>
      </c>
      <c r="D45" s="59"/>
      <c r="E45" s="147">
        <f aca="true" t="shared" si="10" ref="E45:E60">H5</f>
        <v>3</v>
      </c>
      <c r="F45" s="148" t="str">
        <f aca="true" t="shared" si="11" ref="F45:F60">P5</f>
        <v>570 / 128138</v>
      </c>
      <c r="G45" s="149">
        <f aca="true" t="shared" si="12" ref="G45:G60">L5</f>
        <v>0.0014827763817134652</v>
      </c>
      <c r="H45" s="148" t="str">
        <f aca="true" t="shared" si="13" ref="H45:H59">Q5</f>
        <v>638 / 121296</v>
      </c>
      <c r="I45" s="150">
        <f aca="true" t="shared" si="14" ref="I45:I60">M5</f>
        <v>0.0017532867255858945</v>
      </c>
      <c r="J45" s="151">
        <v>22.5</v>
      </c>
      <c r="K45" s="119">
        <v>-0.011668412151480144</v>
      </c>
      <c r="L45" s="208" t="s">
        <v>115</v>
      </c>
      <c r="M45" s="209" t="s">
        <v>116</v>
      </c>
      <c r="N45" s="209" t="s">
        <v>117</v>
      </c>
      <c r="O45" s="152"/>
      <c r="Q45" s="13"/>
      <c r="R45" s="62">
        <f aca="true" t="shared" si="15" ref="R45:R58">Q45*K45</f>
        <v>0</v>
      </c>
      <c r="S45" s="9"/>
      <c r="T45" s="18"/>
      <c r="U45" s="18"/>
    </row>
    <row r="46" spans="1:21" ht="15">
      <c r="A46" s="250"/>
      <c r="B46" s="216" t="s">
        <v>157</v>
      </c>
      <c r="C46" s="58" t="s">
        <v>38</v>
      </c>
      <c r="D46" s="59"/>
      <c r="E46" s="147">
        <f t="shared" si="10"/>
        <v>6</v>
      </c>
      <c r="F46" s="148" t="str">
        <f t="shared" si="11"/>
        <v>1815 / 570104</v>
      </c>
      <c r="G46" s="149">
        <f t="shared" si="12"/>
        <v>0.0005306049422561498</v>
      </c>
      <c r="H46" s="148" t="str">
        <f t="shared" si="13"/>
        <v>2745 / 771658</v>
      </c>
      <c r="I46" s="149">
        <f t="shared" si="14"/>
        <v>0.0005928792288811883</v>
      </c>
      <c r="J46" s="151">
        <v>22.5</v>
      </c>
      <c r="K46" s="119">
        <v>0.0630652610119092</v>
      </c>
      <c r="L46" s="208" t="s">
        <v>118</v>
      </c>
      <c r="M46" s="209" t="s">
        <v>119</v>
      </c>
      <c r="N46" s="209" t="s">
        <v>120</v>
      </c>
      <c r="O46" s="120"/>
      <c r="Q46" s="13"/>
      <c r="R46" s="62">
        <f t="shared" si="15"/>
        <v>0</v>
      </c>
      <c r="S46" s="9"/>
      <c r="T46" s="18"/>
      <c r="U46" s="18"/>
    </row>
    <row r="47" spans="1:21" ht="15">
      <c r="A47" s="250"/>
      <c r="B47" s="215" t="s">
        <v>158</v>
      </c>
      <c r="C47" s="58" t="s">
        <v>38</v>
      </c>
      <c r="D47" s="59"/>
      <c r="E47" s="147">
        <f t="shared" si="10"/>
        <v>7</v>
      </c>
      <c r="F47" s="148" t="str">
        <f t="shared" si="11"/>
        <v>137 / 342593</v>
      </c>
      <c r="G47" s="149">
        <f t="shared" si="12"/>
        <v>5.712734519219182E-05</v>
      </c>
      <c r="H47" s="148" t="str">
        <f t="shared" si="13"/>
        <v>220 / 335619</v>
      </c>
      <c r="I47" s="149">
        <f t="shared" si="14"/>
        <v>9.364360011969355E-05</v>
      </c>
      <c r="J47" s="151">
        <v>22.5</v>
      </c>
      <c r="K47" s="119">
        <v>0.0048593455316819955</v>
      </c>
      <c r="L47" s="208" t="s">
        <v>121</v>
      </c>
      <c r="M47" s="209" t="s">
        <v>122</v>
      </c>
      <c r="N47" s="209" t="s">
        <v>123</v>
      </c>
      <c r="O47" s="120"/>
      <c r="Q47" s="13"/>
      <c r="R47" s="62">
        <f t="shared" si="15"/>
        <v>0</v>
      </c>
      <c r="S47" s="9"/>
      <c r="T47" s="18"/>
      <c r="U47" s="18"/>
    </row>
    <row r="48" spans="1:21" ht="15">
      <c r="A48" s="250"/>
      <c r="B48" s="216" t="s">
        <v>159</v>
      </c>
      <c r="C48" s="58" t="s">
        <v>38</v>
      </c>
      <c r="D48" s="59"/>
      <c r="E48" s="147">
        <f t="shared" si="10"/>
        <v>6</v>
      </c>
      <c r="F48" s="148" t="str">
        <f t="shared" si="11"/>
        <v>4761 / 635270</v>
      </c>
      <c r="G48" s="149">
        <f t="shared" si="12"/>
        <v>0.0012490751963731956</v>
      </c>
      <c r="H48" s="148" t="str">
        <f t="shared" si="13"/>
        <v>2763 / 260930</v>
      </c>
      <c r="I48" s="149">
        <f t="shared" si="14"/>
        <v>0.0017648411451347105</v>
      </c>
      <c r="J48" s="151">
        <v>22.5</v>
      </c>
      <c r="K48" s="119">
        <v>0.10154100466782563</v>
      </c>
      <c r="L48" s="208" t="s">
        <v>124</v>
      </c>
      <c r="M48" s="209" t="s">
        <v>125</v>
      </c>
      <c r="N48" s="209" t="s">
        <v>126</v>
      </c>
      <c r="O48" s="120"/>
      <c r="Q48" s="13"/>
      <c r="R48" s="62">
        <f t="shared" si="15"/>
        <v>0</v>
      </c>
      <c r="S48" s="9"/>
      <c r="T48" s="18"/>
      <c r="U48" s="18"/>
    </row>
    <row r="49" spans="1:21" ht="15">
      <c r="A49" s="250"/>
      <c r="B49" s="215" t="s">
        <v>160</v>
      </c>
      <c r="C49" s="58" t="s">
        <v>38</v>
      </c>
      <c r="D49" s="59"/>
      <c r="E49" s="147">
        <f t="shared" si="10"/>
        <v>3</v>
      </c>
      <c r="F49" s="148" t="str">
        <f t="shared" si="11"/>
        <v>2515 / 466000</v>
      </c>
      <c r="G49" s="149">
        <f t="shared" si="12"/>
        <v>0.0017989985693848355</v>
      </c>
      <c r="H49" s="148" t="str">
        <f t="shared" si="13"/>
        <v>2534 / 413000</v>
      </c>
      <c r="I49" s="149">
        <f t="shared" si="14"/>
        <v>0.0020451977401129942</v>
      </c>
      <c r="J49" s="151">
        <v>22.5</v>
      </c>
      <c r="K49" s="119">
        <v>0.07303593005188508</v>
      </c>
      <c r="L49" s="208" t="s">
        <v>115</v>
      </c>
      <c r="M49" s="209" t="s">
        <v>116</v>
      </c>
      <c r="N49" s="209" t="s">
        <v>117</v>
      </c>
      <c r="O49" s="120"/>
      <c r="Q49" s="13"/>
      <c r="R49" s="62">
        <f t="shared" si="15"/>
        <v>0</v>
      </c>
      <c r="S49" s="9"/>
      <c r="T49" s="18"/>
      <c r="U49" s="18"/>
    </row>
    <row r="50" spans="1:21" ht="15">
      <c r="A50" s="250"/>
      <c r="B50" s="216" t="s">
        <v>161</v>
      </c>
      <c r="C50" s="58" t="s">
        <v>38</v>
      </c>
      <c r="D50" s="59"/>
      <c r="E50" s="147">
        <f t="shared" si="10"/>
        <v>8</v>
      </c>
      <c r="F50" s="148" t="str">
        <f t="shared" si="11"/>
        <v>18741 / 5249389</v>
      </c>
      <c r="G50" s="149">
        <f t="shared" si="12"/>
        <v>0.00044626622260228764</v>
      </c>
      <c r="H50" s="148" t="str">
        <f t="shared" si="13"/>
        <v>4315 / 915486</v>
      </c>
      <c r="I50" s="149">
        <f t="shared" si="14"/>
        <v>0.0005891679392147996</v>
      </c>
      <c r="J50" s="151">
        <v>22.5</v>
      </c>
      <c r="K50" s="119">
        <v>0.2026910113357468</v>
      </c>
      <c r="L50" s="208" t="s">
        <v>127</v>
      </c>
      <c r="M50" s="209" t="s">
        <v>128</v>
      </c>
      <c r="N50" s="209" t="s">
        <v>129</v>
      </c>
      <c r="O50" s="152"/>
      <c r="Q50" s="13"/>
      <c r="R50" s="62">
        <f t="shared" si="15"/>
        <v>0</v>
      </c>
      <c r="S50" s="9"/>
      <c r="T50" s="18"/>
      <c r="U50" s="18"/>
    </row>
    <row r="51" spans="1:21" ht="15">
      <c r="A51" s="250"/>
      <c r="B51" s="215" t="s">
        <v>162</v>
      </c>
      <c r="C51" s="58" t="s">
        <v>38</v>
      </c>
      <c r="D51" s="59"/>
      <c r="E51" s="147">
        <f t="shared" si="10"/>
        <v>4</v>
      </c>
      <c r="F51" s="148" t="str">
        <f t="shared" si="11"/>
        <v>15605 / 1550537</v>
      </c>
      <c r="G51" s="149">
        <f t="shared" si="12"/>
        <v>0.0025160637895129236</v>
      </c>
      <c r="H51" s="148" t="str">
        <f t="shared" si="13"/>
        <v>5215 / 487126</v>
      </c>
      <c r="I51" s="149">
        <f t="shared" si="14"/>
        <v>0.0026764122629463426</v>
      </c>
      <c r="J51" s="151">
        <v>22.5</v>
      </c>
      <c r="K51" s="119">
        <v>0.22726247588504075</v>
      </c>
      <c r="L51" s="208" t="s">
        <v>130</v>
      </c>
      <c r="M51" s="209" t="s">
        <v>131</v>
      </c>
      <c r="N51" s="209" t="s">
        <v>132</v>
      </c>
      <c r="O51" s="152"/>
      <c r="Q51" s="13"/>
      <c r="R51" s="62">
        <f t="shared" si="15"/>
        <v>0</v>
      </c>
      <c r="S51" s="9"/>
      <c r="T51" s="18"/>
      <c r="U51" s="18"/>
    </row>
    <row r="52" spans="1:21" ht="15">
      <c r="A52" s="250"/>
      <c r="B52" s="216" t="s">
        <v>163</v>
      </c>
      <c r="C52" s="58" t="s">
        <v>38</v>
      </c>
      <c r="D52" s="59"/>
      <c r="E52" s="147">
        <f t="shared" si="10"/>
        <v>6</v>
      </c>
      <c r="F52" s="148" t="str">
        <f t="shared" si="11"/>
        <v>179 / 132177</v>
      </c>
      <c r="G52" s="149">
        <f t="shared" si="12"/>
        <v>0.00022570744784140457</v>
      </c>
      <c r="H52" s="148" t="str">
        <f t="shared" si="13"/>
        <v>214 / 62497</v>
      </c>
      <c r="I52" s="149">
        <f t="shared" si="14"/>
        <v>0.0005706940599815458</v>
      </c>
      <c r="J52" s="151">
        <v>22.5</v>
      </c>
      <c r="K52" s="119">
        <v>0.005620298912627739</v>
      </c>
      <c r="L52" s="208" t="s">
        <v>133</v>
      </c>
      <c r="M52" s="209" t="s">
        <v>134</v>
      </c>
      <c r="N52" s="209" t="s">
        <v>135</v>
      </c>
      <c r="O52" s="152"/>
      <c r="Q52" s="13"/>
      <c r="R52" s="62">
        <f t="shared" si="15"/>
        <v>0</v>
      </c>
      <c r="S52" s="9"/>
      <c r="T52" s="18"/>
      <c r="U52" s="18"/>
    </row>
    <row r="53" spans="1:21" ht="15">
      <c r="A53" s="250"/>
      <c r="B53" s="215" t="s">
        <v>164</v>
      </c>
      <c r="C53" s="58" t="s">
        <v>38</v>
      </c>
      <c r="D53" s="59"/>
      <c r="E53" s="147">
        <f t="shared" si="10"/>
        <v>5</v>
      </c>
      <c r="F53" s="148" t="str">
        <f t="shared" si="11"/>
        <v>77 / 858</v>
      </c>
      <c r="G53" s="149">
        <f t="shared" si="12"/>
        <v>0.017948717948717947</v>
      </c>
      <c r="H53" s="148" t="str">
        <f t="shared" si="13"/>
        <v>302 / 1309</v>
      </c>
      <c r="I53" s="149">
        <f t="shared" si="14"/>
        <v>0.04614209320091673</v>
      </c>
      <c r="J53" s="151">
        <v>22.5</v>
      </c>
      <c r="K53" s="119">
        <v>0.004003732679977499</v>
      </c>
      <c r="L53" s="208" t="s">
        <v>136</v>
      </c>
      <c r="M53" s="209" t="s">
        <v>137</v>
      </c>
      <c r="N53" s="209" t="s">
        <v>138</v>
      </c>
      <c r="O53" s="153"/>
      <c r="Q53" s="13"/>
      <c r="R53" s="62">
        <f t="shared" si="15"/>
        <v>0</v>
      </c>
      <c r="S53" s="9"/>
      <c r="T53" s="18"/>
      <c r="U53" s="18"/>
    </row>
    <row r="54" spans="1:21" ht="15">
      <c r="A54" s="250"/>
      <c r="B54" s="216" t="s">
        <v>165</v>
      </c>
      <c r="C54" s="58" t="s">
        <v>38</v>
      </c>
      <c r="D54" s="59"/>
      <c r="E54" s="147">
        <f t="shared" si="10"/>
        <v>4</v>
      </c>
      <c r="F54" s="148" t="str">
        <f t="shared" si="11"/>
        <v>978 / 355986</v>
      </c>
      <c r="G54" s="149">
        <f t="shared" si="12"/>
        <v>0.0006868247627715697</v>
      </c>
      <c r="H54" s="148" t="str">
        <f t="shared" si="13"/>
        <v>1256 / 373944</v>
      </c>
      <c r="I54" s="149">
        <f t="shared" si="14"/>
        <v>0.0008396979226836104</v>
      </c>
      <c r="J54" s="151">
        <v>22.5</v>
      </c>
      <c r="K54" s="119">
        <v>0.03172803122418592</v>
      </c>
      <c r="L54" s="208" t="s">
        <v>139</v>
      </c>
      <c r="M54" s="209" t="s">
        <v>140</v>
      </c>
      <c r="N54" s="209" t="s">
        <v>141</v>
      </c>
      <c r="O54" s="153"/>
      <c r="Q54" s="13"/>
      <c r="R54" s="62">
        <f t="shared" si="15"/>
        <v>0</v>
      </c>
      <c r="S54" s="9"/>
      <c r="T54" s="18"/>
      <c r="U54" s="18"/>
    </row>
    <row r="55" spans="1:21" ht="15">
      <c r="A55" s="250"/>
      <c r="B55" s="215" t="s">
        <v>166</v>
      </c>
      <c r="C55" s="58" t="s">
        <v>38</v>
      </c>
      <c r="D55" s="59"/>
      <c r="E55" s="147">
        <f t="shared" si="10"/>
        <v>4</v>
      </c>
      <c r="F55" s="148" t="str">
        <f t="shared" si="11"/>
        <v>7463 / 672808</v>
      </c>
      <c r="G55" s="149">
        <f t="shared" si="12"/>
        <v>0.002773079392635046</v>
      </c>
      <c r="H55" s="148" t="str">
        <f t="shared" si="13"/>
        <v>7081 / 449676</v>
      </c>
      <c r="I55" s="149">
        <f t="shared" si="14"/>
        <v>0.003936723329686263</v>
      </c>
      <c r="J55" s="151">
        <v>22.5</v>
      </c>
      <c r="K55" s="119">
        <v>0.21188734637154535</v>
      </c>
      <c r="L55" s="210" t="s">
        <v>142</v>
      </c>
      <c r="M55" s="211" t="s">
        <v>143</v>
      </c>
      <c r="N55" s="211" t="s">
        <v>144</v>
      </c>
      <c r="O55" s="153"/>
      <c r="Q55" s="13"/>
      <c r="R55" s="62">
        <f t="shared" si="15"/>
        <v>0</v>
      </c>
      <c r="S55" s="9"/>
      <c r="T55" s="18"/>
      <c r="U55" s="18"/>
    </row>
    <row r="56" spans="1:21" ht="15">
      <c r="A56" s="250"/>
      <c r="B56" s="216" t="s">
        <v>167</v>
      </c>
      <c r="C56" s="58" t="s">
        <v>38</v>
      </c>
      <c r="D56" s="59"/>
      <c r="E56" s="147">
        <f t="shared" si="10"/>
        <v>4</v>
      </c>
      <c r="F56" s="148" t="str">
        <f t="shared" si="11"/>
        <v>11 / 733</v>
      </c>
      <c r="G56" s="149">
        <f t="shared" si="12"/>
        <v>0.003751705320600273</v>
      </c>
      <c r="H56" s="148" t="str">
        <f t="shared" si="13"/>
        <v>23 / 1045</v>
      </c>
      <c r="I56" s="149">
        <f t="shared" si="14"/>
        <v>0.005502392344497608</v>
      </c>
      <c r="J56" s="151">
        <v>22.5</v>
      </c>
      <c r="K56" s="119">
        <v>0.00043560703183488723</v>
      </c>
      <c r="L56" s="210" t="s">
        <v>145</v>
      </c>
      <c r="M56" s="211" t="s">
        <v>146</v>
      </c>
      <c r="N56" s="211" t="e">
        <v>#DIV/0!</v>
      </c>
      <c r="O56" s="153"/>
      <c r="Q56" s="13"/>
      <c r="R56" s="62">
        <f t="shared" si="15"/>
        <v>0</v>
      </c>
      <c r="S56" s="9"/>
      <c r="T56" s="18"/>
      <c r="U56" s="18"/>
    </row>
    <row r="57" spans="1:21" ht="15">
      <c r="A57" s="250"/>
      <c r="B57" s="215" t="s">
        <v>168</v>
      </c>
      <c r="C57" s="58" t="s">
        <v>38</v>
      </c>
      <c r="D57" s="59"/>
      <c r="E57" s="147">
        <f t="shared" si="10"/>
        <v>8</v>
      </c>
      <c r="F57" s="148" t="str">
        <f t="shared" si="11"/>
        <v>14 / 11671</v>
      </c>
      <c r="G57" s="149">
        <f t="shared" si="12"/>
        <v>0.00014994430640047983</v>
      </c>
      <c r="H57" s="148" t="str">
        <f t="shared" si="13"/>
        <v>56 / 10154</v>
      </c>
      <c r="I57" s="149">
        <f t="shared" si="14"/>
        <v>0.000689383494189482</v>
      </c>
      <c r="J57" s="151">
        <v>22.5</v>
      </c>
      <c r="K57" s="119">
        <v>0.0006456559718984333</v>
      </c>
      <c r="L57" s="210" t="s">
        <v>147</v>
      </c>
      <c r="M57" s="211" t="s">
        <v>148</v>
      </c>
      <c r="N57" s="211" t="s">
        <v>149</v>
      </c>
      <c r="O57" s="153"/>
      <c r="Q57" s="13"/>
      <c r="R57" s="62">
        <f t="shared" si="15"/>
        <v>0</v>
      </c>
      <c r="S57" s="9"/>
      <c r="T57" s="18"/>
      <c r="U57" s="18"/>
    </row>
    <row r="58" spans="1:21" ht="15">
      <c r="A58" s="250"/>
      <c r="B58" s="216" t="s">
        <v>169</v>
      </c>
      <c r="C58" s="58" t="s">
        <v>38</v>
      </c>
      <c r="D58" s="59"/>
      <c r="E58" s="147">
        <f t="shared" si="10"/>
        <v>4</v>
      </c>
      <c r="F58" s="148" t="str">
        <f t="shared" si="11"/>
        <v>2222 / 5457076</v>
      </c>
      <c r="G58" s="149">
        <f t="shared" si="12"/>
        <v>0.00010179444083241648</v>
      </c>
      <c r="H58" s="148" t="str">
        <f t="shared" si="13"/>
        <v>3177 / 3744741</v>
      </c>
      <c r="I58" s="149">
        <f t="shared" si="14"/>
        <v>0.00021209744545750962</v>
      </c>
      <c r="J58" s="151">
        <v>22.5</v>
      </c>
      <c r="K58" s="119">
        <v>0.07526449243983353</v>
      </c>
      <c r="L58" s="210" t="s">
        <v>150</v>
      </c>
      <c r="M58" s="211" t="s">
        <v>151</v>
      </c>
      <c r="N58" s="211" t="s">
        <v>152</v>
      </c>
      <c r="O58" s="153"/>
      <c r="Q58" s="13"/>
      <c r="R58" s="62">
        <f t="shared" si="15"/>
        <v>0</v>
      </c>
      <c r="S58" s="9"/>
      <c r="T58" s="18"/>
      <c r="U58" s="18"/>
    </row>
    <row r="59" spans="1:21" ht="15.75" thickBot="1">
      <c r="A59" s="250"/>
      <c r="B59" s="215" t="s">
        <v>170</v>
      </c>
      <c r="C59" s="58" t="s">
        <v>38</v>
      </c>
      <c r="D59" s="59"/>
      <c r="E59" s="147">
        <f t="shared" si="10"/>
        <v>8</v>
      </c>
      <c r="F59" s="148" t="str">
        <f t="shared" si="11"/>
        <v>190 / 10270</v>
      </c>
      <c r="G59" s="149">
        <f t="shared" si="12"/>
        <v>0.0023125608568646543</v>
      </c>
      <c r="H59" s="148" t="str">
        <f t="shared" si="13"/>
        <v>1081 / 8634</v>
      </c>
      <c r="I59" s="149">
        <f t="shared" si="14"/>
        <v>0.015650335881399118</v>
      </c>
      <c r="J59" s="151">
        <v>22.5</v>
      </c>
      <c r="K59" s="119">
        <v>0.009628219035487296</v>
      </c>
      <c r="L59" s="210" t="s">
        <v>153</v>
      </c>
      <c r="M59" s="211" t="s">
        <v>154</v>
      </c>
      <c r="N59" s="211" t="s">
        <v>155</v>
      </c>
      <c r="O59" s="153"/>
      <c r="R59" s="62">
        <f>Q59*K59</f>
        <v>0</v>
      </c>
      <c r="S59" s="9"/>
      <c r="T59" s="18"/>
      <c r="U59" s="18"/>
    </row>
    <row r="60" spans="1:21" ht="21.75" thickBot="1">
      <c r="A60" s="154" t="s">
        <v>39</v>
      </c>
      <c r="B60" s="155">
        <f>COUNT(E45:E59)</f>
        <v>15</v>
      </c>
      <c r="C60" s="156"/>
      <c r="D60" s="63" t="s">
        <v>302</v>
      </c>
      <c r="E60" s="157">
        <f t="shared" si="10"/>
        <v>5.299707506884346</v>
      </c>
      <c r="F60" s="158" t="str">
        <f t="shared" si="11"/>
        <v>55278 / 15583610</v>
      </c>
      <c r="G60" s="159">
        <f t="shared" si="12"/>
        <v>0.0006388351810433455</v>
      </c>
      <c r="H60" s="158" t="s">
        <v>296</v>
      </c>
      <c r="I60" s="159">
        <f t="shared" si="14"/>
        <v>0.0008271078773628683</v>
      </c>
      <c r="J60" s="157">
        <v>22.5</v>
      </c>
      <c r="K60" s="160">
        <v>0.9999999999999998</v>
      </c>
      <c r="L60" s="112" t="s">
        <v>300</v>
      </c>
      <c r="M60" s="64"/>
      <c r="N60" s="65"/>
      <c r="O60" s="66"/>
      <c r="R60" s="161">
        <f>SUM(R45:R59)</f>
        <v>0</v>
      </c>
      <c r="S60" s="9"/>
      <c r="T60" s="18"/>
      <c r="U60" s="18"/>
    </row>
    <row r="61" spans="1:15" ht="13.5" thickBot="1">
      <c r="A61" s="67"/>
      <c r="B61" s="67"/>
      <c r="C61" s="68"/>
      <c r="D61" s="69"/>
      <c r="E61" s="70"/>
      <c r="F61" s="71"/>
      <c r="G61" s="72"/>
      <c r="H61" s="71"/>
      <c r="I61" s="73"/>
      <c r="J61" s="74"/>
      <c r="K61" s="75"/>
      <c r="L61" s="64"/>
      <c r="M61" s="65"/>
      <c r="N61" s="65"/>
      <c r="O61" s="75"/>
    </row>
    <row r="62" spans="1:256" ht="48" thickBot="1">
      <c r="A62" s="76"/>
      <c r="B62" s="251" t="s">
        <v>99</v>
      </c>
      <c r="C62" s="252"/>
      <c r="D62" s="252"/>
      <c r="E62" s="252"/>
      <c r="F62" s="252"/>
      <c r="G62" s="252"/>
      <c r="H62" s="252"/>
      <c r="I62" s="253"/>
      <c r="J62" s="77" t="s">
        <v>93</v>
      </c>
      <c r="K62" s="162" t="s">
        <v>97</v>
      </c>
      <c r="L62" s="78" t="s">
        <v>36</v>
      </c>
      <c r="M62" s="79" t="s">
        <v>2</v>
      </c>
      <c r="N62" s="80" t="s">
        <v>3</v>
      </c>
      <c r="O62" s="6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15" ht="19.5" customHeight="1">
      <c r="A63" s="254" t="s">
        <v>40</v>
      </c>
      <c r="B63" s="81" t="s">
        <v>41</v>
      </c>
      <c r="C63" s="82">
        <f>I60</f>
        <v>0.0008271078773628683</v>
      </c>
      <c r="D63" s="83" t="s">
        <v>42</v>
      </c>
      <c r="E63" s="83"/>
      <c r="F63" s="83"/>
      <c r="G63" s="83"/>
      <c r="H63" s="84">
        <f>J60</f>
        <v>22.5</v>
      </c>
      <c r="I63" s="85" t="s">
        <v>43</v>
      </c>
      <c r="J63" s="86" t="s">
        <v>289</v>
      </c>
      <c r="K63" s="87" t="s">
        <v>297</v>
      </c>
      <c r="L63" s="113" t="s">
        <v>300</v>
      </c>
      <c r="M63" s="88" t="s">
        <v>303</v>
      </c>
      <c r="N63" s="88" t="s">
        <v>304</v>
      </c>
      <c r="O63" s="89" t="s">
        <v>44</v>
      </c>
    </row>
    <row r="64" spans="1:15" ht="19.5" thickBot="1">
      <c r="A64" s="255"/>
      <c r="B64" s="163" t="s">
        <v>41</v>
      </c>
      <c r="C64" s="164">
        <f>I60*E60</f>
        <v>0.0043834298266631705</v>
      </c>
      <c r="D64" s="165" t="s">
        <v>45</v>
      </c>
      <c r="E64" s="166"/>
      <c r="F64" s="167"/>
      <c r="G64" s="168">
        <f>E60</f>
        <v>5.299707506884346</v>
      </c>
      <c r="H64" s="165" t="s">
        <v>46</v>
      </c>
      <c r="I64" s="169"/>
      <c r="J64" s="170" t="s">
        <v>293</v>
      </c>
      <c r="K64" s="171" t="s">
        <v>298</v>
      </c>
      <c r="L64" s="172" t="s">
        <v>300</v>
      </c>
      <c r="M64" s="173" t="s">
        <v>305</v>
      </c>
      <c r="N64" s="173" t="s">
        <v>306</v>
      </c>
      <c r="O64" s="174" t="s">
        <v>299</v>
      </c>
    </row>
    <row r="65" spans="1:15" ht="19.5" thickBot="1">
      <c r="A65" s="92"/>
      <c r="B65" s="93"/>
      <c r="C65" s="94"/>
      <c r="D65" s="95"/>
      <c r="E65" s="96"/>
      <c r="F65" s="97"/>
      <c r="G65" s="98"/>
      <c r="H65" s="95"/>
      <c r="I65" s="97"/>
      <c r="J65" s="99"/>
      <c r="K65" s="99"/>
      <c r="L65" s="100"/>
      <c r="M65" s="101"/>
      <c r="N65" s="101"/>
      <c r="O65" s="102"/>
    </row>
    <row r="66" spans="1:15" ht="19.5" thickBot="1">
      <c r="A66" s="103"/>
      <c r="B66" s="103"/>
      <c r="C66" s="75"/>
      <c r="D66" s="75"/>
      <c r="E66" s="75"/>
      <c r="F66" s="75"/>
      <c r="G66" s="75"/>
      <c r="H66" s="75"/>
      <c r="I66" s="200"/>
      <c r="J66" s="201"/>
      <c r="K66" s="202" t="s">
        <v>47</v>
      </c>
      <c r="L66" s="214" t="s">
        <v>301</v>
      </c>
      <c r="M66" s="107"/>
      <c r="N66" s="108"/>
      <c r="O66" s="109"/>
    </row>
    <row r="67" spans="1:11" ht="12.75">
      <c r="A67" s="20"/>
      <c r="C67" s="2"/>
      <c r="I67" s="5" t="s">
        <v>48</v>
      </c>
      <c r="J67" s="204">
        <f>G64</f>
        <v>5.299707506884346</v>
      </c>
      <c r="K67" s="204">
        <f>J67</f>
        <v>5.299707506884346</v>
      </c>
    </row>
    <row r="68" spans="1:12" ht="12.75">
      <c r="A68" s="20"/>
      <c r="C68" s="2"/>
      <c r="I68" s="13"/>
      <c r="J68" s="138" t="s">
        <v>14</v>
      </c>
      <c r="K68" s="138" t="s">
        <v>15</v>
      </c>
      <c r="L68" s="138" t="s">
        <v>49</v>
      </c>
    </row>
    <row r="69" spans="9:14" ht="17.25">
      <c r="I69" s="110" t="s">
        <v>50</v>
      </c>
      <c r="J69" s="220">
        <f>J63*1000*J67</f>
        <v>2.649853753442173</v>
      </c>
      <c r="K69" s="219">
        <f>K63*1000*K67</f>
        <v>4.239766005507477</v>
      </c>
      <c r="L69" s="221">
        <f>((J69*I20)+(K69*J20))/K20</f>
        <v>3.1370468539095544</v>
      </c>
      <c r="M69" s="111"/>
      <c r="N69" s="111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  <row r="75" spans="1:7" ht="12.75">
      <c r="A75" s="18"/>
      <c r="B75" s="18"/>
      <c r="C75" s="18"/>
      <c r="D75" s="18"/>
      <c r="E75" s="18"/>
      <c r="F75" s="18"/>
      <c r="G75" s="18"/>
    </row>
    <row r="76" spans="1:7" ht="12.75">
      <c r="A76" s="18"/>
      <c r="B76" s="18"/>
      <c r="C76" s="18"/>
      <c r="D76" s="18"/>
      <c r="E76" s="18"/>
      <c r="F76" s="18"/>
      <c r="G76" s="18"/>
    </row>
    <row r="77" spans="1:7" ht="12.75">
      <c r="A77" s="18"/>
      <c r="B77" s="18"/>
      <c r="C77" s="18"/>
      <c r="D77" s="18"/>
      <c r="E77" s="18"/>
      <c r="F77" s="18"/>
      <c r="G77" s="18"/>
    </row>
    <row r="78" spans="1:7" ht="12.75">
      <c r="A78" s="18"/>
      <c r="B78" s="18"/>
      <c r="C78" s="18"/>
      <c r="D78" s="18"/>
      <c r="E78" s="18"/>
      <c r="F78" s="18"/>
      <c r="G78" s="18"/>
    </row>
    <row r="79" spans="1:7" ht="12.75">
      <c r="A79" s="18"/>
      <c r="B79" s="18"/>
      <c r="C79" s="18"/>
      <c r="D79" s="18"/>
      <c r="E79" s="18"/>
      <c r="F79" s="18"/>
      <c r="G79" s="18"/>
    </row>
    <row r="80" spans="1:7" ht="12.75">
      <c r="A80" s="18"/>
      <c r="B80" s="18"/>
      <c r="C80" s="18"/>
      <c r="D80" s="18"/>
      <c r="E80" s="18"/>
      <c r="F80" s="18"/>
      <c r="G80" s="18"/>
    </row>
    <row r="81" spans="1:7" ht="12.75">
      <c r="A81" s="18"/>
      <c r="B81" s="18"/>
      <c r="C81" s="18"/>
      <c r="D81" s="18"/>
      <c r="E81" s="18"/>
      <c r="F81" s="18"/>
      <c r="G81" s="18"/>
    </row>
    <row r="82" spans="1:7" ht="12.75">
      <c r="A82" s="18"/>
      <c r="B82" s="18"/>
      <c r="C82" s="18"/>
      <c r="D82" s="18"/>
      <c r="E82" s="18"/>
      <c r="F82" s="18"/>
      <c r="G82" s="18"/>
    </row>
    <row r="83" spans="1:7" ht="12.75">
      <c r="A83" s="18"/>
      <c r="B83" s="18"/>
      <c r="C83" s="18"/>
      <c r="D83" s="18"/>
      <c r="E83" s="18"/>
      <c r="F83" s="18"/>
      <c r="G83" s="18"/>
    </row>
    <row r="84" spans="1:7" ht="12.75">
      <c r="A84" s="18"/>
      <c r="B84" s="18"/>
      <c r="C84" s="18"/>
      <c r="D84" s="18"/>
      <c r="E84" s="18"/>
      <c r="F84" s="18"/>
      <c r="G84" s="18"/>
    </row>
    <row r="85" spans="1:7" ht="12.75">
      <c r="A85" s="18"/>
      <c r="B85" s="18"/>
      <c r="C85" s="18"/>
      <c r="D85" s="18"/>
      <c r="E85" s="18"/>
      <c r="F85" s="18"/>
      <c r="G85" s="18"/>
    </row>
    <row r="86" spans="1:7" ht="12.75">
      <c r="A86" s="18"/>
      <c r="B86" s="18"/>
      <c r="C86" s="18"/>
      <c r="D86" s="18"/>
      <c r="E86" s="18"/>
      <c r="F86" s="18"/>
      <c r="G86" s="18"/>
    </row>
    <row r="87" spans="1:7" ht="12.75">
      <c r="A87" s="18"/>
      <c r="B87" s="18"/>
      <c r="C87" s="18"/>
      <c r="D87" s="18"/>
      <c r="E87" s="18"/>
      <c r="F87" s="18"/>
      <c r="G87" s="18"/>
    </row>
    <row r="88" spans="1:7" ht="12.75">
      <c r="A88" s="18"/>
      <c r="B88" s="18"/>
      <c r="C88" s="18"/>
      <c r="D88" s="18"/>
      <c r="E88" s="18"/>
      <c r="F88" s="18"/>
      <c r="G88" s="18"/>
    </row>
  </sheetData>
  <sheetProtection/>
  <mergeCells count="20">
    <mergeCell ref="B3:D3"/>
    <mergeCell ref="E3:G3"/>
    <mergeCell ref="I3:K3"/>
    <mergeCell ref="L3:M3"/>
    <mergeCell ref="D22:F22"/>
    <mergeCell ref="A43:A44"/>
    <mergeCell ref="B43:B44"/>
    <mergeCell ref="C43:C44"/>
    <mergeCell ref="D43:D44"/>
    <mergeCell ref="E43:E44"/>
    <mergeCell ref="L43:O43"/>
    <mergeCell ref="A45:A59"/>
    <mergeCell ref="B62:I62"/>
    <mergeCell ref="A63:A64"/>
    <mergeCell ref="F43:F44"/>
    <mergeCell ref="G43:G44"/>
    <mergeCell ref="H43:H44"/>
    <mergeCell ref="I43:I44"/>
    <mergeCell ref="J43:J44"/>
    <mergeCell ref="K43:K44"/>
  </mergeCells>
  <printOptions/>
  <pageMargins left="0.75" right="0.75" top="1" bottom="1" header="0.5" footer="0.5"/>
  <pageSetup orientation="portrait" paperSize="9"/>
  <ignoredErrors>
    <ignoredError sqref="H20" formula="1"/>
    <ignoredError sqref="J63:K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U88"/>
  <sheetViews>
    <sheetView zoomScalePageLayoutView="0" workbookViewId="0" topLeftCell="A1">
      <selection activeCell="A42" sqref="A42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8.421875" style="2" customWidth="1"/>
    <col min="6" max="6" width="20.5742187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6.7109375" style="2" customWidth="1"/>
    <col min="13" max="13" width="25.421875" style="2" customWidth="1"/>
    <col min="14" max="14" width="20.421875" style="2" customWidth="1"/>
    <col min="15" max="15" width="16.7109375" style="2" customWidth="1"/>
    <col min="16" max="16" width="16.00390625" style="2" customWidth="1"/>
    <col min="17" max="17" width="13.8515625" style="2" customWidth="1"/>
    <col min="18" max="18" width="16.00390625" style="2" customWidth="1"/>
    <col min="19" max="16384" width="16.00390625" style="2" customWidth="1"/>
  </cols>
  <sheetData>
    <row r="1" spans="19:27" ht="12.75">
      <c r="S1" s="18"/>
      <c r="T1" s="18"/>
      <c r="U1" s="18"/>
      <c r="V1" s="18"/>
      <c r="W1" s="18"/>
      <c r="X1" s="18"/>
      <c r="Y1" s="18"/>
      <c r="Z1" s="18"/>
      <c r="AA1" s="18"/>
    </row>
    <row r="2" spans="1:27" ht="12.75" hidden="1">
      <c r="A2" s="203" t="s">
        <v>98</v>
      </c>
      <c r="B2" s="189" t="str">
        <f>A4</f>
        <v>CAMBIOS Verrugas AG, mujeres 25-29 años, tras 3 a 8 años de vacunación</v>
      </c>
      <c r="C2" s="190"/>
      <c r="D2" s="191"/>
      <c r="E2" s="191"/>
      <c r="F2" s="191"/>
      <c r="G2" s="191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</row>
    <row r="3" spans="1:27" ht="25.5" hidden="1">
      <c r="A3" s="21" t="s">
        <v>16</v>
      </c>
      <c r="B3" s="260" t="s">
        <v>17</v>
      </c>
      <c r="C3" s="260"/>
      <c r="D3" s="260"/>
      <c r="E3" s="260" t="s">
        <v>18</v>
      </c>
      <c r="F3" s="260"/>
      <c r="G3" s="260"/>
      <c r="H3" s="130" t="s">
        <v>23</v>
      </c>
      <c r="I3" s="261" t="s">
        <v>24</v>
      </c>
      <c r="J3" s="262"/>
      <c r="K3" s="263"/>
      <c r="L3" s="261" t="s">
        <v>25</v>
      </c>
      <c r="M3" s="263"/>
      <c r="N3" s="131" t="s">
        <v>26</v>
      </c>
      <c r="O3" s="17"/>
      <c r="S3" s="18"/>
      <c r="T3" s="18"/>
      <c r="V3" s="18"/>
      <c r="W3" s="18"/>
      <c r="X3" s="18"/>
      <c r="Y3" s="18"/>
      <c r="Z3" s="18"/>
      <c r="AA3" s="18"/>
    </row>
    <row r="4" spans="1:27" ht="38.25" hidden="1">
      <c r="A4" s="22" t="s">
        <v>326</v>
      </c>
      <c r="B4" s="121" t="s">
        <v>19</v>
      </c>
      <c r="C4" s="121" t="s">
        <v>20</v>
      </c>
      <c r="D4" s="121" t="s">
        <v>1</v>
      </c>
      <c r="E4" s="121" t="s">
        <v>19</v>
      </c>
      <c r="F4" s="121" t="s">
        <v>20</v>
      </c>
      <c r="G4" s="121" t="s">
        <v>1</v>
      </c>
      <c r="H4" s="132" t="s">
        <v>27</v>
      </c>
      <c r="I4" s="54" t="s">
        <v>14</v>
      </c>
      <c r="J4" s="55" t="s">
        <v>15</v>
      </c>
      <c r="K4" s="54" t="s">
        <v>1</v>
      </c>
      <c r="L4" s="133" t="s">
        <v>14</v>
      </c>
      <c r="M4" s="134" t="s">
        <v>94</v>
      </c>
      <c r="N4" s="53" t="s">
        <v>27</v>
      </c>
      <c r="O4" s="17"/>
      <c r="P4" s="2" t="s">
        <v>10</v>
      </c>
      <c r="Q4" s="2" t="s">
        <v>10</v>
      </c>
      <c r="S4" s="18"/>
      <c r="T4" s="18"/>
      <c r="V4" s="18"/>
      <c r="W4" s="18"/>
      <c r="X4" s="18"/>
      <c r="Y4" s="18"/>
      <c r="Z4" s="18"/>
      <c r="AA4" s="18"/>
    </row>
    <row r="5" spans="1:27" ht="12.75" hidden="1">
      <c r="A5" s="25" t="s">
        <v>171</v>
      </c>
      <c r="B5" s="212">
        <v>347</v>
      </c>
      <c r="C5" s="122">
        <f>D5-B5</f>
        <v>123129</v>
      </c>
      <c r="D5" s="213">
        <v>123476</v>
      </c>
      <c r="E5" s="212">
        <v>343</v>
      </c>
      <c r="F5" s="122">
        <f>G5-E5</f>
        <v>114934</v>
      </c>
      <c r="G5" s="213">
        <v>115277</v>
      </c>
      <c r="H5" s="182">
        <v>3</v>
      </c>
      <c r="I5" s="136">
        <f aca="true" t="shared" si="0" ref="I5:I19">D5*H5</f>
        <v>370428</v>
      </c>
      <c r="J5" s="136">
        <f aca="true" t="shared" si="1" ref="J5:J19">G5*H5</f>
        <v>345831</v>
      </c>
      <c r="K5" s="136">
        <f>I5+J5</f>
        <v>716259</v>
      </c>
      <c r="L5" s="137">
        <f aca="true" t="shared" si="2" ref="L5:L20">B5/I5</f>
        <v>0.0009367542410400942</v>
      </c>
      <c r="M5" s="137">
        <f aca="true" t="shared" si="3" ref="M5:M20">E5/J5</f>
        <v>0.000991813920672236</v>
      </c>
      <c r="N5" s="207">
        <v>27.5</v>
      </c>
      <c r="O5" s="217">
        <f>N5*(D5+G5)</f>
        <v>6565707.5</v>
      </c>
      <c r="P5" s="56" t="str">
        <f aca="true" t="shared" si="4" ref="P5:P20">CONCATENATE(B5," ",$P$4," ",D5)</f>
        <v>347 / 123476</v>
      </c>
      <c r="Q5" s="56" t="str">
        <f aca="true" t="shared" si="5" ref="Q5:Q20">CONCATENATE(E5," ",$Q$4," ",G5)</f>
        <v>343 / 115277</v>
      </c>
      <c r="S5" s="18"/>
      <c r="T5" s="18"/>
      <c r="V5" s="18"/>
      <c r="W5" s="18"/>
      <c r="X5" s="18"/>
      <c r="Y5" s="18"/>
      <c r="Z5" s="18"/>
      <c r="AA5" s="18"/>
    </row>
    <row r="6" spans="1:27" ht="12.75" hidden="1">
      <c r="A6" s="25" t="s">
        <v>172</v>
      </c>
      <c r="B6" s="212">
        <v>1427</v>
      </c>
      <c r="C6" s="122">
        <f aca="true" t="shared" si="6" ref="C6:C19">D6-B6</f>
        <v>562344</v>
      </c>
      <c r="D6" s="213">
        <v>563771</v>
      </c>
      <c r="E6" s="212">
        <v>2157</v>
      </c>
      <c r="F6" s="122">
        <f aca="true" t="shared" si="7" ref="F6:F19">G6-E6</f>
        <v>758520</v>
      </c>
      <c r="G6" s="213">
        <v>760677</v>
      </c>
      <c r="H6" s="182">
        <v>6</v>
      </c>
      <c r="I6" s="136">
        <f t="shared" si="0"/>
        <v>3382626</v>
      </c>
      <c r="J6" s="136">
        <f t="shared" si="1"/>
        <v>4564062</v>
      </c>
      <c r="K6" s="136">
        <f aca="true" t="shared" si="8" ref="K6:K19">I6+J6</f>
        <v>7946688</v>
      </c>
      <c r="L6" s="137">
        <f t="shared" si="2"/>
        <v>0.00042186159510392224</v>
      </c>
      <c r="M6" s="137">
        <f t="shared" si="3"/>
        <v>0.0004726053239416993</v>
      </c>
      <c r="N6" s="207">
        <v>27.5</v>
      </c>
      <c r="O6" s="217">
        <f aca="true" t="shared" si="9" ref="O6:O19">N6*(D6+G6)</f>
        <v>36422320</v>
      </c>
      <c r="P6" s="56" t="str">
        <f t="shared" si="4"/>
        <v>1427 / 563771</v>
      </c>
      <c r="Q6" s="56" t="str">
        <f t="shared" si="5"/>
        <v>2157 / 760677</v>
      </c>
      <c r="S6" s="18"/>
      <c r="T6" s="18"/>
      <c r="V6" s="18"/>
      <c r="W6" s="18"/>
      <c r="X6" s="18"/>
      <c r="Y6" s="18"/>
      <c r="Z6" s="18"/>
      <c r="AA6" s="18"/>
    </row>
    <row r="7" spans="1:27" ht="12.75" hidden="1">
      <c r="A7" s="25" t="s">
        <v>173</v>
      </c>
      <c r="B7" s="212">
        <v>149</v>
      </c>
      <c r="C7" s="122">
        <f t="shared" si="6"/>
        <v>371608</v>
      </c>
      <c r="D7" s="213">
        <v>371757</v>
      </c>
      <c r="E7" s="212">
        <v>238</v>
      </c>
      <c r="F7" s="122">
        <f t="shared" si="7"/>
        <v>427650</v>
      </c>
      <c r="G7" s="213">
        <v>427888</v>
      </c>
      <c r="H7" s="182">
        <v>7</v>
      </c>
      <c r="I7" s="136">
        <f t="shared" si="0"/>
        <v>2602299</v>
      </c>
      <c r="J7" s="136">
        <f t="shared" si="1"/>
        <v>2995216</v>
      </c>
      <c r="K7" s="136">
        <f t="shared" si="8"/>
        <v>5597515</v>
      </c>
      <c r="L7" s="137">
        <f t="shared" si="2"/>
        <v>5.7257063850080257E-05</v>
      </c>
      <c r="M7" s="137">
        <f t="shared" si="3"/>
        <v>7.946004561941443E-05</v>
      </c>
      <c r="N7" s="207">
        <v>27.5</v>
      </c>
      <c r="O7" s="217">
        <f t="shared" si="9"/>
        <v>21990237.5</v>
      </c>
      <c r="P7" s="56" t="str">
        <f t="shared" si="4"/>
        <v>149 / 371757</v>
      </c>
      <c r="Q7" s="56" t="str">
        <f t="shared" si="5"/>
        <v>238 / 427888</v>
      </c>
      <c r="S7" s="18"/>
      <c r="T7" s="18"/>
      <c r="V7" s="18"/>
      <c r="W7" s="18"/>
      <c r="X7" s="18"/>
      <c r="Y7" s="18"/>
      <c r="Z7" s="18"/>
      <c r="AA7" s="18"/>
    </row>
    <row r="8" spans="1:27" ht="12.75" hidden="1">
      <c r="A8" s="25" t="s">
        <v>174</v>
      </c>
      <c r="B8" s="212">
        <v>2755</v>
      </c>
      <c r="C8" s="122">
        <f t="shared" si="6"/>
        <v>576412</v>
      </c>
      <c r="D8" s="213">
        <v>579167</v>
      </c>
      <c r="E8" s="212">
        <v>1611</v>
      </c>
      <c r="F8" s="122">
        <f t="shared" si="7"/>
        <v>266161</v>
      </c>
      <c r="G8" s="213">
        <v>267772</v>
      </c>
      <c r="H8" s="182">
        <v>6</v>
      </c>
      <c r="I8" s="136">
        <f t="shared" si="0"/>
        <v>3475002</v>
      </c>
      <c r="J8" s="136">
        <f t="shared" si="1"/>
        <v>1606632</v>
      </c>
      <c r="K8" s="136">
        <f t="shared" si="8"/>
        <v>5081634</v>
      </c>
      <c r="L8" s="137">
        <f t="shared" si="2"/>
        <v>0.0007928052991048639</v>
      </c>
      <c r="M8" s="137">
        <f t="shared" si="3"/>
        <v>0.0010027187308605829</v>
      </c>
      <c r="N8" s="207">
        <v>27.5</v>
      </c>
      <c r="O8" s="217">
        <f t="shared" si="9"/>
        <v>23290822.5</v>
      </c>
      <c r="P8" s="56" t="str">
        <f t="shared" si="4"/>
        <v>2755 / 579167</v>
      </c>
      <c r="Q8" s="56" t="str">
        <f t="shared" si="5"/>
        <v>1611 / 267772</v>
      </c>
      <c r="S8" s="18"/>
      <c r="T8" s="18"/>
      <c r="V8" s="18"/>
      <c r="W8" s="18"/>
      <c r="X8" s="18"/>
      <c r="Y8" s="18"/>
      <c r="Z8" s="18"/>
      <c r="AA8" s="18"/>
    </row>
    <row r="9" spans="1:27" ht="12.75" hidden="1">
      <c r="A9" s="25" t="s">
        <v>175</v>
      </c>
      <c r="B9" s="212">
        <v>2914</v>
      </c>
      <c r="C9" s="122">
        <f t="shared" si="6"/>
        <v>613086</v>
      </c>
      <c r="D9" s="213">
        <v>616000</v>
      </c>
      <c r="E9" s="212">
        <v>2391</v>
      </c>
      <c r="F9" s="122">
        <f t="shared" si="7"/>
        <v>483609</v>
      </c>
      <c r="G9" s="213">
        <v>486000</v>
      </c>
      <c r="H9" s="182">
        <v>3</v>
      </c>
      <c r="I9" s="136">
        <f t="shared" si="0"/>
        <v>1848000</v>
      </c>
      <c r="J9" s="136">
        <f t="shared" si="1"/>
        <v>1458000</v>
      </c>
      <c r="K9" s="136">
        <f t="shared" si="8"/>
        <v>3306000</v>
      </c>
      <c r="L9" s="137">
        <f t="shared" si="2"/>
        <v>0.0015768398268398269</v>
      </c>
      <c r="M9" s="137">
        <f t="shared" si="3"/>
        <v>0.001639917695473251</v>
      </c>
      <c r="N9" s="207">
        <v>27.5</v>
      </c>
      <c r="O9" s="217">
        <f t="shared" si="9"/>
        <v>30305000</v>
      </c>
      <c r="P9" s="56" t="str">
        <f t="shared" si="4"/>
        <v>2914 / 616000</v>
      </c>
      <c r="Q9" s="56" t="str">
        <f t="shared" si="5"/>
        <v>2391 / 486000</v>
      </c>
      <c r="S9" s="18"/>
      <c r="T9" s="18"/>
      <c r="V9" s="18"/>
      <c r="W9" s="18"/>
      <c r="X9" s="18"/>
      <c r="Y9" s="18"/>
      <c r="Z9" s="18"/>
      <c r="AA9" s="18"/>
    </row>
    <row r="10" spans="1:27" ht="12.75" hidden="1">
      <c r="A10" s="25" t="s">
        <v>176</v>
      </c>
      <c r="B10" s="212">
        <v>13217</v>
      </c>
      <c r="C10" s="122">
        <f t="shared" si="6"/>
        <v>3953690</v>
      </c>
      <c r="D10" s="213">
        <v>3966907</v>
      </c>
      <c r="E10" s="212">
        <v>2772</v>
      </c>
      <c r="F10" s="122">
        <f t="shared" si="7"/>
        <v>1006896</v>
      </c>
      <c r="G10" s="213">
        <v>1009668</v>
      </c>
      <c r="H10" s="182">
        <v>8</v>
      </c>
      <c r="I10" s="136">
        <f t="shared" si="0"/>
        <v>31735256</v>
      </c>
      <c r="J10" s="136">
        <f t="shared" si="1"/>
        <v>8077344</v>
      </c>
      <c r="K10" s="136">
        <f t="shared" si="8"/>
        <v>39812600</v>
      </c>
      <c r="L10" s="137">
        <f t="shared" si="2"/>
        <v>0.00041647686724190913</v>
      </c>
      <c r="M10" s="137">
        <f t="shared" si="3"/>
        <v>0.0003431821153091907</v>
      </c>
      <c r="N10" s="207">
        <v>27.5</v>
      </c>
      <c r="O10" s="217">
        <f t="shared" si="9"/>
        <v>136855812.5</v>
      </c>
      <c r="P10" s="56" t="str">
        <f t="shared" si="4"/>
        <v>13217 / 3966907</v>
      </c>
      <c r="Q10" s="56" t="str">
        <f t="shared" si="5"/>
        <v>2772 / 1009668</v>
      </c>
      <c r="S10" s="18"/>
      <c r="T10" s="18"/>
      <c r="V10" s="18"/>
      <c r="W10" s="18"/>
      <c r="X10" s="18"/>
      <c r="Y10" s="18"/>
      <c r="Z10" s="18"/>
      <c r="AA10" s="18"/>
    </row>
    <row r="11" spans="1:27" ht="12.75" hidden="1">
      <c r="A11" s="25" t="s">
        <v>177</v>
      </c>
      <c r="B11" s="212">
        <v>8471</v>
      </c>
      <c r="C11" s="122">
        <f t="shared" si="6"/>
        <v>1157703</v>
      </c>
      <c r="D11" s="213">
        <v>1166174</v>
      </c>
      <c r="E11" s="212">
        <v>2510</v>
      </c>
      <c r="F11" s="122">
        <f t="shared" si="7"/>
        <v>361780</v>
      </c>
      <c r="G11" s="213">
        <v>364290</v>
      </c>
      <c r="H11" s="182">
        <v>4</v>
      </c>
      <c r="I11" s="136">
        <f t="shared" si="0"/>
        <v>4664696</v>
      </c>
      <c r="J11" s="136">
        <f t="shared" si="1"/>
        <v>1457160</v>
      </c>
      <c r="K11" s="136">
        <f t="shared" si="8"/>
        <v>6121856</v>
      </c>
      <c r="L11" s="137">
        <f t="shared" si="2"/>
        <v>0.0018159811486107562</v>
      </c>
      <c r="M11" s="137">
        <f t="shared" si="3"/>
        <v>0.0017225287545636718</v>
      </c>
      <c r="N11" s="207">
        <v>27.5</v>
      </c>
      <c r="O11" s="217">
        <f t="shared" si="9"/>
        <v>42087760</v>
      </c>
      <c r="P11" s="56" t="str">
        <f t="shared" si="4"/>
        <v>8471 / 1166174</v>
      </c>
      <c r="Q11" s="56" t="str">
        <f t="shared" si="5"/>
        <v>2510 / 364290</v>
      </c>
      <c r="S11" s="18"/>
      <c r="T11" s="18"/>
      <c r="V11" s="18"/>
      <c r="W11" s="18"/>
      <c r="X11" s="18"/>
      <c r="Y11" s="18"/>
      <c r="Z11" s="18"/>
      <c r="AA11" s="18"/>
    </row>
    <row r="12" spans="1:27" ht="12.75" hidden="1">
      <c r="A12" s="25" t="s">
        <v>178</v>
      </c>
      <c r="B12" s="212">
        <v>252</v>
      </c>
      <c r="C12" s="122">
        <f t="shared" si="6"/>
        <v>135726</v>
      </c>
      <c r="D12" s="213">
        <v>135978</v>
      </c>
      <c r="E12" s="212">
        <v>190</v>
      </c>
      <c r="F12" s="122">
        <f t="shared" si="7"/>
        <v>98116</v>
      </c>
      <c r="G12" s="213">
        <v>98306</v>
      </c>
      <c r="H12" s="182">
        <v>6</v>
      </c>
      <c r="I12" s="136">
        <f t="shared" si="0"/>
        <v>815868</v>
      </c>
      <c r="J12" s="136">
        <f t="shared" si="1"/>
        <v>589836</v>
      </c>
      <c r="K12" s="136">
        <f t="shared" si="8"/>
        <v>1405704</v>
      </c>
      <c r="L12" s="137">
        <f t="shared" si="2"/>
        <v>0.00030887349424171557</v>
      </c>
      <c r="M12" s="137">
        <f t="shared" si="3"/>
        <v>0.0003221234377013272</v>
      </c>
      <c r="N12" s="207">
        <v>27.5</v>
      </c>
      <c r="O12" s="217">
        <f t="shared" si="9"/>
        <v>6442810</v>
      </c>
      <c r="P12" s="56" t="str">
        <f t="shared" si="4"/>
        <v>252 / 135978</v>
      </c>
      <c r="Q12" s="56" t="str">
        <f t="shared" si="5"/>
        <v>190 / 98306</v>
      </c>
      <c r="S12" s="18"/>
      <c r="T12" s="18"/>
      <c r="V12" s="18"/>
      <c r="W12" s="18"/>
      <c r="X12" s="18"/>
      <c r="Y12" s="18"/>
      <c r="Z12" s="18"/>
      <c r="AA12" s="18"/>
    </row>
    <row r="13" spans="1:27" ht="12.75" hidden="1">
      <c r="A13" s="25" t="s">
        <v>179</v>
      </c>
      <c r="B13" s="212">
        <v>63</v>
      </c>
      <c r="C13" s="122">
        <f t="shared" si="6"/>
        <v>587</v>
      </c>
      <c r="D13" s="213">
        <v>650</v>
      </c>
      <c r="E13" s="212">
        <v>152</v>
      </c>
      <c r="F13" s="122">
        <f t="shared" si="7"/>
        <v>817</v>
      </c>
      <c r="G13" s="213">
        <v>969</v>
      </c>
      <c r="H13" s="182">
        <v>5</v>
      </c>
      <c r="I13" s="136">
        <f t="shared" si="0"/>
        <v>3250</v>
      </c>
      <c r="J13" s="136">
        <f t="shared" si="1"/>
        <v>4845</v>
      </c>
      <c r="K13" s="136">
        <f t="shared" si="8"/>
        <v>8095</v>
      </c>
      <c r="L13" s="137">
        <f t="shared" si="2"/>
        <v>0.019384615384615386</v>
      </c>
      <c r="M13" s="137">
        <f t="shared" si="3"/>
        <v>0.03137254901960784</v>
      </c>
      <c r="N13" s="207">
        <v>27.5</v>
      </c>
      <c r="O13" s="217">
        <f t="shared" si="9"/>
        <v>44522.5</v>
      </c>
      <c r="P13" s="56" t="str">
        <f t="shared" si="4"/>
        <v>63 / 650</v>
      </c>
      <c r="Q13" s="56" t="str">
        <f t="shared" si="5"/>
        <v>152 / 969</v>
      </c>
      <c r="S13" s="18"/>
      <c r="T13" s="18"/>
      <c r="V13" s="18"/>
      <c r="W13" s="18"/>
      <c r="X13" s="18"/>
      <c r="Y13" s="18"/>
      <c r="Z13" s="18"/>
      <c r="AA13" s="18"/>
    </row>
    <row r="14" spans="1:27" ht="12.75" hidden="1">
      <c r="A14" s="25" t="s">
        <v>180</v>
      </c>
      <c r="B14" s="212">
        <v>805</v>
      </c>
      <c r="C14" s="122">
        <f t="shared" si="6"/>
        <v>386775</v>
      </c>
      <c r="D14" s="213">
        <v>387580</v>
      </c>
      <c r="E14" s="212">
        <v>942</v>
      </c>
      <c r="F14" s="122">
        <f t="shared" si="7"/>
        <v>403910</v>
      </c>
      <c r="G14" s="213">
        <v>404852</v>
      </c>
      <c r="H14" s="182">
        <v>4</v>
      </c>
      <c r="I14" s="136">
        <f t="shared" si="0"/>
        <v>1550320</v>
      </c>
      <c r="J14" s="136">
        <f t="shared" si="1"/>
        <v>1619408</v>
      </c>
      <c r="K14" s="136">
        <f t="shared" si="8"/>
        <v>3169728</v>
      </c>
      <c r="L14" s="137">
        <f t="shared" si="2"/>
        <v>0.000519247639197069</v>
      </c>
      <c r="M14" s="137">
        <f t="shared" si="3"/>
        <v>0.0005816940511594361</v>
      </c>
      <c r="N14" s="207">
        <v>27.5</v>
      </c>
      <c r="O14" s="217">
        <f t="shared" si="9"/>
        <v>21791880</v>
      </c>
      <c r="P14" s="56" t="str">
        <f t="shared" si="4"/>
        <v>805 / 387580</v>
      </c>
      <c r="Q14" s="56" t="str">
        <f t="shared" si="5"/>
        <v>942 / 404852</v>
      </c>
      <c r="S14" s="18"/>
      <c r="T14" s="18"/>
      <c r="V14" s="18"/>
      <c r="W14" s="18"/>
      <c r="X14" s="18"/>
      <c r="Y14" s="18"/>
      <c r="Z14" s="18"/>
      <c r="AA14" s="18"/>
    </row>
    <row r="15" spans="1:27" ht="12.75" hidden="1">
      <c r="A15" s="25" t="s">
        <v>181</v>
      </c>
      <c r="B15" s="212">
        <v>4324</v>
      </c>
      <c r="C15" s="122">
        <f t="shared" si="6"/>
        <v>621927</v>
      </c>
      <c r="D15" s="213">
        <v>626251</v>
      </c>
      <c r="E15" s="212">
        <v>3738</v>
      </c>
      <c r="F15" s="122">
        <f t="shared" si="7"/>
        <v>474084</v>
      </c>
      <c r="G15" s="213">
        <v>477822</v>
      </c>
      <c r="H15" s="182">
        <v>4</v>
      </c>
      <c r="I15" s="136">
        <f t="shared" si="0"/>
        <v>2505004</v>
      </c>
      <c r="J15" s="136">
        <f t="shared" si="1"/>
        <v>1911288</v>
      </c>
      <c r="K15" s="136">
        <f t="shared" si="8"/>
        <v>4416292</v>
      </c>
      <c r="L15" s="137">
        <f t="shared" si="2"/>
        <v>0.0017261449482715396</v>
      </c>
      <c r="M15" s="137">
        <f t="shared" si="3"/>
        <v>0.0019557492120496752</v>
      </c>
      <c r="N15" s="207">
        <v>27.5</v>
      </c>
      <c r="O15" s="217">
        <f t="shared" si="9"/>
        <v>30362007.5</v>
      </c>
      <c r="P15" s="56" t="str">
        <f t="shared" si="4"/>
        <v>4324 / 626251</v>
      </c>
      <c r="Q15" s="56" t="str">
        <f t="shared" si="5"/>
        <v>3738 / 477822</v>
      </c>
      <c r="S15" s="18"/>
      <c r="T15" s="18"/>
      <c r="V15" s="18"/>
      <c r="W15" s="18"/>
      <c r="X15" s="18"/>
      <c r="Y15" s="18"/>
      <c r="Z15" s="18"/>
      <c r="AA15" s="18"/>
    </row>
    <row r="16" spans="1:27" ht="12.75" hidden="1">
      <c r="A16" s="25" t="s">
        <v>182</v>
      </c>
      <c r="B16" s="212">
        <v>27</v>
      </c>
      <c r="C16" s="122">
        <f t="shared" si="6"/>
        <v>767</v>
      </c>
      <c r="D16" s="213">
        <v>794</v>
      </c>
      <c r="E16" s="212">
        <v>55</v>
      </c>
      <c r="F16" s="122">
        <f t="shared" si="7"/>
        <v>983</v>
      </c>
      <c r="G16" s="213">
        <v>1038</v>
      </c>
      <c r="H16" s="182">
        <v>4</v>
      </c>
      <c r="I16" s="136">
        <f t="shared" si="0"/>
        <v>3176</v>
      </c>
      <c r="J16" s="136">
        <f t="shared" si="1"/>
        <v>4152</v>
      </c>
      <c r="K16" s="136">
        <f t="shared" si="8"/>
        <v>7328</v>
      </c>
      <c r="L16" s="137">
        <f t="shared" si="2"/>
        <v>0.00850125944584383</v>
      </c>
      <c r="M16" s="137">
        <f t="shared" si="3"/>
        <v>0.013246628131021194</v>
      </c>
      <c r="N16" s="207">
        <v>27.5</v>
      </c>
      <c r="O16" s="217">
        <f t="shared" si="9"/>
        <v>50380</v>
      </c>
      <c r="P16" s="56" t="str">
        <f t="shared" si="4"/>
        <v>27 / 794</v>
      </c>
      <c r="Q16" s="56" t="str">
        <f t="shared" si="5"/>
        <v>55 / 1038</v>
      </c>
      <c r="S16" s="18"/>
      <c r="T16" s="18"/>
      <c r="V16" s="18"/>
      <c r="W16" s="18"/>
      <c r="X16" s="18"/>
      <c r="Y16" s="18"/>
      <c r="Z16" s="18"/>
      <c r="AA16" s="18"/>
    </row>
    <row r="17" spans="1:27" ht="12.75" hidden="1">
      <c r="A17" s="25" t="s">
        <v>183</v>
      </c>
      <c r="B17" s="212">
        <v>12</v>
      </c>
      <c r="C17" s="122">
        <f t="shared" si="6"/>
        <v>13464</v>
      </c>
      <c r="D17" s="213">
        <v>13476</v>
      </c>
      <c r="E17" s="212">
        <v>37</v>
      </c>
      <c r="F17" s="122">
        <f t="shared" si="7"/>
        <v>10539</v>
      </c>
      <c r="G17" s="213">
        <v>10576</v>
      </c>
      <c r="H17" s="182">
        <v>8</v>
      </c>
      <c r="I17" s="136">
        <f t="shared" si="0"/>
        <v>107808</v>
      </c>
      <c r="J17" s="136">
        <f t="shared" si="1"/>
        <v>84608</v>
      </c>
      <c r="K17" s="136">
        <f t="shared" si="8"/>
        <v>192416</v>
      </c>
      <c r="L17" s="137">
        <f t="shared" si="2"/>
        <v>0.00011130899376669635</v>
      </c>
      <c r="M17" s="137">
        <f t="shared" si="3"/>
        <v>0.0004373108925869894</v>
      </c>
      <c r="N17" s="207">
        <v>27.5</v>
      </c>
      <c r="O17" s="217">
        <f t="shared" si="9"/>
        <v>661430</v>
      </c>
      <c r="P17" s="56" t="str">
        <f t="shared" si="4"/>
        <v>12 / 13476</v>
      </c>
      <c r="Q17" s="56" t="str">
        <f t="shared" si="5"/>
        <v>37 / 10576</v>
      </c>
      <c r="S17" s="18"/>
      <c r="T17" s="18"/>
      <c r="V17" s="18"/>
      <c r="W17" s="18"/>
      <c r="X17" s="18"/>
      <c r="Y17" s="18"/>
      <c r="Z17" s="18"/>
      <c r="AA17" s="18"/>
    </row>
    <row r="18" spans="1:27" ht="12.75" hidden="1">
      <c r="A18" s="25" t="s">
        <v>184</v>
      </c>
      <c r="B18" s="212">
        <v>707</v>
      </c>
      <c r="C18" s="122">
        <f t="shared" si="6"/>
        <v>2421628</v>
      </c>
      <c r="D18" s="213">
        <v>2422335</v>
      </c>
      <c r="E18" s="212">
        <v>639</v>
      </c>
      <c r="F18" s="122">
        <f t="shared" si="7"/>
        <v>1547773</v>
      </c>
      <c r="G18" s="213">
        <v>1548412</v>
      </c>
      <c r="H18" s="182">
        <v>4</v>
      </c>
      <c r="I18" s="136">
        <f t="shared" si="0"/>
        <v>9689340</v>
      </c>
      <c r="J18" s="136">
        <f t="shared" si="1"/>
        <v>6193648</v>
      </c>
      <c r="K18" s="136">
        <f t="shared" si="8"/>
        <v>15882988</v>
      </c>
      <c r="L18" s="137">
        <f t="shared" si="2"/>
        <v>7.296678617945082E-05</v>
      </c>
      <c r="M18" s="137">
        <f t="shared" si="3"/>
        <v>0.00010317021567903116</v>
      </c>
      <c r="N18" s="207">
        <v>27.5</v>
      </c>
      <c r="O18" s="217">
        <f t="shared" si="9"/>
        <v>109195542.5</v>
      </c>
      <c r="P18" s="56" t="str">
        <f t="shared" si="4"/>
        <v>707 / 2422335</v>
      </c>
      <c r="Q18" s="56" t="str">
        <f t="shared" si="5"/>
        <v>639 / 1548412</v>
      </c>
      <c r="S18" s="18"/>
      <c r="T18" s="18"/>
      <c r="V18" s="18"/>
      <c r="W18" s="18"/>
      <c r="X18" s="18"/>
      <c r="Y18" s="18"/>
      <c r="Z18" s="18"/>
      <c r="AA18" s="18"/>
    </row>
    <row r="19" spans="1:27" ht="12.75" hidden="1">
      <c r="A19" s="25" t="s">
        <v>185</v>
      </c>
      <c r="B19" s="212">
        <v>193</v>
      </c>
      <c r="C19" s="122">
        <f t="shared" si="6"/>
        <v>5942</v>
      </c>
      <c r="D19" s="213">
        <v>6135</v>
      </c>
      <c r="E19" s="212">
        <v>557</v>
      </c>
      <c r="F19" s="122">
        <f t="shared" si="7"/>
        <v>5146</v>
      </c>
      <c r="G19" s="213">
        <v>5703</v>
      </c>
      <c r="H19" s="182">
        <v>8</v>
      </c>
      <c r="I19" s="136">
        <f t="shared" si="0"/>
        <v>49080</v>
      </c>
      <c r="J19" s="136">
        <f t="shared" si="1"/>
        <v>45624</v>
      </c>
      <c r="K19" s="136">
        <f t="shared" si="8"/>
        <v>94704</v>
      </c>
      <c r="L19" s="137">
        <f t="shared" si="2"/>
        <v>0.003932355338223309</v>
      </c>
      <c r="M19" s="137">
        <f t="shared" si="3"/>
        <v>0.012208486761353674</v>
      </c>
      <c r="N19" s="207">
        <v>27.5</v>
      </c>
      <c r="O19" s="217">
        <f t="shared" si="9"/>
        <v>325545</v>
      </c>
      <c r="P19" s="56" t="str">
        <f t="shared" si="4"/>
        <v>193 / 6135</v>
      </c>
      <c r="Q19" s="56" t="str">
        <f t="shared" si="5"/>
        <v>557 / 5703</v>
      </c>
      <c r="R19" s="13"/>
      <c r="S19" s="18"/>
      <c r="T19" s="18"/>
      <c r="V19" s="18"/>
      <c r="W19" s="18"/>
      <c r="X19" s="18"/>
      <c r="Y19" s="18"/>
      <c r="Z19" s="18"/>
      <c r="AA19" s="18"/>
    </row>
    <row r="20" spans="1:27" ht="12.75" hidden="1">
      <c r="A20" s="140">
        <f>COUNT(D5:D19)</f>
        <v>15</v>
      </c>
      <c r="B20" s="141">
        <f>SUM(B5:B19)</f>
        <v>35663</v>
      </c>
      <c r="C20" s="142">
        <v>23009</v>
      </c>
      <c r="D20" s="141">
        <f>SUM(D5:D19)</f>
        <v>10980451</v>
      </c>
      <c r="E20" s="141">
        <f>SUM(E5:E19)</f>
        <v>18332</v>
      </c>
      <c r="F20" s="142">
        <v>28669.98</v>
      </c>
      <c r="G20" s="141">
        <f>SUM(G5:G19)</f>
        <v>5979250</v>
      </c>
      <c r="H20" s="143">
        <f>K20/(D20+G20)</f>
        <v>5.528387970990762</v>
      </c>
      <c r="I20" s="144">
        <f>SUM(I5:I19)</f>
        <v>62802153</v>
      </c>
      <c r="J20" s="144">
        <f>SUM(J5:J19)</f>
        <v>30957654</v>
      </c>
      <c r="K20" s="144">
        <f>SUM(K5:K19)</f>
        <v>93759807</v>
      </c>
      <c r="L20" s="145">
        <f t="shared" si="2"/>
        <v>0.0005678626973186731</v>
      </c>
      <c r="M20" s="145">
        <f t="shared" si="3"/>
        <v>0.000592163734370828</v>
      </c>
      <c r="N20" s="146">
        <f>O20/(D20+G20)</f>
        <v>27.5</v>
      </c>
      <c r="O20" s="218">
        <f>SUM(O5:O19)</f>
        <v>466391777.5</v>
      </c>
      <c r="P20" s="57" t="str">
        <f t="shared" si="4"/>
        <v>35663 / 10980451</v>
      </c>
      <c r="Q20" s="57" t="str">
        <f t="shared" si="5"/>
        <v>18332 / 5979250</v>
      </c>
      <c r="S20" s="18"/>
      <c r="T20" s="18"/>
      <c r="V20" s="18"/>
      <c r="W20" s="18"/>
      <c r="X20" s="18"/>
      <c r="Y20" s="18"/>
      <c r="Z20" s="18"/>
      <c r="AA20" s="18"/>
    </row>
    <row r="21" spans="2:27" ht="13.5" hidden="1" thickBot="1">
      <c r="B21" s="2"/>
      <c r="C21" s="2"/>
      <c r="E21" s="3"/>
      <c r="F21" s="26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3.5" hidden="1" thickBot="1">
      <c r="A22" s="18"/>
      <c r="B22" s="28" t="s">
        <v>51</v>
      </c>
      <c r="C22" s="192">
        <v>0.003273710865952654</v>
      </c>
      <c r="D22" s="264" t="s">
        <v>13</v>
      </c>
      <c r="E22" s="265"/>
      <c r="F22" s="266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26.25" hidden="1" thickBot="1">
      <c r="A23" s="178">
        <f>I60</f>
        <v>0.000592163734370828</v>
      </c>
      <c r="B23" s="179" t="s">
        <v>52</v>
      </c>
      <c r="C23" s="12"/>
      <c r="D23" s="10" t="s">
        <v>12</v>
      </c>
      <c r="E23" s="11" t="s">
        <v>21</v>
      </c>
      <c r="F23" s="10" t="s">
        <v>22</v>
      </c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3.5" hidden="1" thickBot="1">
      <c r="A24" s="180">
        <f>E60</f>
        <v>5.528387970990762</v>
      </c>
      <c r="B24" s="181" t="s">
        <v>53</v>
      </c>
      <c r="C24" s="12"/>
      <c r="D24" s="193">
        <v>0.7894</v>
      </c>
      <c r="E24" s="194">
        <v>0.7</v>
      </c>
      <c r="F24" s="195">
        <v>0.8903</v>
      </c>
      <c r="G24" s="12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2.75" hidden="1">
      <c r="A25" s="30"/>
      <c r="B25" s="29"/>
      <c r="C25" s="18"/>
      <c r="D25" s="18"/>
      <c r="E25" s="18"/>
      <c r="F25" s="18"/>
      <c r="G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3.5" hidden="1" thickBot="1">
      <c r="A26" s="30"/>
      <c r="B26" s="31"/>
      <c r="C26" s="32"/>
      <c r="D26" s="33">
        <f>C22*D24</f>
        <v>0.002584267357583025</v>
      </c>
      <c r="E26" s="34">
        <f>C22*E24</f>
        <v>0.002291597606166858</v>
      </c>
      <c r="F26" s="35">
        <f>C22*F24</f>
        <v>0.002914584783957648</v>
      </c>
      <c r="G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2.75" hidden="1">
      <c r="A27" s="30"/>
      <c r="B27" s="29"/>
      <c r="C27" s="18"/>
      <c r="D27" s="18"/>
      <c r="E27" s="18"/>
      <c r="F27" s="18"/>
      <c r="G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3.5" hidden="1" thickBot="1">
      <c r="A28" s="30"/>
      <c r="B28" s="36"/>
      <c r="C28" s="37" t="s">
        <v>2</v>
      </c>
      <c r="D28" s="38">
        <f>C22-D26</f>
        <v>0.000689443508369629</v>
      </c>
      <c r="E28" s="39">
        <f>C22-F26</f>
        <v>0.00035912608199500625</v>
      </c>
      <c r="F28" s="40">
        <f>C22-E26</f>
        <v>0.0009821132597857963</v>
      </c>
      <c r="G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3.5" hidden="1" thickBot="1">
      <c r="A29" s="30"/>
      <c r="B29" s="41"/>
      <c r="C29" s="42" t="s">
        <v>3</v>
      </c>
      <c r="D29" s="43">
        <f>1/D28</f>
        <v>1450.445160278271</v>
      </c>
      <c r="E29" s="44">
        <f>1/F28</f>
        <v>1018.2125025153462</v>
      </c>
      <c r="F29" s="45">
        <f>1/E28</f>
        <v>2784.5373815369535</v>
      </c>
      <c r="G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2.75" hidden="1">
      <c r="A30" s="30"/>
      <c r="B30" s="29"/>
      <c r="C30" s="12"/>
      <c r="D30" s="12"/>
      <c r="E30" s="12"/>
      <c r="F30" s="12"/>
      <c r="G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2.75" hidden="1">
      <c r="A31" s="30"/>
      <c r="B31" s="123" t="s">
        <v>4</v>
      </c>
      <c r="C31" s="124"/>
      <c r="D31" s="124"/>
      <c r="E31" s="125">
        <f>ROUND(D24,2)</f>
        <v>0.79</v>
      </c>
      <c r="F31" s="126">
        <f>ROUND(D28,4)</f>
        <v>0.0007</v>
      </c>
      <c r="G31" s="127">
        <f>ROUND(D29,0)</f>
        <v>1450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2.75" hidden="1">
      <c r="A32" s="30"/>
      <c r="B32" s="46" t="s">
        <v>6</v>
      </c>
      <c r="C32" s="47">
        <f>ROUND(D26,4)</f>
        <v>0.0026</v>
      </c>
      <c r="D32" s="48">
        <f>ROUND(C22,4)</f>
        <v>0.0033</v>
      </c>
      <c r="E32" s="6">
        <f>ROUND(E24,2)</f>
        <v>0.7</v>
      </c>
      <c r="F32" s="7">
        <f>ROUND(E28,4)</f>
        <v>0.0004</v>
      </c>
      <c r="G32" s="8">
        <f>ROUND(E29,0)</f>
        <v>1018</v>
      </c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2.75" hidden="1">
      <c r="A33" s="30"/>
      <c r="B33" s="46" t="s">
        <v>5</v>
      </c>
      <c r="C33" s="14"/>
      <c r="D33" s="14"/>
      <c r="E33" s="6">
        <f>ROUND(F24,2)</f>
        <v>0.89</v>
      </c>
      <c r="F33" s="7">
        <f>ROUND(F28,4)</f>
        <v>0.001</v>
      </c>
      <c r="G33" s="8">
        <f>ROUND(F29,0)</f>
        <v>2785</v>
      </c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2.75" hidden="1">
      <c r="A34" s="30"/>
      <c r="B34" s="46" t="s">
        <v>7</v>
      </c>
      <c r="C34" s="128" t="s">
        <v>54</v>
      </c>
      <c r="D34" s="128" t="s">
        <v>11</v>
      </c>
      <c r="E34" s="129" t="s">
        <v>8</v>
      </c>
      <c r="F34" s="129" t="s">
        <v>9</v>
      </c>
      <c r="G34" s="128" t="s">
        <v>3</v>
      </c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2.75" hidden="1">
      <c r="A35" s="30"/>
      <c r="B35" s="49" t="s">
        <v>0</v>
      </c>
      <c r="C35" s="128" t="str">
        <f>CONCATENATE(C32*100,B34)</f>
        <v>0,26%</v>
      </c>
      <c r="D35" s="128" t="str">
        <f>CONCATENATE(D32*100,B34)</f>
        <v>0,33%</v>
      </c>
      <c r="E35" s="128" t="str">
        <f>CONCATENATE(E31," ",B31,E32,B32,E33,B33)</f>
        <v>0,79 (0,7-0,89)</v>
      </c>
      <c r="F35" s="128" t="str">
        <f>CONCATENATE(F31*100,B34," ",B31,F32*100,B34," ",B35," ",F33*100,B34,B33)</f>
        <v>0,07% (0,04% a 0,1%)</v>
      </c>
      <c r="G35" s="128" t="str">
        <f>CONCATENATE(G31," ",B31,G32," ",B35," ",G33,B33)</f>
        <v>1450 (1018 a 2785)</v>
      </c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2.75" hidden="1">
      <c r="A36" s="50"/>
      <c r="B36" s="4"/>
      <c r="C36" s="19"/>
      <c r="D36" s="19"/>
      <c r="E36" s="19"/>
      <c r="F36" s="19"/>
      <c r="G36" s="19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3.5" hidden="1" thickBot="1">
      <c r="A37" s="178">
        <f>A23*A24</f>
        <v>0.003273710865952654</v>
      </c>
      <c r="B37" s="179" t="s">
        <v>55</v>
      </c>
      <c r="C37" s="18"/>
      <c r="D37" s="18"/>
      <c r="E37" s="18"/>
      <c r="F37" s="18"/>
      <c r="G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3.5" hidden="1" thickBot="1">
      <c r="A38" s="51"/>
      <c r="B38" s="18"/>
      <c r="C38" s="186" t="s">
        <v>56</v>
      </c>
      <c r="D38" s="187" t="s">
        <v>11</v>
      </c>
      <c r="E38" s="187" t="s">
        <v>8</v>
      </c>
      <c r="F38" s="187" t="s">
        <v>2</v>
      </c>
      <c r="G38" s="188" t="s">
        <v>3</v>
      </c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3.5" hidden="1" thickBot="1">
      <c r="A39" s="52"/>
      <c r="B39" s="15"/>
      <c r="C39" s="183" t="str">
        <f>C35</f>
        <v>0,26%</v>
      </c>
      <c r="D39" s="184" t="str">
        <f>D35</f>
        <v>0,33%</v>
      </c>
      <c r="E39" s="184" t="str">
        <f>E35</f>
        <v>0,79 (0,7-0,89)</v>
      </c>
      <c r="F39" s="184" t="str">
        <f>F35</f>
        <v>0,07% (0,04% a 0,1%)</v>
      </c>
      <c r="G39" s="185" t="str">
        <f>G35</f>
        <v>1450 (1018 a 2785)</v>
      </c>
      <c r="S39" s="18"/>
      <c r="T39" s="18"/>
      <c r="U39" s="18"/>
      <c r="V39" s="18"/>
      <c r="W39" s="18"/>
      <c r="X39" s="18"/>
      <c r="Y39" s="18"/>
      <c r="Z39" s="18"/>
      <c r="AA39" s="18"/>
    </row>
    <row r="40" spans="2:27" ht="12.75" hidden="1">
      <c r="B40" s="2"/>
      <c r="C40" s="2"/>
      <c r="E40" s="3"/>
      <c r="F40" s="26"/>
      <c r="S40" s="18"/>
      <c r="T40" s="18"/>
      <c r="U40" s="18"/>
      <c r="V40" s="18"/>
      <c r="W40" s="18"/>
      <c r="X40" s="18"/>
      <c r="Y40" s="18"/>
      <c r="Z40" s="18"/>
      <c r="AA40" s="18"/>
    </row>
    <row r="41" spans="4:27" ht="13.5" thickBot="1">
      <c r="D41" s="3"/>
      <c r="E41" s="3"/>
      <c r="S41" s="18"/>
      <c r="T41" s="18"/>
      <c r="U41" s="18"/>
      <c r="V41" s="18"/>
      <c r="W41" s="18"/>
      <c r="X41" s="18"/>
      <c r="Y41" s="18"/>
      <c r="Z41" s="18"/>
      <c r="AA41" s="18"/>
    </row>
    <row r="42" spans="1:20" ht="19.5" thickBot="1">
      <c r="A42" s="245" t="s">
        <v>329</v>
      </c>
      <c r="B42" s="177" t="str">
        <f>B2</f>
        <v>CAMBIOS Verrugas AG, mujeres 25-29 años, tras 3 a 8 años de vacunación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6"/>
      <c r="S42" s="18"/>
      <c r="T42" s="18"/>
    </row>
    <row r="43" spans="1:20" ht="15.75" thickBot="1">
      <c r="A43" s="256" t="s">
        <v>28</v>
      </c>
      <c r="B43" s="256" t="s">
        <v>29</v>
      </c>
      <c r="C43" s="267" t="s">
        <v>30</v>
      </c>
      <c r="D43" s="269" t="s">
        <v>31</v>
      </c>
      <c r="E43" s="256" t="s">
        <v>32</v>
      </c>
      <c r="F43" s="256" t="s">
        <v>91</v>
      </c>
      <c r="G43" s="256" t="s">
        <v>92</v>
      </c>
      <c r="H43" s="256" t="s">
        <v>95</v>
      </c>
      <c r="I43" s="256" t="s">
        <v>96</v>
      </c>
      <c r="J43" s="256" t="s">
        <v>33</v>
      </c>
      <c r="K43" s="258" t="s">
        <v>34</v>
      </c>
      <c r="L43" s="246" t="s">
        <v>35</v>
      </c>
      <c r="M43" s="247"/>
      <c r="N43" s="247"/>
      <c r="O43" s="248"/>
      <c r="S43" s="18"/>
      <c r="T43" s="18"/>
    </row>
    <row r="44" spans="1:20" ht="30.75" thickBot="1">
      <c r="A44" s="257"/>
      <c r="B44" s="257"/>
      <c r="C44" s="268"/>
      <c r="D44" s="270"/>
      <c r="E44" s="257"/>
      <c r="F44" s="257"/>
      <c r="G44" s="257"/>
      <c r="H44" s="257"/>
      <c r="I44" s="257"/>
      <c r="J44" s="257"/>
      <c r="K44" s="259"/>
      <c r="L44" s="222" t="s">
        <v>36</v>
      </c>
      <c r="M44" s="223" t="s">
        <v>2</v>
      </c>
      <c r="N44" s="224" t="s">
        <v>3</v>
      </c>
      <c r="O44" s="199" t="s">
        <v>37</v>
      </c>
      <c r="S44" s="18"/>
      <c r="T44" s="18"/>
    </row>
    <row r="45" spans="1:20" ht="15">
      <c r="A45" s="249">
        <v>8</v>
      </c>
      <c r="B45" s="215" t="s">
        <v>171</v>
      </c>
      <c r="C45" s="58" t="s">
        <v>38</v>
      </c>
      <c r="D45" s="59"/>
      <c r="E45" s="147">
        <f aca="true" t="shared" si="10" ref="E45:E60">H5</f>
        <v>3</v>
      </c>
      <c r="F45" s="148" t="str">
        <f aca="true" t="shared" si="11" ref="F45:F60">P5</f>
        <v>347 / 123476</v>
      </c>
      <c r="G45" s="149">
        <f aca="true" t="shared" si="12" ref="G45:G60">L5</f>
        <v>0.0009367542410400942</v>
      </c>
      <c r="H45" s="148" t="str">
        <f aca="true" t="shared" si="13" ref="H45:H60">Q5</f>
        <v>343 / 115277</v>
      </c>
      <c r="I45" s="150">
        <f aca="true" t="shared" si="14" ref="I45:I60">M5</f>
        <v>0.000991813920672236</v>
      </c>
      <c r="J45" s="151">
        <v>27.5</v>
      </c>
      <c r="K45" s="119">
        <v>0.07017914428666466</v>
      </c>
      <c r="L45" s="225" t="s">
        <v>186</v>
      </c>
      <c r="M45" s="225" t="s">
        <v>187</v>
      </c>
      <c r="N45" s="225" t="s">
        <v>188</v>
      </c>
      <c r="O45" s="152"/>
      <c r="R45" s="62">
        <f>Q45*K45</f>
        <v>0</v>
      </c>
      <c r="S45" s="18"/>
      <c r="T45" s="18"/>
    </row>
    <row r="46" spans="1:20" ht="15">
      <c r="A46" s="250"/>
      <c r="B46" s="216" t="s">
        <v>172</v>
      </c>
      <c r="C46" s="58" t="s">
        <v>38</v>
      </c>
      <c r="D46" s="59"/>
      <c r="E46" s="147">
        <f t="shared" si="10"/>
        <v>6</v>
      </c>
      <c r="F46" s="148" t="str">
        <f t="shared" si="11"/>
        <v>1427 / 563771</v>
      </c>
      <c r="G46" s="149">
        <f t="shared" si="12"/>
        <v>0.00042186159510392224</v>
      </c>
      <c r="H46" s="148" t="str">
        <f t="shared" si="13"/>
        <v>2157 / 760677</v>
      </c>
      <c r="I46" s="149">
        <f t="shared" si="14"/>
        <v>0.0004726053239416993</v>
      </c>
      <c r="J46" s="151">
        <v>27.5</v>
      </c>
      <c r="K46" s="119">
        <v>0.07679773040394987</v>
      </c>
      <c r="L46" s="225" t="s">
        <v>189</v>
      </c>
      <c r="M46" s="225" t="s">
        <v>190</v>
      </c>
      <c r="N46" s="225" t="s">
        <v>191</v>
      </c>
      <c r="O46" s="120"/>
      <c r="R46" s="62">
        <f aca="true" t="shared" si="15" ref="R46:R59">Q46*K46</f>
        <v>0</v>
      </c>
      <c r="S46" s="18"/>
      <c r="T46" s="18"/>
    </row>
    <row r="47" spans="1:20" ht="15">
      <c r="A47" s="250"/>
      <c r="B47" s="215" t="s">
        <v>173</v>
      </c>
      <c r="C47" s="58" t="s">
        <v>38</v>
      </c>
      <c r="D47" s="59"/>
      <c r="E47" s="147">
        <f t="shared" si="10"/>
        <v>7</v>
      </c>
      <c r="F47" s="148" t="str">
        <f t="shared" si="11"/>
        <v>149 / 371757</v>
      </c>
      <c r="G47" s="149">
        <f t="shared" si="12"/>
        <v>5.7257063850080257E-05</v>
      </c>
      <c r="H47" s="148" t="str">
        <f t="shared" si="13"/>
        <v>238 / 427888</v>
      </c>
      <c r="I47" s="149">
        <f t="shared" si="14"/>
        <v>7.946004561941443E-05</v>
      </c>
      <c r="J47" s="151">
        <v>27.5</v>
      </c>
      <c r="K47" s="119">
        <v>0.06405160601616093</v>
      </c>
      <c r="L47" s="225" t="s">
        <v>192</v>
      </c>
      <c r="M47" s="225" t="s">
        <v>119</v>
      </c>
      <c r="N47" s="225" t="s">
        <v>193</v>
      </c>
      <c r="O47" s="120"/>
      <c r="R47" s="62">
        <f t="shared" si="15"/>
        <v>0</v>
      </c>
      <c r="S47" s="18"/>
      <c r="T47" s="18"/>
    </row>
    <row r="48" spans="1:20" ht="15">
      <c r="A48" s="250"/>
      <c r="B48" s="216" t="s">
        <v>174</v>
      </c>
      <c r="C48" s="58" t="s">
        <v>38</v>
      </c>
      <c r="D48" s="59"/>
      <c r="E48" s="147">
        <f t="shared" si="10"/>
        <v>6</v>
      </c>
      <c r="F48" s="148" t="str">
        <f t="shared" si="11"/>
        <v>2755 / 579167</v>
      </c>
      <c r="G48" s="149">
        <f t="shared" si="12"/>
        <v>0.0007928052991048639</v>
      </c>
      <c r="H48" s="148" t="str">
        <f t="shared" si="13"/>
        <v>1611 / 267772</v>
      </c>
      <c r="I48" s="149">
        <f t="shared" si="14"/>
        <v>0.0010027187308605829</v>
      </c>
      <c r="J48" s="151">
        <v>27.5</v>
      </c>
      <c r="K48" s="119">
        <v>0.07708580930751731</v>
      </c>
      <c r="L48" s="225" t="s">
        <v>194</v>
      </c>
      <c r="M48" s="225" t="s">
        <v>195</v>
      </c>
      <c r="N48" s="225" t="s">
        <v>196</v>
      </c>
      <c r="O48" s="120"/>
      <c r="R48" s="62">
        <f t="shared" si="15"/>
        <v>0</v>
      </c>
      <c r="S48" s="18"/>
      <c r="T48" s="18"/>
    </row>
    <row r="49" spans="1:20" ht="15">
      <c r="A49" s="250"/>
      <c r="B49" s="215" t="s">
        <v>175</v>
      </c>
      <c r="C49" s="58" t="s">
        <v>38</v>
      </c>
      <c r="D49" s="59"/>
      <c r="E49" s="147">
        <f t="shared" si="10"/>
        <v>3</v>
      </c>
      <c r="F49" s="148" t="str">
        <f t="shared" si="11"/>
        <v>2914 / 616000</v>
      </c>
      <c r="G49" s="149">
        <f t="shared" si="12"/>
        <v>0.0015768398268398269</v>
      </c>
      <c r="H49" s="148" t="str">
        <f t="shared" si="13"/>
        <v>2391 / 486000</v>
      </c>
      <c r="I49" s="149">
        <f t="shared" si="14"/>
        <v>0.001639917695473251</v>
      </c>
      <c r="J49" s="151">
        <v>27.5</v>
      </c>
      <c r="K49" s="119">
        <v>0.07743576117498677</v>
      </c>
      <c r="L49" s="225" t="s">
        <v>197</v>
      </c>
      <c r="M49" s="225" t="s">
        <v>198</v>
      </c>
      <c r="N49" s="225" t="s">
        <v>199</v>
      </c>
      <c r="O49" s="120"/>
      <c r="R49" s="62">
        <f t="shared" si="15"/>
        <v>0</v>
      </c>
      <c r="S49" s="18"/>
      <c r="T49" s="18"/>
    </row>
    <row r="50" spans="1:20" ht="15">
      <c r="A50" s="250"/>
      <c r="B50" s="216" t="s">
        <v>176</v>
      </c>
      <c r="C50" s="58" t="s">
        <v>38</v>
      </c>
      <c r="D50" s="59"/>
      <c r="E50" s="147">
        <f t="shared" si="10"/>
        <v>8</v>
      </c>
      <c r="F50" s="148" t="str">
        <f t="shared" si="11"/>
        <v>13217 / 3966907</v>
      </c>
      <c r="G50" s="149">
        <f t="shared" si="12"/>
        <v>0.00041647686724190913</v>
      </c>
      <c r="H50" s="148" t="str">
        <f t="shared" si="13"/>
        <v>2772 / 1009668</v>
      </c>
      <c r="I50" s="149">
        <f t="shared" si="14"/>
        <v>0.0003431821153091907</v>
      </c>
      <c r="J50" s="151">
        <v>27.5</v>
      </c>
      <c r="K50" s="119">
        <v>0.07795339409975172</v>
      </c>
      <c r="L50" s="225" t="s">
        <v>200</v>
      </c>
      <c r="M50" s="225" t="s">
        <v>201</v>
      </c>
      <c r="N50" s="225" t="s">
        <v>202</v>
      </c>
      <c r="O50" s="152"/>
      <c r="R50" s="62">
        <f t="shared" si="15"/>
        <v>0</v>
      </c>
      <c r="S50" s="18"/>
      <c r="T50" s="18"/>
    </row>
    <row r="51" spans="1:20" ht="15">
      <c r="A51" s="250"/>
      <c r="B51" s="215" t="s">
        <v>177</v>
      </c>
      <c r="C51" s="58" t="s">
        <v>38</v>
      </c>
      <c r="D51" s="59"/>
      <c r="E51" s="147">
        <f t="shared" si="10"/>
        <v>4</v>
      </c>
      <c r="F51" s="148" t="str">
        <f t="shared" si="11"/>
        <v>8471 / 1166174</v>
      </c>
      <c r="G51" s="149">
        <f t="shared" si="12"/>
        <v>0.0018159811486107562</v>
      </c>
      <c r="H51" s="148" t="str">
        <f t="shared" si="13"/>
        <v>2510 / 364290</v>
      </c>
      <c r="I51" s="149">
        <f t="shared" si="14"/>
        <v>0.0017225287545636718</v>
      </c>
      <c r="J51" s="151">
        <v>27.5</v>
      </c>
      <c r="K51" s="119">
        <v>0.07782809411867266</v>
      </c>
      <c r="L51" s="225" t="s">
        <v>203</v>
      </c>
      <c r="M51" s="225" t="s">
        <v>204</v>
      </c>
      <c r="N51" s="225" t="s">
        <v>205</v>
      </c>
      <c r="O51" s="152"/>
      <c r="R51" s="62">
        <f t="shared" si="15"/>
        <v>0</v>
      </c>
      <c r="S51" s="18"/>
      <c r="T51" s="18"/>
    </row>
    <row r="52" spans="1:20" ht="15">
      <c r="A52" s="250"/>
      <c r="B52" s="216" t="s">
        <v>178</v>
      </c>
      <c r="C52" s="58" t="s">
        <v>38</v>
      </c>
      <c r="D52" s="59"/>
      <c r="E52" s="147">
        <f t="shared" si="10"/>
        <v>6</v>
      </c>
      <c r="F52" s="148" t="str">
        <f t="shared" si="11"/>
        <v>252 / 135978</v>
      </c>
      <c r="G52" s="149">
        <f t="shared" si="12"/>
        <v>0.00030887349424171557</v>
      </c>
      <c r="H52" s="148" t="str">
        <f t="shared" si="13"/>
        <v>190 / 98306</v>
      </c>
      <c r="I52" s="149">
        <f t="shared" si="14"/>
        <v>0.0003221234377013272</v>
      </c>
      <c r="J52" s="151">
        <v>27.5</v>
      </c>
      <c r="K52" s="119">
        <v>0.06595430904080807</v>
      </c>
      <c r="L52" s="225" t="s">
        <v>206</v>
      </c>
      <c r="M52" s="225" t="s">
        <v>207</v>
      </c>
      <c r="N52" s="225" t="s">
        <v>208</v>
      </c>
      <c r="O52" s="152"/>
      <c r="R52" s="62">
        <f t="shared" si="15"/>
        <v>0</v>
      </c>
      <c r="S52" s="18"/>
      <c r="T52" s="18"/>
    </row>
    <row r="53" spans="1:20" ht="15">
      <c r="A53" s="250"/>
      <c r="B53" s="215" t="s">
        <v>179</v>
      </c>
      <c r="C53" s="58" t="s">
        <v>38</v>
      </c>
      <c r="D53" s="59"/>
      <c r="E53" s="147">
        <f t="shared" si="10"/>
        <v>5</v>
      </c>
      <c r="F53" s="148" t="str">
        <f t="shared" si="11"/>
        <v>63 / 650</v>
      </c>
      <c r="G53" s="149">
        <f t="shared" si="12"/>
        <v>0.019384615384615386</v>
      </c>
      <c r="H53" s="148" t="str">
        <f t="shared" si="13"/>
        <v>152 / 969</v>
      </c>
      <c r="I53" s="149">
        <f t="shared" si="14"/>
        <v>0.03137254901960784</v>
      </c>
      <c r="J53" s="151">
        <v>27.5</v>
      </c>
      <c r="K53" s="119">
        <v>0.05556168608845886</v>
      </c>
      <c r="L53" s="225" t="s">
        <v>209</v>
      </c>
      <c r="M53" s="225" t="s">
        <v>210</v>
      </c>
      <c r="N53" s="225" t="s">
        <v>211</v>
      </c>
      <c r="O53" s="153"/>
      <c r="R53" s="62">
        <f t="shared" si="15"/>
        <v>0</v>
      </c>
      <c r="S53" s="18"/>
      <c r="T53" s="18"/>
    </row>
    <row r="54" spans="1:20" ht="15">
      <c r="A54" s="250"/>
      <c r="B54" s="216" t="s">
        <v>180</v>
      </c>
      <c r="C54" s="58" t="s">
        <v>38</v>
      </c>
      <c r="D54" s="59"/>
      <c r="E54" s="147">
        <f t="shared" si="10"/>
        <v>4</v>
      </c>
      <c r="F54" s="148" t="str">
        <f t="shared" si="11"/>
        <v>805 / 387580</v>
      </c>
      <c r="G54" s="149">
        <f t="shared" si="12"/>
        <v>0.000519247639197069</v>
      </c>
      <c r="H54" s="148" t="str">
        <f t="shared" si="13"/>
        <v>942 / 404852</v>
      </c>
      <c r="I54" s="149">
        <f t="shared" si="14"/>
        <v>0.0005816940511594361</v>
      </c>
      <c r="J54" s="151">
        <v>27.5</v>
      </c>
      <c r="K54" s="119">
        <v>0.075054702985233</v>
      </c>
      <c r="L54" s="225" t="s">
        <v>212</v>
      </c>
      <c r="M54" s="225" t="s">
        <v>213</v>
      </c>
      <c r="N54" s="225" t="s">
        <v>214</v>
      </c>
      <c r="O54" s="153"/>
      <c r="R54" s="62">
        <f t="shared" si="15"/>
        <v>0</v>
      </c>
      <c r="S54" s="18"/>
      <c r="T54" s="18"/>
    </row>
    <row r="55" spans="1:20" ht="15">
      <c r="A55" s="250"/>
      <c r="B55" s="215" t="s">
        <v>181</v>
      </c>
      <c r="C55" s="58" t="s">
        <v>38</v>
      </c>
      <c r="D55" s="59"/>
      <c r="E55" s="147">
        <f t="shared" si="10"/>
        <v>4</v>
      </c>
      <c r="F55" s="148" t="str">
        <f t="shared" si="11"/>
        <v>4324 / 626251</v>
      </c>
      <c r="G55" s="149">
        <f t="shared" si="12"/>
        <v>0.0017261449482715396</v>
      </c>
      <c r="H55" s="148" t="str">
        <f t="shared" si="13"/>
        <v>3738 / 477822</v>
      </c>
      <c r="I55" s="149">
        <f t="shared" si="14"/>
        <v>0.0019557492120496752</v>
      </c>
      <c r="J55" s="151">
        <v>27.5</v>
      </c>
      <c r="K55" s="119">
        <v>0.07785669287255362</v>
      </c>
      <c r="L55" s="225" t="s">
        <v>215</v>
      </c>
      <c r="M55" s="225" t="s">
        <v>216</v>
      </c>
      <c r="N55" s="225" t="s">
        <v>217</v>
      </c>
      <c r="O55" s="153"/>
      <c r="R55" s="62">
        <f t="shared" si="15"/>
        <v>0</v>
      </c>
      <c r="S55" s="18"/>
      <c r="T55" s="18"/>
    </row>
    <row r="56" spans="1:20" ht="15">
      <c r="A56" s="250"/>
      <c r="B56" s="216" t="s">
        <v>182</v>
      </c>
      <c r="C56" s="58" t="s">
        <v>38</v>
      </c>
      <c r="D56" s="59"/>
      <c r="E56" s="147">
        <f t="shared" si="10"/>
        <v>4</v>
      </c>
      <c r="F56" s="148" t="str">
        <f t="shared" si="11"/>
        <v>27 / 794</v>
      </c>
      <c r="G56" s="149">
        <f t="shared" si="12"/>
        <v>0.00850125944584383</v>
      </c>
      <c r="H56" s="148" t="str">
        <f t="shared" si="13"/>
        <v>55 / 1038</v>
      </c>
      <c r="I56" s="149">
        <f t="shared" si="14"/>
        <v>0.013246628131021194</v>
      </c>
      <c r="J56" s="151">
        <v>27.5</v>
      </c>
      <c r="K56" s="119">
        <v>0.03731127433546804</v>
      </c>
      <c r="L56" s="225" t="s">
        <v>218</v>
      </c>
      <c r="M56" s="225" t="s">
        <v>219</v>
      </c>
      <c r="N56" s="225" t="s">
        <v>220</v>
      </c>
      <c r="O56" s="153"/>
      <c r="R56" s="62">
        <f t="shared" si="15"/>
        <v>0</v>
      </c>
      <c r="S56" s="18"/>
      <c r="T56" s="18"/>
    </row>
    <row r="57" spans="1:20" ht="15">
      <c r="A57" s="250"/>
      <c r="B57" s="215" t="s">
        <v>183</v>
      </c>
      <c r="C57" s="58" t="s">
        <v>38</v>
      </c>
      <c r="D57" s="59"/>
      <c r="E57" s="147">
        <f t="shared" si="10"/>
        <v>8</v>
      </c>
      <c r="F57" s="148" t="str">
        <f t="shared" si="11"/>
        <v>12 / 13476</v>
      </c>
      <c r="G57" s="149">
        <f t="shared" si="12"/>
        <v>0.00011130899376669635</v>
      </c>
      <c r="H57" s="148" t="str">
        <f t="shared" si="13"/>
        <v>37 / 10576</v>
      </c>
      <c r="I57" s="149">
        <f t="shared" si="14"/>
        <v>0.0004373108925869894</v>
      </c>
      <c r="J57" s="151">
        <v>27.5</v>
      </c>
      <c r="K57" s="119">
        <v>0.02380551496865668</v>
      </c>
      <c r="L57" s="225" t="s">
        <v>221</v>
      </c>
      <c r="M57" s="225" t="s">
        <v>222</v>
      </c>
      <c r="N57" s="225" t="s">
        <v>223</v>
      </c>
      <c r="O57" s="153"/>
      <c r="R57" s="62">
        <f t="shared" si="15"/>
        <v>0</v>
      </c>
      <c r="S57" s="18"/>
      <c r="T57" s="18"/>
    </row>
    <row r="58" spans="1:20" ht="15">
      <c r="A58" s="250"/>
      <c r="B58" s="216" t="s">
        <v>184</v>
      </c>
      <c r="C58" s="58" t="s">
        <v>38</v>
      </c>
      <c r="D58" s="59"/>
      <c r="E58" s="147">
        <f t="shared" si="10"/>
        <v>4</v>
      </c>
      <c r="F58" s="148" t="str">
        <f t="shared" si="11"/>
        <v>707 / 2422335</v>
      </c>
      <c r="G58" s="149">
        <f t="shared" si="12"/>
        <v>7.296678617945082E-05</v>
      </c>
      <c r="H58" s="148" t="str">
        <f t="shared" si="13"/>
        <v>639 / 1548412</v>
      </c>
      <c r="I58" s="149">
        <f t="shared" si="14"/>
        <v>0.00010317021567903116</v>
      </c>
      <c r="J58" s="151">
        <v>27.5</v>
      </c>
      <c r="K58" s="119">
        <v>0.074050616391007</v>
      </c>
      <c r="L58" s="225" t="s">
        <v>224</v>
      </c>
      <c r="M58" s="225" t="s">
        <v>151</v>
      </c>
      <c r="N58" s="225" t="s">
        <v>225</v>
      </c>
      <c r="O58" s="153"/>
      <c r="R58" s="62">
        <f t="shared" si="15"/>
        <v>0</v>
      </c>
      <c r="S58" s="18"/>
      <c r="T58" s="18"/>
    </row>
    <row r="59" spans="1:20" ht="15.75" thickBot="1">
      <c r="A59" s="250"/>
      <c r="B59" s="215" t="s">
        <v>185</v>
      </c>
      <c r="C59" s="58" t="s">
        <v>38</v>
      </c>
      <c r="D59" s="59"/>
      <c r="E59" s="147">
        <f t="shared" si="10"/>
        <v>8</v>
      </c>
      <c r="F59" s="148" t="str">
        <f t="shared" si="11"/>
        <v>193 / 6135</v>
      </c>
      <c r="G59" s="149">
        <f t="shared" si="12"/>
        <v>0.003932355338223309</v>
      </c>
      <c r="H59" s="148" t="str">
        <f t="shared" si="13"/>
        <v>557 / 5703</v>
      </c>
      <c r="I59" s="149">
        <f t="shared" si="14"/>
        <v>0.012208486761353674</v>
      </c>
      <c r="J59" s="151">
        <v>27.5</v>
      </c>
      <c r="K59" s="119">
        <v>0.06907366391011065</v>
      </c>
      <c r="L59" s="226" t="s">
        <v>226</v>
      </c>
      <c r="M59" s="225" t="s">
        <v>227</v>
      </c>
      <c r="N59" s="225" t="s">
        <v>228</v>
      </c>
      <c r="O59" s="153"/>
      <c r="R59" s="62">
        <f t="shared" si="15"/>
        <v>0</v>
      </c>
      <c r="S59" s="18"/>
      <c r="T59" s="18"/>
    </row>
    <row r="60" spans="1:20" ht="21.75" thickBot="1">
      <c r="A60" s="154" t="s">
        <v>39</v>
      </c>
      <c r="B60" s="155">
        <f>COUNT(E45:E59)</f>
        <v>15</v>
      </c>
      <c r="C60" s="156"/>
      <c r="D60" s="227" t="s">
        <v>315</v>
      </c>
      <c r="E60" s="157">
        <f t="shared" si="10"/>
        <v>5.528387970990762</v>
      </c>
      <c r="F60" s="158" t="str">
        <f t="shared" si="11"/>
        <v>35663 / 10980451</v>
      </c>
      <c r="G60" s="159">
        <f t="shared" si="12"/>
        <v>0.0005678626973186731</v>
      </c>
      <c r="H60" s="158" t="str">
        <f t="shared" si="13"/>
        <v>18332 / 5979250</v>
      </c>
      <c r="I60" s="159">
        <f t="shared" si="14"/>
        <v>0.000592163734370828</v>
      </c>
      <c r="J60" s="157">
        <v>27.5</v>
      </c>
      <c r="K60" s="160">
        <v>0.9999999999999998</v>
      </c>
      <c r="L60" s="112" t="s">
        <v>312</v>
      </c>
      <c r="M60" s="64"/>
      <c r="N60" s="65"/>
      <c r="O60" s="66"/>
      <c r="R60" s="161">
        <f>SUM(R45:R59)</f>
        <v>0</v>
      </c>
      <c r="S60" s="18"/>
      <c r="T60" s="18"/>
    </row>
    <row r="61" spans="1:15" ht="13.5" thickBot="1">
      <c r="A61" s="67"/>
      <c r="B61" s="67"/>
      <c r="C61" s="68"/>
      <c r="D61" s="69"/>
      <c r="E61" s="70"/>
      <c r="F61" s="71"/>
      <c r="G61" s="72"/>
      <c r="H61" s="71"/>
      <c r="I61" s="73"/>
      <c r="J61" s="74"/>
      <c r="K61" s="75"/>
      <c r="L61" s="64"/>
      <c r="M61" s="65"/>
      <c r="N61" s="65"/>
      <c r="O61" s="75"/>
    </row>
    <row r="62" spans="1:255" ht="48" thickBot="1">
      <c r="A62" s="76"/>
      <c r="B62" s="251" t="s">
        <v>99</v>
      </c>
      <c r="C62" s="252"/>
      <c r="D62" s="252"/>
      <c r="E62" s="252"/>
      <c r="F62" s="252"/>
      <c r="G62" s="252"/>
      <c r="H62" s="252"/>
      <c r="I62" s="253"/>
      <c r="J62" s="77" t="s">
        <v>93</v>
      </c>
      <c r="K62" s="162" t="s">
        <v>97</v>
      </c>
      <c r="L62" s="78" t="s">
        <v>36</v>
      </c>
      <c r="M62" s="79" t="s">
        <v>2</v>
      </c>
      <c r="N62" s="80" t="s">
        <v>3</v>
      </c>
      <c r="O62" s="6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15" ht="19.5" customHeight="1">
      <c r="A63" s="254" t="s">
        <v>40</v>
      </c>
      <c r="B63" s="81" t="s">
        <v>41</v>
      </c>
      <c r="C63" s="82">
        <f>I60</f>
        <v>0.000592163734370828</v>
      </c>
      <c r="D63" s="83" t="s">
        <v>42</v>
      </c>
      <c r="E63" s="83"/>
      <c r="F63" s="83"/>
      <c r="G63" s="83"/>
      <c r="H63" s="84">
        <f>J60</f>
        <v>27.5</v>
      </c>
      <c r="I63" s="85" t="s">
        <v>43</v>
      </c>
      <c r="J63" s="86" t="s">
        <v>289</v>
      </c>
      <c r="K63" s="87" t="s">
        <v>307</v>
      </c>
      <c r="L63" s="113" t="s">
        <v>312</v>
      </c>
      <c r="M63" s="88" t="s">
        <v>151</v>
      </c>
      <c r="N63" s="88" t="s">
        <v>308</v>
      </c>
      <c r="O63" s="89" t="s">
        <v>44</v>
      </c>
    </row>
    <row r="64" spans="1:15" ht="19.5" thickBot="1">
      <c r="A64" s="255"/>
      <c r="B64" s="163" t="s">
        <v>41</v>
      </c>
      <c r="C64" s="164">
        <f>I60*E60</f>
        <v>0.003273710865952654</v>
      </c>
      <c r="D64" s="165" t="s">
        <v>45</v>
      </c>
      <c r="E64" s="166"/>
      <c r="F64" s="167"/>
      <c r="G64" s="168">
        <f>E60</f>
        <v>5.528387970990762</v>
      </c>
      <c r="H64" s="165" t="s">
        <v>46</v>
      </c>
      <c r="I64" s="169"/>
      <c r="J64" s="170" t="s">
        <v>293</v>
      </c>
      <c r="K64" s="171" t="s">
        <v>309</v>
      </c>
      <c r="L64" s="172" t="s">
        <v>312</v>
      </c>
      <c r="M64" s="173" t="s">
        <v>310</v>
      </c>
      <c r="N64" s="173" t="s">
        <v>311</v>
      </c>
      <c r="O64" s="174" t="s">
        <v>314</v>
      </c>
    </row>
    <row r="65" spans="1:15" ht="19.5" thickBot="1">
      <c r="A65" s="92"/>
      <c r="B65" s="93"/>
      <c r="C65" s="94"/>
      <c r="D65" s="95"/>
      <c r="E65" s="96"/>
      <c r="F65" s="97"/>
      <c r="G65" s="98"/>
      <c r="H65" s="95"/>
      <c r="I65" s="97"/>
      <c r="J65" s="99"/>
      <c r="K65" s="99"/>
      <c r="L65" s="100"/>
      <c r="M65" s="101"/>
      <c r="N65" s="101"/>
      <c r="O65" s="102"/>
    </row>
    <row r="66" spans="1:15" ht="19.5" thickBot="1">
      <c r="A66" s="103"/>
      <c r="B66" s="103"/>
      <c r="C66" s="75"/>
      <c r="D66" s="75"/>
      <c r="E66" s="75"/>
      <c r="F66" s="75"/>
      <c r="G66" s="75"/>
      <c r="H66" s="75"/>
      <c r="I66" s="200"/>
      <c r="J66" s="201"/>
      <c r="K66" s="202" t="s">
        <v>47</v>
      </c>
      <c r="L66" s="214" t="s">
        <v>313</v>
      </c>
      <c r="M66" s="107"/>
      <c r="N66" s="108"/>
      <c r="O66" s="109"/>
    </row>
    <row r="67" spans="1:11" ht="12.75">
      <c r="A67" s="20"/>
      <c r="C67" s="2"/>
      <c r="I67" s="5" t="s">
        <v>48</v>
      </c>
      <c r="J67" s="204">
        <f>G64</f>
        <v>5.528387970990762</v>
      </c>
      <c r="K67" s="204">
        <f>J67</f>
        <v>5.528387970990762</v>
      </c>
    </row>
    <row r="68" spans="1:12" ht="12.75">
      <c r="A68" s="20"/>
      <c r="C68" s="2"/>
      <c r="I68" s="13"/>
      <c r="J68" s="138" t="s">
        <v>14</v>
      </c>
      <c r="K68" s="138" t="s">
        <v>15</v>
      </c>
      <c r="L68" s="138" t="s">
        <v>49</v>
      </c>
    </row>
    <row r="69" spans="9:14" ht="17.25">
      <c r="I69" s="110" t="s">
        <v>50</v>
      </c>
      <c r="J69" s="220">
        <f>J63*1000*J67</f>
        <v>2.764193985495381</v>
      </c>
      <c r="K69" s="219">
        <f>K63*1000*K67</f>
        <v>3.317032782594457</v>
      </c>
      <c r="L69" s="221">
        <f>((J69*I20)+(K69*J20))/K20</f>
        <v>2.946730540827341</v>
      </c>
      <c r="M69" s="111"/>
      <c r="N69" s="111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  <row r="75" spans="1:7" ht="12.75">
      <c r="A75" s="18"/>
      <c r="B75" s="18"/>
      <c r="C75" s="18"/>
      <c r="D75" s="18"/>
      <c r="E75" s="18"/>
      <c r="F75" s="18"/>
      <c r="G75" s="18"/>
    </row>
    <row r="76" spans="1:7" ht="12.75">
      <c r="A76" s="18"/>
      <c r="B76" s="18"/>
      <c r="C76" s="18"/>
      <c r="D76" s="18"/>
      <c r="E76" s="18"/>
      <c r="F76" s="18"/>
      <c r="G76" s="18"/>
    </row>
    <row r="77" spans="1:7" ht="12.75">
      <c r="A77" s="18"/>
      <c r="B77" s="18"/>
      <c r="C77" s="18"/>
      <c r="D77" s="18"/>
      <c r="E77" s="18"/>
      <c r="F77" s="18"/>
      <c r="G77" s="18"/>
    </row>
    <row r="78" spans="1:7" ht="12.75">
      <c r="A78" s="18"/>
      <c r="B78" s="18"/>
      <c r="C78" s="18"/>
      <c r="D78" s="18"/>
      <c r="E78" s="18"/>
      <c r="F78" s="18"/>
      <c r="G78" s="18"/>
    </row>
    <row r="79" spans="1:7" ht="12.75">
      <c r="A79" s="18"/>
      <c r="B79" s="18"/>
      <c r="C79" s="18"/>
      <c r="D79" s="18"/>
      <c r="E79" s="18"/>
      <c r="F79" s="18"/>
      <c r="G79" s="18"/>
    </row>
    <row r="80" spans="1:7" ht="12.75">
      <c r="A80" s="18"/>
      <c r="B80" s="18"/>
      <c r="C80" s="18"/>
      <c r="D80" s="18"/>
      <c r="E80" s="18"/>
      <c r="F80" s="18"/>
      <c r="G80" s="18"/>
    </row>
    <row r="81" spans="1:7" ht="12.75">
      <c r="A81" s="18"/>
      <c r="B81" s="18"/>
      <c r="C81" s="18"/>
      <c r="D81" s="18"/>
      <c r="E81" s="18"/>
      <c r="F81" s="18"/>
      <c r="G81" s="18"/>
    </row>
    <row r="82" spans="1:7" ht="12.75">
      <c r="A82" s="18"/>
      <c r="B82" s="18"/>
      <c r="C82" s="18"/>
      <c r="D82" s="18"/>
      <c r="E82" s="18"/>
      <c r="F82" s="18"/>
      <c r="G82" s="18"/>
    </row>
    <row r="83" spans="1:7" ht="12.75">
      <c r="A83" s="18"/>
      <c r="B83" s="18"/>
      <c r="C83" s="18"/>
      <c r="D83" s="18"/>
      <c r="E83" s="18"/>
      <c r="F83" s="18"/>
      <c r="G83" s="18"/>
    </row>
    <row r="84" spans="1:7" ht="12.75">
      <c r="A84" s="18"/>
      <c r="B84" s="18"/>
      <c r="C84" s="18"/>
      <c r="D84" s="18"/>
      <c r="E84" s="18"/>
      <c r="F84" s="18"/>
      <c r="G84" s="18"/>
    </row>
    <row r="85" spans="1:7" ht="12.75">
      <c r="A85" s="18"/>
      <c r="B85" s="18"/>
      <c r="C85" s="18"/>
      <c r="D85" s="18"/>
      <c r="E85" s="18"/>
      <c r="F85" s="18"/>
      <c r="G85" s="18"/>
    </row>
    <row r="86" spans="1:7" ht="12.75">
      <c r="A86" s="18"/>
      <c r="B86" s="18"/>
      <c r="C86" s="18"/>
      <c r="D86" s="18"/>
      <c r="E86" s="18"/>
      <c r="F86" s="18"/>
      <c r="G86" s="18"/>
    </row>
    <row r="87" spans="1:7" ht="12.75">
      <c r="A87" s="18"/>
      <c r="B87" s="18"/>
      <c r="C87" s="18"/>
      <c r="D87" s="18"/>
      <c r="E87" s="18"/>
      <c r="F87" s="18"/>
      <c r="G87" s="18"/>
    </row>
    <row r="88" spans="1:7" ht="12.75">
      <c r="A88" s="18"/>
      <c r="B88" s="18"/>
      <c r="C88" s="18"/>
      <c r="D88" s="18"/>
      <c r="E88" s="18"/>
      <c r="F88" s="18"/>
      <c r="G88" s="18"/>
    </row>
  </sheetData>
  <sheetProtection/>
  <mergeCells count="20">
    <mergeCell ref="B3:D3"/>
    <mergeCell ref="E3:G3"/>
    <mergeCell ref="I3:K3"/>
    <mergeCell ref="L3:M3"/>
    <mergeCell ref="D22:F22"/>
    <mergeCell ref="A43:A44"/>
    <mergeCell ref="B43:B44"/>
    <mergeCell ref="C43:C44"/>
    <mergeCell ref="D43:D44"/>
    <mergeCell ref="E43:E44"/>
    <mergeCell ref="L43:O43"/>
    <mergeCell ref="A45:A59"/>
    <mergeCell ref="B62:I62"/>
    <mergeCell ref="A63:A64"/>
    <mergeCell ref="F43:F44"/>
    <mergeCell ref="G43:G44"/>
    <mergeCell ref="H43:H44"/>
    <mergeCell ref="I43:I44"/>
    <mergeCell ref="J43:J44"/>
    <mergeCell ref="K43:K44"/>
  </mergeCells>
  <printOptions/>
  <pageMargins left="0.75" right="0.75" top="1" bottom="1" header="0.5" footer="0.5"/>
  <pageSetup orientation="portrait" paperSize="9" r:id="rId1"/>
  <ignoredErrors>
    <ignoredError sqref="H20" formula="1"/>
    <ignoredError sqref="J63:K6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U86"/>
  <sheetViews>
    <sheetView zoomScalePageLayoutView="0" workbookViewId="0" topLeftCell="A1">
      <selection activeCell="A41" sqref="A41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7.7109375" style="2" customWidth="1"/>
    <col min="6" max="6" width="16.8515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6.7109375" style="2" customWidth="1"/>
    <col min="13" max="13" width="25.421875" style="2" customWidth="1"/>
    <col min="14" max="14" width="20.421875" style="2" customWidth="1"/>
    <col min="15" max="15" width="16.7109375" style="2" customWidth="1"/>
    <col min="16" max="16" width="16.00390625" style="2" customWidth="1"/>
    <col min="17" max="17" width="13.8515625" style="2" customWidth="1"/>
    <col min="18" max="18" width="16.00390625" style="2" customWidth="1"/>
    <col min="19" max="16384" width="16.00390625" style="2" customWidth="1"/>
  </cols>
  <sheetData>
    <row r="1" spans="19:27" ht="12.75">
      <c r="S1" s="18"/>
      <c r="T1" s="18"/>
      <c r="U1" s="18"/>
      <c r="V1" s="18"/>
      <c r="W1" s="18"/>
      <c r="X1" s="18"/>
      <c r="Y1" s="18"/>
      <c r="Z1" s="18"/>
      <c r="AA1" s="18"/>
    </row>
    <row r="2" spans="1:27" ht="17.25" customHeight="1" hidden="1">
      <c r="A2" s="203" t="s">
        <v>98</v>
      </c>
      <c r="B2" s="189" t="str">
        <f>A4</f>
        <v>CAMBIOS Verrugas AG, mujeres 30-39 años, tras 3 a 8 años de vacunación</v>
      </c>
      <c r="C2" s="190"/>
      <c r="D2" s="191"/>
      <c r="E2" s="191"/>
      <c r="F2" s="191"/>
      <c r="G2" s="191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</row>
    <row r="3" spans="1:27" ht="25.5" hidden="1">
      <c r="A3" s="21" t="s">
        <v>16</v>
      </c>
      <c r="B3" s="260" t="s">
        <v>17</v>
      </c>
      <c r="C3" s="260"/>
      <c r="D3" s="260"/>
      <c r="E3" s="260" t="s">
        <v>18</v>
      </c>
      <c r="F3" s="260"/>
      <c r="G3" s="260"/>
      <c r="H3" s="130" t="s">
        <v>23</v>
      </c>
      <c r="I3" s="261" t="s">
        <v>24</v>
      </c>
      <c r="J3" s="262"/>
      <c r="K3" s="263"/>
      <c r="L3" s="261" t="s">
        <v>25</v>
      </c>
      <c r="M3" s="263"/>
      <c r="N3" s="131" t="s">
        <v>26</v>
      </c>
      <c r="O3" s="17"/>
      <c r="S3" s="18"/>
      <c r="T3" s="18"/>
      <c r="V3" s="18"/>
      <c r="W3" s="18"/>
      <c r="X3" s="18"/>
      <c r="Y3" s="18"/>
      <c r="Z3" s="18"/>
      <c r="AA3" s="18"/>
    </row>
    <row r="4" spans="1:27" ht="38.25" hidden="1">
      <c r="A4" s="22" t="s">
        <v>327</v>
      </c>
      <c r="B4" s="121" t="s">
        <v>19</v>
      </c>
      <c r="C4" s="121" t="s">
        <v>20</v>
      </c>
      <c r="D4" s="121" t="s">
        <v>1</v>
      </c>
      <c r="E4" s="121" t="s">
        <v>19</v>
      </c>
      <c r="F4" s="121" t="s">
        <v>20</v>
      </c>
      <c r="G4" s="121" t="s">
        <v>1</v>
      </c>
      <c r="H4" s="132" t="s">
        <v>27</v>
      </c>
      <c r="I4" s="54" t="s">
        <v>14</v>
      </c>
      <c r="J4" s="55" t="s">
        <v>15</v>
      </c>
      <c r="K4" s="54" t="s">
        <v>1</v>
      </c>
      <c r="L4" s="133" t="s">
        <v>14</v>
      </c>
      <c r="M4" s="134" t="s">
        <v>94</v>
      </c>
      <c r="N4" s="53" t="s">
        <v>27</v>
      </c>
      <c r="O4" s="17"/>
      <c r="P4" s="2" t="s">
        <v>10</v>
      </c>
      <c r="Q4" s="2" t="s">
        <v>10</v>
      </c>
      <c r="S4" s="18"/>
      <c r="T4" s="18"/>
      <c r="V4" s="18"/>
      <c r="W4" s="18"/>
      <c r="X4" s="18"/>
      <c r="Y4" s="18"/>
      <c r="Z4" s="18"/>
      <c r="AA4" s="18"/>
    </row>
    <row r="5" spans="1:27" ht="12.75" hidden="1">
      <c r="A5" s="25" t="s">
        <v>229</v>
      </c>
      <c r="B5" s="212">
        <v>328</v>
      </c>
      <c r="C5" s="122">
        <f>D5-B5</f>
        <v>238374</v>
      </c>
      <c r="D5" s="213">
        <v>238702</v>
      </c>
      <c r="E5" s="212">
        <v>307</v>
      </c>
      <c r="F5" s="122">
        <f>G5-E5</f>
        <v>231227</v>
      </c>
      <c r="G5" s="213">
        <v>231534</v>
      </c>
      <c r="H5" s="182">
        <v>3</v>
      </c>
      <c r="I5" s="136">
        <f aca="true" t="shared" si="0" ref="I5:I18">D5*H5</f>
        <v>716106</v>
      </c>
      <c r="J5" s="136">
        <f aca="true" t="shared" si="1" ref="J5:J18">G5*H5</f>
        <v>694602</v>
      </c>
      <c r="K5" s="136">
        <f>I5+J5</f>
        <v>1410708</v>
      </c>
      <c r="L5" s="137">
        <f aca="true" t="shared" si="2" ref="L5:L19">B5/I5</f>
        <v>0.0004580327493415779</v>
      </c>
      <c r="M5" s="137">
        <f aca="true" t="shared" si="3" ref="M5:M19">E5/J5</f>
        <v>0.00044197972364030046</v>
      </c>
      <c r="N5" s="207">
        <v>34.5</v>
      </c>
      <c r="O5" s="217">
        <f>N5*(D5+G5)</f>
        <v>16223142</v>
      </c>
      <c r="P5" s="56" t="str">
        <f aca="true" t="shared" si="4" ref="P5:P19">CONCATENATE(B5," ",$P$4," ",D5)</f>
        <v>328 / 238702</v>
      </c>
      <c r="Q5" s="56" t="str">
        <f aca="true" t="shared" si="5" ref="Q5:Q19">CONCATENATE(E5," ",$Q$4," ",G5)</f>
        <v>307 / 231534</v>
      </c>
      <c r="S5" s="18"/>
      <c r="T5" s="18"/>
      <c r="V5" s="18"/>
      <c r="W5" s="18"/>
      <c r="X5" s="18"/>
      <c r="Y5" s="18"/>
      <c r="Z5" s="18"/>
      <c r="AA5" s="18"/>
    </row>
    <row r="6" spans="1:27" ht="12.75" hidden="1">
      <c r="A6" s="25" t="s">
        <v>230</v>
      </c>
      <c r="B6" s="212">
        <v>183</v>
      </c>
      <c r="C6" s="122">
        <f aca="true" t="shared" si="6" ref="C6:C18">D6-B6</f>
        <v>966020</v>
      </c>
      <c r="D6" s="213">
        <v>966203</v>
      </c>
      <c r="E6" s="212">
        <v>348</v>
      </c>
      <c r="F6" s="122">
        <f aca="true" t="shared" si="7" ref="F6:F18">G6-E6</f>
        <v>1149703</v>
      </c>
      <c r="G6" s="213">
        <v>1150051</v>
      </c>
      <c r="H6" s="182">
        <v>7</v>
      </c>
      <c r="I6" s="136">
        <f t="shared" si="0"/>
        <v>6763421</v>
      </c>
      <c r="J6" s="136">
        <f t="shared" si="1"/>
        <v>8050357</v>
      </c>
      <c r="K6" s="136">
        <f aca="true" t="shared" si="8" ref="K6:K18">I6+J6</f>
        <v>14813778</v>
      </c>
      <c r="L6" s="137">
        <f t="shared" si="2"/>
        <v>2.705731315557615E-05</v>
      </c>
      <c r="M6" s="137">
        <f t="shared" si="3"/>
        <v>4.322789660135569E-05</v>
      </c>
      <c r="N6" s="207">
        <v>34.5</v>
      </c>
      <c r="O6" s="217">
        <f aca="true" t="shared" si="9" ref="O6:O18">N6*(D6+G6)</f>
        <v>73010763</v>
      </c>
      <c r="P6" s="56" t="str">
        <f t="shared" si="4"/>
        <v>183 / 966203</v>
      </c>
      <c r="Q6" s="56" t="str">
        <f t="shared" si="5"/>
        <v>348 / 1150051</v>
      </c>
      <c r="S6" s="18"/>
      <c r="T6" s="18"/>
      <c r="V6" s="18"/>
      <c r="W6" s="18"/>
      <c r="X6" s="18"/>
      <c r="Y6" s="18"/>
      <c r="Z6" s="18"/>
      <c r="AA6" s="18"/>
    </row>
    <row r="7" spans="1:27" ht="12.75" hidden="1">
      <c r="A7" s="25" t="s">
        <v>231</v>
      </c>
      <c r="B7" s="212">
        <v>2701</v>
      </c>
      <c r="C7" s="122">
        <f t="shared" si="6"/>
        <v>1185561</v>
      </c>
      <c r="D7" s="213">
        <v>1188262</v>
      </c>
      <c r="E7" s="212">
        <v>1304</v>
      </c>
      <c r="F7" s="122">
        <f t="shared" si="7"/>
        <v>607969</v>
      </c>
      <c r="G7" s="213">
        <v>609273</v>
      </c>
      <c r="H7" s="182">
        <v>6</v>
      </c>
      <c r="I7" s="136">
        <f t="shared" si="0"/>
        <v>7129572</v>
      </c>
      <c r="J7" s="136">
        <f t="shared" si="1"/>
        <v>3655638</v>
      </c>
      <c r="K7" s="136">
        <f t="shared" si="8"/>
        <v>10785210</v>
      </c>
      <c r="L7" s="137">
        <f t="shared" si="2"/>
        <v>0.000378844620686908</v>
      </c>
      <c r="M7" s="137">
        <f t="shared" si="3"/>
        <v>0.000356709280295259</v>
      </c>
      <c r="N7" s="207">
        <v>34.5</v>
      </c>
      <c r="O7" s="217">
        <f t="shared" si="9"/>
        <v>62014957.5</v>
      </c>
      <c r="P7" s="56" t="str">
        <f t="shared" si="4"/>
        <v>2701 / 1188262</v>
      </c>
      <c r="Q7" s="56" t="str">
        <f t="shared" si="5"/>
        <v>1304 / 609273</v>
      </c>
      <c r="S7" s="18"/>
      <c r="T7" s="18"/>
      <c r="V7" s="18"/>
      <c r="W7" s="18"/>
      <c r="X7" s="18"/>
      <c r="Y7" s="18"/>
      <c r="Z7" s="18"/>
      <c r="AA7" s="18"/>
    </row>
    <row r="8" spans="1:27" ht="12.75" hidden="1">
      <c r="A8" s="25" t="s">
        <v>232</v>
      </c>
      <c r="B8" s="212">
        <v>3305</v>
      </c>
      <c r="C8" s="122">
        <f t="shared" si="6"/>
        <v>1206695</v>
      </c>
      <c r="D8" s="213">
        <v>1210000</v>
      </c>
      <c r="E8" s="212">
        <v>3095</v>
      </c>
      <c r="F8" s="122">
        <f t="shared" si="7"/>
        <v>1198905</v>
      </c>
      <c r="G8" s="213">
        <v>1202000</v>
      </c>
      <c r="H8" s="182">
        <v>3</v>
      </c>
      <c r="I8" s="136">
        <f t="shared" si="0"/>
        <v>3630000</v>
      </c>
      <c r="J8" s="136">
        <f t="shared" si="1"/>
        <v>3606000</v>
      </c>
      <c r="K8" s="136">
        <f t="shared" si="8"/>
        <v>7236000</v>
      </c>
      <c r="L8" s="137">
        <f t="shared" si="2"/>
        <v>0.0009104683195592287</v>
      </c>
      <c r="M8" s="137">
        <f t="shared" si="3"/>
        <v>0.000858291735995563</v>
      </c>
      <c r="N8" s="207">
        <v>34.5</v>
      </c>
      <c r="O8" s="217">
        <f t="shared" si="9"/>
        <v>83214000</v>
      </c>
      <c r="P8" s="56" t="str">
        <f t="shared" si="4"/>
        <v>3305 / 1210000</v>
      </c>
      <c r="Q8" s="56" t="str">
        <f t="shared" si="5"/>
        <v>3095 / 1202000</v>
      </c>
      <c r="S8" s="18"/>
      <c r="T8" s="18"/>
      <c r="V8" s="18"/>
      <c r="W8" s="18"/>
      <c r="X8" s="18"/>
      <c r="Y8" s="18"/>
      <c r="Z8" s="18"/>
      <c r="AA8" s="18"/>
    </row>
    <row r="9" spans="1:27" ht="12.75" hidden="1">
      <c r="A9" s="25" t="s">
        <v>233</v>
      </c>
      <c r="B9" s="212">
        <v>22476</v>
      </c>
      <c r="C9" s="122">
        <f t="shared" si="6"/>
        <v>10446176</v>
      </c>
      <c r="D9" s="213">
        <v>10468652</v>
      </c>
      <c r="E9" s="212">
        <v>4004</v>
      </c>
      <c r="F9" s="122">
        <f t="shared" si="7"/>
        <v>2869194</v>
      </c>
      <c r="G9" s="213">
        <v>2873198</v>
      </c>
      <c r="H9" s="182">
        <v>8</v>
      </c>
      <c r="I9" s="136">
        <f t="shared" si="0"/>
        <v>83749216</v>
      </c>
      <c r="J9" s="136">
        <f t="shared" si="1"/>
        <v>22985584</v>
      </c>
      <c r="K9" s="136">
        <f t="shared" si="8"/>
        <v>106734800</v>
      </c>
      <c r="L9" s="137">
        <f t="shared" si="2"/>
        <v>0.00026837266154228835</v>
      </c>
      <c r="M9" s="137">
        <f t="shared" si="3"/>
        <v>0.00017419613963256275</v>
      </c>
      <c r="N9" s="207">
        <v>34.5</v>
      </c>
      <c r="O9" s="217">
        <f t="shared" si="9"/>
        <v>460293825</v>
      </c>
      <c r="P9" s="56" t="str">
        <f t="shared" si="4"/>
        <v>22476 / 10468652</v>
      </c>
      <c r="Q9" s="56" t="str">
        <f t="shared" si="5"/>
        <v>4004 / 2873198</v>
      </c>
      <c r="S9" s="18"/>
      <c r="T9" s="18"/>
      <c r="V9" s="18"/>
      <c r="W9" s="18"/>
      <c r="X9" s="18"/>
      <c r="Y9" s="18"/>
      <c r="Z9" s="18"/>
      <c r="AA9" s="18"/>
    </row>
    <row r="10" spans="1:27" ht="12.75" hidden="1">
      <c r="A10" s="25" t="s">
        <v>234</v>
      </c>
      <c r="B10" s="212">
        <v>5555</v>
      </c>
      <c r="C10" s="122">
        <f t="shared" si="6"/>
        <v>1257204</v>
      </c>
      <c r="D10" s="213">
        <v>1262759</v>
      </c>
      <c r="E10" s="212">
        <v>1568</v>
      </c>
      <c r="F10" s="122">
        <f t="shared" si="7"/>
        <v>399978</v>
      </c>
      <c r="G10" s="213">
        <v>401546</v>
      </c>
      <c r="H10" s="182">
        <v>4</v>
      </c>
      <c r="I10" s="136">
        <f t="shared" si="0"/>
        <v>5051036</v>
      </c>
      <c r="J10" s="136">
        <f t="shared" si="1"/>
        <v>1606184</v>
      </c>
      <c r="K10" s="136">
        <f t="shared" si="8"/>
        <v>6657220</v>
      </c>
      <c r="L10" s="137">
        <f t="shared" si="2"/>
        <v>0.0010997743829186724</v>
      </c>
      <c r="M10" s="137">
        <f t="shared" si="3"/>
        <v>0.0009762268830968308</v>
      </c>
      <c r="N10" s="207">
        <v>34.5</v>
      </c>
      <c r="O10" s="217">
        <f t="shared" si="9"/>
        <v>57418522.5</v>
      </c>
      <c r="P10" s="56" t="str">
        <f t="shared" si="4"/>
        <v>5555 / 1262759</v>
      </c>
      <c r="Q10" s="56" t="str">
        <f t="shared" si="5"/>
        <v>1568 / 401546</v>
      </c>
      <c r="S10" s="18"/>
      <c r="T10" s="18"/>
      <c r="V10" s="18"/>
      <c r="W10" s="18"/>
      <c r="X10" s="18"/>
      <c r="Y10" s="18"/>
      <c r="Z10" s="18"/>
      <c r="AA10" s="18"/>
    </row>
    <row r="11" spans="1:27" ht="12.75" hidden="1">
      <c r="A11" s="25" t="s">
        <v>235</v>
      </c>
      <c r="B11" s="212">
        <v>313</v>
      </c>
      <c r="C11" s="122">
        <f t="shared" si="6"/>
        <v>295512</v>
      </c>
      <c r="D11" s="213">
        <v>295825</v>
      </c>
      <c r="E11" s="212">
        <v>262</v>
      </c>
      <c r="F11" s="122">
        <f t="shared" si="7"/>
        <v>242245</v>
      </c>
      <c r="G11" s="213">
        <v>242507</v>
      </c>
      <c r="H11" s="182">
        <v>6</v>
      </c>
      <c r="I11" s="136">
        <f t="shared" si="0"/>
        <v>1774950</v>
      </c>
      <c r="J11" s="136">
        <f t="shared" si="1"/>
        <v>1455042</v>
      </c>
      <c r="K11" s="136">
        <f t="shared" si="8"/>
        <v>3229992</v>
      </c>
      <c r="L11" s="137">
        <f t="shared" si="2"/>
        <v>0.0001763429955773402</v>
      </c>
      <c r="M11" s="137">
        <f t="shared" si="3"/>
        <v>0.000180063530812169</v>
      </c>
      <c r="N11" s="207">
        <v>34.5</v>
      </c>
      <c r="O11" s="217">
        <f t="shared" si="9"/>
        <v>18572454</v>
      </c>
      <c r="P11" s="56" t="str">
        <f t="shared" si="4"/>
        <v>313 / 295825</v>
      </c>
      <c r="Q11" s="56" t="str">
        <f t="shared" si="5"/>
        <v>262 / 242507</v>
      </c>
      <c r="S11" s="18"/>
      <c r="T11" s="18"/>
      <c r="V11" s="18"/>
      <c r="W11" s="18"/>
      <c r="X11" s="18"/>
      <c r="Y11" s="18"/>
      <c r="Z11" s="18"/>
      <c r="AA11" s="18"/>
    </row>
    <row r="12" spans="1:27" ht="12.75" hidden="1">
      <c r="A12" s="25" t="s">
        <v>236</v>
      </c>
      <c r="B12" s="212">
        <v>43</v>
      </c>
      <c r="C12" s="122">
        <f t="shared" si="6"/>
        <v>563</v>
      </c>
      <c r="D12" s="213">
        <v>606</v>
      </c>
      <c r="E12" s="212">
        <v>99</v>
      </c>
      <c r="F12" s="122">
        <f t="shared" si="7"/>
        <v>929</v>
      </c>
      <c r="G12" s="213">
        <v>1028</v>
      </c>
      <c r="H12" s="182">
        <v>5</v>
      </c>
      <c r="I12" s="136">
        <f t="shared" si="0"/>
        <v>3030</v>
      </c>
      <c r="J12" s="136">
        <f t="shared" si="1"/>
        <v>5140</v>
      </c>
      <c r="K12" s="136">
        <f t="shared" si="8"/>
        <v>8170</v>
      </c>
      <c r="L12" s="137">
        <f t="shared" si="2"/>
        <v>0.01419141914191419</v>
      </c>
      <c r="M12" s="137">
        <f t="shared" si="3"/>
        <v>0.01926070038910506</v>
      </c>
      <c r="N12" s="207">
        <v>34.5</v>
      </c>
      <c r="O12" s="217">
        <f t="shared" si="9"/>
        <v>56373</v>
      </c>
      <c r="P12" s="56" t="str">
        <f t="shared" si="4"/>
        <v>43 / 606</v>
      </c>
      <c r="Q12" s="56" t="str">
        <f t="shared" si="5"/>
        <v>99 / 1028</v>
      </c>
      <c r="S12" s="18"/>
      <c r="T12" s="18"/>
      <c r="V12" s="18"/>
      <c r="W12" s="18"/>
      <c r="X12" s="18"/>
      <c r="Y12" s="18"/>
      <c r="Z12" s="18"/>
      <c r="AA12" s="18"/>
    </row>
    <row r="13" spans="1:27" ht="12.75" hidden="1">
      <c r="A13" s="25" t="s">
        <v>237</v>
      </c>
      <c r="B13" s="212">
        <v>2206</v>
      </c>
      <c r="C13" s="122">
        <f t="shared" si="6"/>
        <v>5345019</v>
      </c>
      <c r="D13" s="213">
        <v>5347225</v>
      </c>
      <c r="E13" s="212">
        <v>2113</v>
      </c>
      <c r="F13" s="122">
        <f t="shared" si="7"/>
        <v>4686995</v>
      </c>
      <c r="G13" s="213">
        <v>4689108</v>
      </c>
      <c r="H13" s="182">
        <v>4</v>
      </c>
      <c r="I13" s="136">
        <f t="shared" si="0"/>
        <v>21388900</v>
      </c>
      <c r="J13" s="136">
        <f t="shared" si="1"/>
        <v>18756432</v>
      </c>
      <c r="K13" s="136">
        <f t="shared" si="8"/>
        <v>40145332</v>
      </c>
      <c r="L13" s="137">
        <f t="shared" si="2"/>
        <v>0.00010313760875968376</v>
      </c>
      <c r="M13" s="137">
        <f t="shared" si="3"/>
        <v>0.00011265468826906951</v>
      </c>
      <c r="N13" s="207">
        <v>34.5</v>
      </c>
      <c r="O13" s="217">
        <f t="shared" si="9"/>
        <v>346253488.5</v>
      </c>
      <c r="P13" s="56" t="str">
        <f t="shared" si="4"/>
        <v>2206 / 5347225</v>
      </c>
      <c r="Q13" s="56" t="str">
        <f t="shared" si="5"/>
        <v>2113 / 4689108</v>
      </c>
      <c r="S13" s="18"/>
      <c r="T13" s="18"/>
      <c r="V13" s="18"/>
      <c r="W13" s="18"/>
      <c r="X13" s="18"/>
      <c r="Y13" s="18"/>
      <c r="Z13" s="18"/>
      <c r="AA13" s="18"/>
    </row>
    <row r="14" spans="1:27" ht="12.75" hidden="1">
      <c r="A14" s="25" t="s">
        <v>238</v>
      </c>
      <c r="B14" s="212">
        <v>4653</v>
      </c>
      <c r="C14" s="122">
        <f t="shared" si="6"/>
        <v>1436259</v>
      </c>
      <c r="D14" s="213">
        <v>1440912</v>
      </c>
      <c r="E14" s="212">
        <v>3784</v>
      </c>
      <c r="F14" s="122">
        <f t="shared" si="7"/>
        <v>1122486</v>
      </c>
      <c r="G14" s="213">
        <v>1126270</v>
      </c>
      <c r="H14" s="182">
        <v>4</v>
      </c>
      <c r="I14" s="136">
        <f t="shared" si="0"/>
        <v>5763648</v>
      </c>
      <c r="J14" s="136">
        <f t="shared" si="1"/>
        <v>4505080</v>
      </c>
      <c r="K14" s="136">
        <f t="shared" si="8"/>
        <v>10268728</v>
      </c>
      <c r="L14" s="137">
        <f t="shared" si="2"/>
        <v>0.0008073012092341517</v>
      </c>
      <c r="M14" s="137">
        <f t="shared" si="3"/>
        <v>0.0008399406891775507</v>
      </c>
      <c r="N14" s="207">
        <v>34.5</v>
      </c>
      <c r="O14" s="217">
        <f t="shared" si="9"/>
        <v>88567779</v>
      </c>
      <c r="P14" s="56" t="str">
        <f t="shared" si="4"/>
        <v>4653 / 1440912</v>
      </c>
      <c r="Q14" s="56" t="str">
        <f t="shared" si="5"/>
        <v>3784 / 1126270</v>
      </c>
      <c r="S14" s="18"/>
      <c r="T14" s="18"/>
      <c r="V14" s="18"/>
      <c r="W14" s="18"/>
      <c r="X14" s="18"/>
      <c r="Y14" s="18"/>
      <c r="Z14" s="18"/>
      <c r="AA14" s="18"/>
    </row>
    <row r="15" spans="1:27" ht="12.75" hidden="1">
      <c r="A15" s="25" t="s">
        <v>239</v>
      </c>
      <c r="B15" s="212">
        <v>48</v>
      </c>
      <c r="C15" s="122">
        <f t="shared" si="6"/>
        <v>577</v>
      </c>
      <c r="D15" s="213">
        <v>625</v>
      </c>
      <c r="E15" s="212">
        <v>172</v>
      </c>
      <c r="F15" s="122">
        <f t="shared" si="7"/>
        <v>2899</v>
      </c>
      <c r="G15" s="213">
        <v>3071</v>
      </c>
      <c r="H15" s="182">
        <v>4</v>
      </c>
      <c r="I15" s="136">
        <f t="shared" si="0"/>
        <v>2500</v>
      </c>
      <c r="J15" s="136">
        <f t="shared" si="1"/>
        <v>12284</v>
      </c>
      <c r="K15" s="136">
        <f t="shared" si="8"/>
        <v>14784</v>
      </c>
      <c r="L15" s="137">
        <f t="shared" si="2"/>
        <v>0.0192</v>
      </c>
      <c r="M15" s="137">
        <f t="shared" si="3"/>
        <v>0.014001953760989906</v>
      </c>
      <c r="N15" s="207">
        <v>34.5</v>
      </c>
      <c r="O15" s="217">
        <f t="shared" si="9"/>
        <v>127512</v>
      </c>
      <c r="P15" s="56" t="str">
        <f t="shared" si="4"/>
        <v>48 / 625</v>
      </c>
      <c r="Q15" s="56" t="str">
        <f t="shared" si="5"/>
        <v>172 / 3071</v>
      </c>
      <c r="S15" s="18"/>
      <c r="T15" s="18"/>
      <c r="V15" s="18"/>
      <c r="W15" s="18"/>
      <c r="X15" s="18"/>
      <c r="Y15" s="18"/>
      <c r="Z15" s="18"/>
      <c r="AA15" s="18"/>
    </row>
    <row r="16" spans="1:27" ht="12.75" hidden="1">
      <c r="A16" s="25" t="s">
        <v>240</v>
      </c>
      <c r="B16" s="212">
        <v>21</v>
      </c>
      <c r="C16" s="122">
        <f t="shared" si="6"/>
        <v>27185</v>
      </c>
      <c r="D16" s="213">
        <v>27206</v>
      </c>
      <c r="E16" s="212">
        <v>29</v>
      </c>
      <c r="F16" s="122">
        <f t="shared" si="7"/>
        <v>22375</v>
      </c>
      <c r="G16" s="213">
        <v>22404</v>
      </c>
      <c r="H16" s="182">
        <v>8</v>
      </c>
      <c r="I16" s="136">
        <f t="shared" si="0"/>
        <v>217648</v>
      </c>
      <c r="J16" s="136">
        <f t="shared" si="1"/>
        <v>179232</v>
      </c>
      <c r="K16" s="136">
        <f t="shared" si="8"/>
        <v>396880</v>
      </c>
      <c r="L16" s="137">
        <f t="shared" si="2"/>
        <v>9.648606924943027E-05</v>
      </c>
      <c r="M16" s="137">
        <f t="shared" si="3"/>
        <v>0.00016180146402428137</v>
      </c>
      <c r="N16" s="207">
        <v>34.5</v>
      </c>
      <c r="O16" s="217">
        <f t="shared" si="9"/>
        <v>1711545</v>
      </c>
      <c r="P16" s="56" t="str">
        <f t="shared" si="4"/>
        <v>21 / 27206</v>
      </c>
      <c r="Q16" s="56" t="str">
        <f t="shared" si="5"/>
        <v>29 / 22404</v>
      </c>
      <c r="S16" s="18"/>
      <c r="T16" s="18"/>
      <c r="V16" s="18"/>
      <c r="W16" s="18"/>
      <c r="X16" s="18"/>
      <c r="Y16" s="18"/>
      <c r="Z16" s="18"/>
      <c r="AA16" s="18"/>
    </row>
    <row r="17" spans="1:27" ht="12.75" hidden="1">
      <c r="A17" s="25" t="s">
        <v>241</v>
      </c>
      <c r="B17" s="212">
        <v>2835</v>
      </c>
      <c r="C17" s="122">
        <f t="shared" si="6"/>
        <v>21291102</v>
      </c>
      <c r="D17" s="213">
        <v>21293937</v>
      </c>
      <c r="E17" s="212">
        <v>2262</v>
      </c>
      <c r="F17" s="122">
        <f t="shared" si="7"/>
        <v>15053429</v>
      </c>
      <c r="G17" s="213">
        <v>15055691</v>
      </c>
      <c r="H17" s="182">
        <v>4</v>
      </c>
      <c r="I17" s="136">
        <f t="shared" si="0"/>
        <v>85175748</v>
      </c>
      <c r="J17" s="136">
        <f t="shared" si="1"/>
        <v>60222764</v>
      </c>
      <c r="K17" s="136">
        <f t="shared" si="8"/>
        <v>145398512</v>
      </c>
      <c r="L17" s="137">
        <f t="shared" si="2"/>
        <v>3.32841221423732E-05</v>
      </c>
      <c r="M17" s="137">
        <f t="shared" si="3"/>
        <v>3.7560547702526574E-05</v>
      </c>
      <c r="N17" s="207">
        <v>34.5</v>
      </c>
      <c r="O17" s="217">
        <f t="shared" si="9"/>
        <v>1254062166</v>
      </c>
      <c r="P17" s="56" t="str">
        <f t="shared" si="4"/>
        <v>2835 / 21293937</v>
      </c>
      <c r="Q17" s="56" t="str">
        <f t="shared" si="5"/>
        <v>2262 / 15055691</v>
      </c>
      <c r="S17" s="18"/>
      <c r="T17" s="18"/>
      <c r="V17" s="18"/>
      <c r="W17" s="18"/>
      <c r="X17" s="18"/>
      <c r="Y17" s="18"/>
      <c r="Z17" s="18"/>
      <c r="AA17" s="18"/>
    </row>
    <row r="18" spans="1:27" ht="12.75" hidden="1">
      <c r="A18" s="25" t="s">
        <v>242</v>
      </c>
      <c r="B18" s="212">
        <v>314</v>
      </c>
      <c r="C18" s="122">
        <f t="shared" si="6"/>
        <v>5852</v>
      </c>
      <c r="D18" s="213">
        <v>6166</v>
      </c>
      <c r="E18" s="212">
        <v>413</v>
      </c>
      <c r="F18" s="122">
        <f t="shared" si="7"/>
        <v>5665</v>
      </c>
      <c r="G18" s="213">
        <v>6078</v>
      </c>
      <c r="H18" s="182">
        <v>8</v>
      </c>
      <c r="I18" s="136">
        <f t="shared" si="0"/>
        <v>49328</v>
      </c>
      <c r="J18" s="136">
        <f t="shared" si="1"/>
        <v>48624</v>
      </c>
      <c r="K18" s="136">
        <f t="shared" si="8"/>
        <v>97952</v>
      </c>
      <c r="L18" s="137">
        <f t="shared" si="2"/>
        <v>0.006365553032760298</v>
      </c>
      <c r="M18" s="137">
        <f t="shared" si="3"/>
        <v>0.008493747943402435</v>
      </c>
      <c r="N18" s="207">
        <v>34.5</v>
      </c>
      <c r="O18" s="217">
        <f t="shared" si="9"/>
        <v>422418</v>
      </c>
      <c r="P18" s="56" t="str">
        <f t="shared" si="4"/>
        <v>314 / 6166</v>
      </c>
      <c r="Q18" s="56" t="str">
        <f t="shared" si="5"/>
        <v>413 / 6078</v>
      </c>
      <c r="S18" s="18"/>
      <c r="T18" s="18"/>
      <c r="V18" s="18"/>
      <c r="W18" s="18"/>
      <c r="X18" s="18"/>
      <c r="Y18" s="18"/>
      <c r="Z18" s="18"/>
      <c r="AA18" s="18"/>
    </row>
    <row r="19" spans="1:27" ht="12.75" hidden="1">
      <c r="A19" s="140">
        <f>COUNT(D5:D18)</f>
        <v>14</v>
      </c>
      <c r="B19" s="141">
        <f>SUM(B5:B18)</f>
        <v>44981</v>
      </c>
      <c r="C19" s="142">
        <v>23009</v>
      </c>
      <c r="D19" s="141">
        <f>SUM(D5:D18)</f>
        <v>43747080</v>
      </c>
      <c r="E19" s="141">
        <f>SUM(E5:E18)</f>
        <v>19760</v>
      </c>
      <c r="F19" s="142">
        <v>28669.98</v>
      </c>
      <c r="G19" s="141">
        <f>SUM(G5:G18)</f>
        <v>27613759</v>
      </c>
      <c r="H19" s="143">
        <f>K19/(D19+G19)</f>
        <v>4.865386546254031</v>
      </c>
      <c r="I19" s="144">
        <f>SUM(I5:I18)</f>
        <v>221415103</v>
      </c>
      <c r="J19" s="144">
        <f>SUM(J5:J18)</f>
        <v>125782963</v>
      </c>
      <c r="K19" s="144">
        <f>SUM(K5:K18)</f>
        <v>347198066</v>
      </c>
      <c r="L19" s="145">
        <f t="shared" si="2"/>
        <v>0.00020315235677486734</v>
      </c>
      <c r="M19" s="145">
        <f t="shared" si="3"/>
        <v>0.0001570959971741165</v>
      </c>
      <c r="N19" s="146">
        <f>O19/(D19+G19)</f>
        <v>34.5</v>
      </c>
      <c r="O19" s="218">
        <f>SUM(O5:O18)</f>
        <v>2461948945.5</v>
      </c>
      <c r="P19" s="57" t="str">
        <f t="shared" si="4"/>
        <v>44981 / 43747080</v>
      </c>
      <c r="Q19" s="57" t="str">
        <f t="shared" si="5"/>
        <v>19760 / 27613759</v>
      </c>
      <c r="S19" s="18"/>
      <c r="T19" s="18"/>
      <c r="V19" s="18"/>
      <c r="W19" s="18"/>
      <c r="X19" s="18"/>
      <c r="Y19" s="18"/>
      <c r="Z19" s="18"/>
      <c r="AA19" s="18"/>
    </row>
    <row r="20" spans="2:27" ht="13.5" hidden="1" thickBot="1">
      <c r="B20" s="2"/>
      <c r="C20" s="2"/>
      <c r="E20" s="3"/>
      <c r="F20" s="26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3.5" hidden="1" thickBot="1">
      <c r="A21" s="18"/>
      <c r="B21" s="28" t="s">
        <v>51</v>
      </c>
      <c r="C21" s="192">
        <v>0.0007643327511213078</v>
      </c>
      <c r="D21" s="264" t="s">
        <v>13</v>
      </c>
      <c r="E21" s="265"/>
      <c r="F21" s="266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26.25" hidden="1" thickBot="1">
      <c r="A22" s="178">
        <f>I58</f>
        <v>0.0001570959971741165</v>
      </c>
      <c r="B22" s="179" t="s">
        <v>52</v>
      </c>
      <c r="C22" s="12"/>
      <c r="D22" s="10" t="s">
        <v>12</v>
      </c>
      <c r="E22" s="11" t="s">
        <v>21</v>
      </c>
      <c r="F22" s="10" t="s">
        <v>22</v>
      </c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3.5" hidden="1" thickBot="1">
      <c r="A23" s="180">
        <f>E58</f>
        <v>4.865386546254031</v>
      </c>
      <c r="B23" s="181" t="s">
        <v>53</v>
      </c>
      <c r="C23" s="12"/>
      <c r="D23" s="193">
        <v>0.9655005152799188</v>
      </c>
      <c r="E23" s="194">
        <v>0.844622934020979</v>
      </c>
      <c r="F23" s="195">
        <v>1.1036801141028971</v>
      </c>
      <c r="G23" s="12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2.75" hidden="1">
      <c r="A24" s="30"/>
      <c r="B24" s="29"/>
      <c r="C24" s="18"/>
      <c r="D24" s="18"/>
      <c r="E24" s="18"/>
      <c r="F24" s="18"/>
      <c r="G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3.5" hidden="1" thickBot="1">
      <c r="A25" s="30"/>
      <c r="B25" s="31"/>
      <c r="C25" s="32"/>
      <c r="D25" s="33">
        <f>C21*D23</f>
        <v>0.0007379636650529406</v>
      </c>
      <c r="E25" s="34">
        <f>C21*E23</f>
        <v>0.0006455729708204057</v>
      </c>
      <c r="F25" s="35">
        <f>C21*F23</f>
        <v>0.0008435788579701462</v>
      </c>
      <c r="G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2.75" hidden="1">
      <c r="A26" s="30"/>
      <c r="B26" s="29"/>
      <c r="C26" s="18"/>
      <c r="D26" s="18"/>
      <c r="E26" s="18"/>
      <c r="F26" s="18"/>
      <c r="G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3.5" hidden="1" thickBot="1">
      <c r="A27" s="30"/>
      <c r="B27" s="36"/>
      <c r="C27" s="37" t="s">
        <v>2</v>
      </c>
      <c r="D27" s="38">
        <f>C21-D25</f>
        <v>2.6369086068367214E-05</v>
      </c>
      <c r="E27" s="39">
        <f>C21-F25</f>
        <v>-7.924610684883842E-05</v>
      </c>
      <c r="F27" s="40">
        <f>C21-E25</f>
        <v>0.00011875978030090209</v>
      </c>
      <c r="G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3.5" hidden="1" thickBot="1">
      <c r="A28" s="30"/>
      <c r="B28" s="41"/>
      <c r="C28" s="42" t="s">
        <v>3</v>
      </c>
      <c r="D28" s="43">
        <f>1/D27</f>
        <v>37923.19526764397</v>
      </c>
      <c r="E28" s="44">
        <f>1/F27</f>
        <v>8420.359127191852</v>
      </c>
      <c r="F28" s="45">
        <f>1/E27</f>
        <v>-12618.916433428021</v>
      </c>
      <c r="G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2.75" hidden="1">
      <c r="A29" s="30"/>
      <c r="B29" s="29"/>
      <c r="C29" s="12"/>
      <c r="D29" s="12"/>
      <c r="E29" s="12"/>
      <c r="F29" s="12"/>
      <c r="G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2.75" hidden="1">
      <c r="A30" s="30"/>
      <c r="B30" s="123" t="s">
        <v>4</v>
      </c>
      <c r="C30" s="124"/>
      <c r="D30" s="124"/>
      <c r="E30" s="125">
        <f>ROUND(D23,2)</f>
        <v>0.97</v>
      </c>
      <c r="F30" s="126">
        <f>ROUND(D27,4)</f>
        <v>0</v>
      </c>
      <c r="G30" s="127">
        <f>ROUND(D28,0)</f>
        <v>37923</v>
      </c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2.75" hidden="1">
      <c r="A31" s="30"/>
      <c r="B31" s="46" t="s">
        <v>6</v>
      </c>
      <c r="C31" s="47">
        <f>ROUND(D25,4)</f>
        <v>0.0007</v>
      </c>
      <c r="D31" s="48">
        <f>ROUND(C21,4)</f>
        <v>0.0008</v>
      </c>
      <c r="E31" s="6">
        <f>ROUND(E23,2)</f>
        <v>0.84</v>
      </c>
      <c r="F31" s="7">
        <f>ROUND(E27,4)</f>
        <v>-0.0001</v>
      </c>
      <c r="G31" s="8">
        <f>ROUND(E28,0)</f>
        <v>8420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2.75" hidden="1">
      <c r="A32" s="30"/>
      <c r="B32" s="46" t="s">
        <v>5</v>
      </c>
      <c r="C32" s="14"/>
      <c r="D32" s="14"/>
      <c r="E32" s="6">
        <f>ROUND(F23,2)</f>
        <v>1.1</v>
      </c>
      <c r="F32" s="7">
        <f>ROUND(F27,4)</f>
        <v>0.0001</v>
      </c>
      <c r="G32" s="8">
        <f>ROUND(F28,0)</f>
        <v>-12619</v>
      </c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2.75" hidden="1">
      <c r="A33" s="30"/>
      <c r="B33" s="46" t="s">
        <v>7</v>
      </c>
      <c r="C33" s="128" t="s">
        <v>54</v>
      </c>
      <c r="D33" s="128" t="s">
        <v>11</v>
      </c>
      <c r="E33" s="129" t="s">
        <v>8</v>
      </c>
      <c r="F33" s="129" t="s">
        <v>9</v>
      </c>
      <c r="G33" s="128" t="s">
        <v>3</v>
      </c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2.75" hidden="1">
      <c r="A34" s="30"/>
      <c r="B34" s="49" t="s">
        <v>0</v>
      </c>
      <c r="C34" s="128" t="str">
        <f>CONCATENATE(C31*100,B33)</f>
        <v>0,07%</v>
      </c>
      <c r="D34" s="128" t="str">
        <f>CONCATENATE(D31*100,B33)</f>
        <v>0,08%</v>
      </c>
      <c r="E34" s="128" t="str">
        <f>CONCATENATE(E30," ",B30,E31,B31,E32,B32)</f>
        <v>0,97 (0,84-1,1)</v>
      </c>
      <c r="F34" s="128" t="str">
        <f>CONCATENATE(F30*100,B33," ",B30,F31*100,B33," ",B34," ",F32*100,B33,B32)</f>
        <v>0% (-0,01% a 0,01%)</v>
      </c>
      <c r="G34" s="128" t="str">
        <f>CONCATENATE(G30," ",B30,G31," ",B34," ",G32,B32)</f>
        <v>37923 (8420 a -12619)</v>
      </c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2.75" hidden="1">
      <c r="A35" s="50"/>
      <c r="B35" s="4"/>
      <c r="C35" s="19"/>
      <c r="D35" s="19"/>
      <c r="E35" s="19"/>
      <c r="F35" s="19"/>
      <c r="G35" s="19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3.5" hidden="1" thickBot="1">
      <c r="A36" s="178">
        <f>A22*A23</f>
        <v>0.0007643327511213078</v>
      </c>
      <c r="B36" s="179" t="s">
        <v>55</v>
      </c>
      <c r="C36" s="18"/>
      <c r="D36" s="18"/>
      <c r="E36" s="18"/>
      <c r="F36" s="18"/>
      <c r="G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3.5" hidden="1" thickBot="1">
      <c r="A37" s="51"/>
      <c r="B37" s="18"/>
      <c r="C37" s="186" t="s">
        <v>56</v>
      </c>
      <c r="D37" s="187" t="s">
        <v>11</v>
      </c>
      <c r="E37" s="187" t="s">
        <v>8</v>
      </c>
      <c r="F37" s="187" t="s">
        <v>2</v>
      </c>
      <c r="G37" s="188" t="s">
        <v>3</v>
      </c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26.25" hidden="1" thickBot="1">
      <c r="A38" s="52"/>
      <c r="B38" s="15"/>
      <c r="C38" s="183" t="str">
        <f>C34</f>
        <v>0,07%</v>
      </c>
      <c r="D38" s="184" t="str">
        <f>D34</f>
        <v>0,08%</v>
      </c>
      <c r="E38" s="184" t="str">
        <f>E34</f>
        <v>0,97 (0,84-1,1)</v>
      </c>
      <c r="F38" s="184" t="str">
        <f>F34</f>
        <v>0% (-0,01% a 0,01%)</v>
      </c>
      <c r="G38" s="185" t="str">
        <f>G34</f>
        <v>37923 (8420 a -12619)</v>
      </c>
      <c r="S38" s="18"/>
      <c r="T38" s="18"/>
      <c r="U38" s="18"/>
      <c r="V38" s="18"/>
      <c r="W38" s="18"/>
      <c r="X38" s="18"/>
      <c r="Y38" s="18"/>
      <c r="Z38" s="18"/>
      <c r="AA38" s="18"/>
    </row>
    <row r="39" spans="2:27" ht="12.75" hidden="1">
      <c r="B39" s="2"/>
      <c r="C39" s="2"/>
      <c r="E39" s="3"/>
      <c r="F39" s="26"/>
      <c r="S39" s="18"/>
      <c r="T39" s="18"/>
      <c r="U39" s="18"/>
      <c r="V39" s="18"/>
      <c r="W39" s="18"/>
      <c r="X39" s="18"/>
      <c r="Y39" s="18"/>
      <c r="Z39" s="18"/>
      <c r="AA39" s="18"/>
    </row>
    <row r="40" spans="4:27" ht="13.5" thickBot="1">
      <c r="D40" s="3"/>
      <c r="E40" s="3"/>
      <c r="S40" s="18"/>
      <c r="T40" s="18"/>
      <c r="U40" s="18"/>
      <c r="V40" s="18"/>
      <c r="W40" s="18"/>
      <c r="X40" s="18"/>
      <c r="Y40" s="18"/>
      <c r="Z40" s="18"/>
      <c r="AA40" s="18"/>
    </row>
    <row r="41" spans="1:20" ht="22.5" customHeight="1" thickBot="1">
      <c r="A41" s="245" t="s">
        <v>330</v>
      </c>
      <c r="B41" s="177" t="str">
        <f>B2</f>
        <v>CAMBIOS Verrugas AG, mujeres 30-39 años, tras 3 a 8 años de vacunación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S41" s="18"/>
      <c r="T41" s="18"/>
    </row>
    <row r="42" spans="1:20" ht="15.75" thickBot="1">
      <c r="A42" s="256" t="s">
        <v>28</v>
      </c>
      <c r="B42" s="256" t="s">
        <v>29</v>
      </c>
      <c r="C42" s="267" t="s">
        <v>30</v>
      </c>
      <c r="D42" s="269" t="s">
        <v>31</v>
      </c>
      <c r="E42" s="256" t="s">
        <v>32</v>
      </c>
      <c r="F42" s="256" t="s">
        <v>91</v>
      </c>
      <c r="G42" s="256" t="s">
        <v>92</v>
      </c>
      <c r="H42" s="256" t="s">
        <v>95</v>
      </c>
      <c r="I42" s="256" t="s">
        <v>96</v>
      </c>
      <c r="J42" s="256" t="s">
        <v>33</v>
      </c>
      <c r="K42" s="258" t="s">
        <v>34</v>
      </c>
      <c r="L42" s="246" t="s">
        <v>35</v>
      </c>
      <c r="M42" s="247"/>
      <c r="N42" s="247"/>
      <c r="O42" s="248"/>
      <c r="S42" s="18"/>
      <c r="T42" s="18"/>
    </row>
    <row r="43" spans="1:20" ht="30.75" thickBot="1">
      <c r="A43" s="257"/>
      <c r="B43" s="257"/>
      <c r="C43" s="268"/>
      <c r="D43" s="270"/>
      <c r="E43" s="257"/>
      <c r="F43" s="257"/>
      <c r="G43" s="257"/>
      <c r="H43" s="257"/>
      <c r="I43" s="257"/>
      <c r="J43" s="257"/>
      <c r="K43" s="259"/>
      <c r="L43" s="222" t="s">
        <v>36</v>
      </c>
      <c r="M43" s="223" t="s">
        <v>2</v>
      </c>
      <c r="N43" s="224" t="s">
        <v>3</v>
      </c>
      <c r="O43" s="199" t="s">
        <v>37</v>
      </c>
      <c r="S43" s="18"/>
      <c r="T43" s="18"/>
    </row>
    <row r="44" spans="1:20" ht="15">
      <c r="A44" s="249">
        <v>8</v>
      </c>
      <c r="B44" s="215" t="s">
        <v>229</v>
      </c>
      <c r="C44" s="58" t="s">
        <v>38</v>
      </c>
      <c r="D44" s="59"/>
      <c r="E44" s="147">
        <f aca="true" t="shared" si="10" ref="E44:E58">H5</f>
        <v>3</v>
      </c>
      <c r="F44" s="148" t="str">
        <f aca="true" t="shared" si="11" ref="F44:F58">P5</f>
        <v>328 / 238702</v>
      </c>
      <c r="G44" s="149">
        <f aca="true" t="shared" si="12" ref="G44:G58">L5</f>
        <v>0.0004580327493415779</v>
      </c>
      <c r="H44" s="148" t="str">
        <f aca="true" t="shared" si="13" ref="H44:H58">Q5</f>
        <v>307 / 231534</v>
      </c>
      <c r="I44" s="150">
        <f aca="true" t="shared" si="14" ref="I44:I58">M5</f>
        <v>0.00044197972364030046</v>
      </c>
      <c r="J44" s="151">
        <v>34.5</v>
      </c>
      <c r="K44" s="119">
        <v>0.07352144716936279</v>
      </c>
      <c r="L44" s="228" t="s">
        <v>243</v>
      </c>
      <c r="M44" s="228" t="s">
        <v>244</v>
      </c>
      <c r="N44" s="228" t="s">
        <v>245</v>
      </c>
      <c r="O44" s="152"/>
      <c r="R44" s="62">
        <f>Q44*K44</f>
        <v>0</v>
      </c>
      <c r="S44" s="18"/>
      <c r="T44" s="18"/>
    </row>
    <row r="45" spans="1:20" ht="15">
      <c r="A45" s="250"/>
      <c r="B45" s="216" t="s">
        <v>230</v>
      </c>
      <c r="C45" s="58" t="s">
        <v>38</v>
      </c>
      <c r="D45" s="59"/>
      <c r="E45" s="147">
        <f t="shared" si="10"/>
        <v>7</v>
      </c>
      <c r="F45" s="148" t="str">
        <f t="shared" si="11"/>
        <v>183 / 966203</v>
      </c>
      <c r="G45" s="149">
        <f t="shared" si="12"/>
        <v>2.705731315557615E-05</v>
      </c>
      <c r="H45" s="148" t="str">
        <f t="shared" si="13"/>
        <v>348 / 1150051</v>
      </c>
      <c r="I45" s="149">
        <f t="shared" si="14"/>
        <v>4.322789660135569E-05</v>
      </c>
      <c r="J45" s="151">
        <v>34.5</v>
      </c>
      <c r="K45" s="119">
        <v>0.07122921530401265</v>
      </c>
      <c r="L45" s="228" t="s">
        <v>246</v>
      </c>
      <c r="M45" s="228" t="s">
        <v>151</v>
      </c>
      <c r="N45" s="228" t="s">
        <v>247</v>
      </c>
      <c r="O45" s="120"/>
      <c r="R45" s="62">
        <f aca="true" t="shared" si="15" ref="R45:R57">Q45*K45</f>
        <v>0</v>
      </c>
      <c r="S45" s="18"/>
      <c r="T45" s="18"/>
    </row>
    <row r="46" spans="1:20" ht="15">
      <c r="A46" s="250"/>
      <c r="B46" s="215" t="s">
        <v>231</v>
      </c>
      <c r="C46" s="58" t="s">
        <v>38</v>
      </c>
      <c r="D46" s="59"/>
      <c r="E46" s="147">
        <f t="shared" si="10"/>
        <v>6</v>
      </c>
      <c r="F46" s="148" t="str">
        <f t="shared" si="11"/>
        <v>2701 / 1188262</v>
      </c>
      <c r="G46" s="149">
        <f t="shared" si="12"/>
        <v>0.000378844620686908</v>
      </c>
      <c r="H46" s="148" t="str">
        <f t="shared" si="13"/>
        <v>1304 / 609273</v>
      </c>
      <c r="I46" s="149">
        <f t="shared" si="14"/>
        <v>0.000356709280295259</v>
      </c>
      <c r="J46" s="151">
        <v>34.5</v>
      </c>
      <c r="K46" s="119">
        <v>0.08004552188592115</v>
      </c>
      <c r="L46" s="228" t="s">
        <v>248</v>
      </c>
      <c r="M46" s="228" t="s">
        <v>249</v>
      </c>
      <c r="N46" s="228" t="s">
        <v>250</v>
      </c>
      <c r="O46" s="120"/>
      <c r="R46" s="62">
        <f t="shared" si="15"/>
        <v>0</v>
      </c>
      <c r="S46" s="18"/>
      <c r="T46" s="18"/>
    </row>
    <row r="47" spans="1:20" ht="15">
      <c r="A47" s="250"/>
      <c r="B47" s="216" t="s">
        <v>232</v>
      </c>
      <c r="C47" s="58" t="s">
        <v>38</v>
      </c>
      <c r="D47" s="59"/>
      <c r="E47" s="147">
        <f t="shared" si="10"/>
        <v>3</v>
      </c>
      <c r="F47" s="148" t="str">
        <f t="shared" si="11"/>
        <v>3305 / 1210000</v>
      </c>
      <c r="G47" s="149">
        <f t="shared" si="12"/>
        <v>0.0009104683195592287</v>
      </c>
      <c r="H47" s="148" t="str">
        <f t="shared" si="13"/>
        <v>3095 / 1202000</v>
      </c>
      <c r="I47" s="149">
        <f t="shared" si="14"/>
        <v>0.000858291735995563</v>
      </c>
      <c r="J47" s="151">
        <v>34.5</v>
      </c>
      <c r="K47" s="119">
        <v>0.08075421109623306</v>
      </c>
      <c r="L47" s="228" t="s">
        <v>251</v>
      </c>
      <c r="M47" s="228" t="s">
        <v>252</v>
      </c>
      <c r="N47" s="228" t="s">
        <v>253</v>
      </c>
      <c r="O47" s="120"/>
      <c r="R47" s="62">
        <f t="shared" si="15"/>
        <v>0</v>
      </c>
      <c r="S47" s="18"/>
      <c r="T47" s="18"/>
    </row>
    <row r="48" spans="1:20" ht="15">
      <c r="A48" s="250"/>
      <c r="B48" s="215" t="s">
        <v>233</v>
      </c>
      <c r="C48" s="58" t="s">
        <v>38</v>
      </c>
      <c r="D48" s="59"/>
      <c r="E48" s="147">
        <f t="shared" si="10"/>
        <v>8</v>
      </c>
      <c r="F48" s="148" t="str">
        <f t="shared" si="11"/>
        <v>22476 / 10468652</v>
      </c>
      <c r="G48" s="149">
        <f t="shared" si="12"/>
        <v>0.00026837266154228835</v>
      </c>
      <c r="H48" s="148" t="str">
        <f t="shared" si="13"/>
        <v>4004 / 2873198</v>
      </c>
      <c r="I48" s="149">
        <f t="shared" si="14"/>
        <v>0.00017419613963256275</v>
      </c>
      <c r="J48" s="151">
        <v>34.5</v>
      </c>
      <c r="K48" s="119">
        <v>0.08121925137702961</v>
      </c>
      <c r="L48" s="228" t="s">
        <v>254</v>
      </c>
      <c r="M48" s="228" t="s">
        <v>255</v>
      </c>
      <c r="N48" s="228" t="s">
        <v>256</v>
      </c>
      <c r="O48" s="120"/>
      <c r="R48" s="62">
        <f t="shared" si="15"/>
        <v>0</v>
      </c>
      <c r="S48" s="18"/>
      <c r="T48" s="18"/>
    </row>
    <row r="49" spans="1:20" ht="15">
      <c r="A49" s="250"/>
      <c r="B49" s="216" t="s">
        <v>234</v>
      </c>
      <c r="C49" s="58" t="s">
        <v>38</v>
      </c>
      <c r="D49" s="59"/>
      <c r="E49" s="147">
        <f t="shared" si="10"/>
        <v>4</v>
      </c>
      <c r="F49" s="148" t="str">
        <f t="shared" si="11"/>
        <v>5555 / 1262759</v>
      </c>
      <c r="G49" s="149">
        <f t="shared" si="12"/>
        <v>0.0010997743829186724</v>
      </c>
      <c r="H49" s="148" t="str">
        <f t="shared" si="13"/>
        <v>1568 / 401546</v>
      </c>
      <c r="I49" s="149">
        <f t="shared" si="14"/>
        <v>0.0009762268830968308</v>
      </c>
      <c r="J49" s="151">
        <v>34.5</v>
      </c>
      <c r="K49" s="119">
        <v>0.08048838043320485</v>
      </c>
      <c r="L49" s="228" t="s">
        <v>257</v>
      </c>
      <c r="M49" s="228" t="s">
        <v>258</v>
      </c>
      <c r="N49" s="228" t="s">
        <v>259</v>
      </c>
      <c r="O49" s="152"/>
      <c r="R49" s="62">
        <f t="shared" si="15"/>
        <v>0</v>
      </c>
      <c r="S49" s="18"/>
      <c r="T49" s="18"/>
    </row>
    <row r="50" spans="1:20" ht="15">
      <c r="A50" s="250"/>
      <c r="B50" s="215" t="s">
        <v>235</v>
      </c>
      <c r="C50" s="58" t="s">
        <v>38</v>
      </c>
      <c r="D50" s="59"/>
      <c r="E50" s="147">
        <f t="shared" si="10"/>
        <v>6</v>
      </c>
      <c r="F50" s="148" t="str">
        <f t="shared" si="11"/>
        <v>313 / 295825</v>
      </c>
      <c r="G50" s="149">
        <f t="shared" si="12"/>
        <v>0.0001763429955773402</v>
      </c>
      <c r="H50" s="148" t="str">
        <f t="shared" si="13"/>
        <v>262 / 242507</v>
      </c>
      <c r="I50" s="149">
        <f t="shared" si="14"/>
        <v>0.000180063530812169</v>
      </c>
      <c r="J50" s="151">
        <v>34.5</v>
      </c>
      <c r="K50" s="119">
        <v>0.07271041592776067</v>
      </c>
      <c r="L50" s="228" t="s">
        <v>260</v>
      </c>
      <c r="M50" s="228" t="s">
        <v>261</v>
      </c>
      <c r="N50" s="228" t="s">
        <v>262</v>
      </c>
      <c r="O50" s="152"/>
      <c r="R50" s="62">
        <f t="shared" si="15"/>
        <v>0</v>
      </c>
      <c r="S50" s="18"/>
      <c r="T50" s="18"/>
    </row>
    <row r="51" spans="1:20" ht="15">
      <c r="A51" s="250"/>
      <c r="B51" s="216" t="s">
        <v>236</v>
      </c>
      <c r="C51" s="58" t="s">
        <v>38</v>
      </c>
      <c r="D51" s="59"/>
      <c r="E51" s="147">
        <f t="shared" si="10"/>
        <v>5</v>
      </c>
      <c r="F51" s="148" t="str">
        <f t="shared" si="11"/>
        <v>43 / 606</v>
      </c>
      <c r="G51" s="149">
        <f t="shared" si="12"/>
        <v>0.01419141914191419</v>
      </c>
      <c r="H51" s="148" t="str">
        <f t="shared" si="13"/>
        <v>99 / 1028</v>
      </c>
      <c r="I51" s="149">
        <f t="shared" si="14"/>
        <v>0.01926070038910506</v>
      </c>
      <c r="J51" s="151">
        <v>34.5</v>
      </c>
      <c r="K51" s="119">
        <v>0.05305497613588623</v>
      </c>
      <c r="L51" s="228" t="s">
        <v>263</v>
      </c>
      <c r="M51" s="228" t="s">
        <v>264</v>
      </c>
      <c r="N51" s="228" t="s">
        <v>265</v>
      </c>
      <c r="O51" s="152"/>
      <c r="R51" s="62">
        <f t="shared" si="15"/>
        <v>0</v>
      </c>
      <c r="S51" s="18"/>
      <c r="T51" s="18"/>
    </row>
    <row r="52" spans="1:20" ht="15">
      <c r="A52" s="250"/>
      <c r="B52" s="215" t="s">
        <v>237</v>
      </c>
      <c r="C52" s="58" t="s">
        <v>38</v>
      </c>
      <c r="D52" s="59"/>
      <c r="E52" s="147">
        <f t="shared" si="10"/>
        <v>4</v>
      </c>
      <c r="F52" s="148" t="str">
        <f t="shared" si="11"/>
        <v>2206 / 5347225</v>
      </c>
      <c r="G52" s="149">
        <f t="shared" si="12"/>
        <v>0.00010313760875968376</v>
      </c>
      <c r="H52" s="148" t="str">
        <f t="shared" si="13"/>
        <v>2113 / 4689108</v>
      </c>
      <c r="I52" s="149">
        <f t="shared" si="14"/>
        <v>0.00011265468826906951</v>
      </c>
      <c r="J52" s="151">
        <v>34.5</v>
      </c>
      <c r="K52" s="119">
        <v>0.08033333203388676</v>
      </c>
      <c r="L52" s="228" t="s">
        <v>266</v>
      </c>
      <c r="M52" s="228" t="s">
        <v>267</v>
      </c>
      <c r="N52" s="228" t="s">
        <v>268</v>
      </c>
      <c r="O52" s="153"/>
      <c r="R52" s="62">
        <f t="shared" si="15"/>
        <v>0</v>
      </c>
      <c r="S52" s="18"/>
      <c r="T52" s="18"/>
    </row>
    <row r="53" spans="1:20" ht="15">
      <c r="A53" s="250"/>
      <c r="B53" s="216" t="s">
        <v>238</v>
      </c>
      <c r="C53" s="58" t="s">
        <v>38</v>
      </c>
      <c r="D53" s="59"/>
      <c r="E53" s="147">
        <f t="shared" si="10"/>
        <v>4</v>
      </c>
      <c r="F53" s="148" t="str">
        <f t="shared" si="11"/>
        <v>4653 / 1440912</v>
      </c>
      <c r="G53" s="149">
        <f t="shared" si="12"/>
        <v>0.0008073012092341517</v>
      </c>
      <c r="H53" s="148" t="str">
        <f t="shared" si="13"/>
        <v>3784 / 1126270</v>
      </c>
      <c r="I53" s="149">
        <f t="shared" si="14"/>
        <v>0.0008399406891775507</v>
      </c>
      <c r="J53" s="151">
        <v>34.5</v>
      </c>
      <c r="K53" s="119">
        <v>0.08095974177699512</v>
      </c>
      <c r="L53" s="228" t="s">
        <v>269</v>
      </c>
      <c r="M53" s="228" t="s">
        <v>270</v>
      </c>
      <c r="N53" s="228" t="s">
        <v>271</v>
      </c>
      <c r="O53" s="153"/>
      <c r="R53" s="62">
        <f t="shared" si="15"/>
        <v>0</v>
      </c>
      <c r="S53" s="18"/>
      <c r="T53" s="18"/>
    </row>
    <row r="54" spans="1:20" ht="15">
      <c r="A54" s="250"/>
      <c r="B54" s="215" t="s">
        <v>239</v>
      </c>
      <c r="C54" s="58" t="s">
        <v>38</v>
      </c>
      <c r="D54" s="59"/>
      <c r="E54" s="147">
        <f t="shared" si="10"/>
        <v>4</v>
      </c>
      <c r="F54" s="148" t="str">
        <f t="shared" si="11"/>
        <v>48 / 625</v>
      </c>
      <c r="G54" s="149">
        <f t="shared" si="12"/>
        <v>0.0192</v>
      </c>
      <c r="H54" s="148" t="str">
        <f t="shared" si="13"/>
        <v>172 / 3071</v>
      </c>
      <c r="I54" s="149">
        <f t="shared" si="14"/>
        <v>0.014001953760989906</v>
      </c>
      <c r="J54" s="151">
        <v>34.5</v>
      </c>
      <c r="K54" s="119">
        <v>0.05695590817440698</v>
      </c>
      <c r="L54" s="228" t="s">
        <v>272</v>
      </c>
      <c r="M54" s="228" t="s">
        <v>273</v>
      </c>
      <c r="N54" s="228" t="s">
        <v>274</v>
      </c>
      <c r="O54" s="153"/>
      <c r="R54" s="62">
        <f t="shared" si="15"/>
        <v>0</v>
      </c>
      <c r="S54" s="18"/>
      <c r="T54" s="18"/>
    </row>
    <row r="55" spans="1:20" ht="15">
      <c r="A55" s="250"/>
      <c r="B55" s="216" t="s">
        <v>240</v>
      </c>
      <c r="C55" s="58" t="s">
        <v>38</v>
      </c>
      <c r="D55" s="59"/>
      <c r="E55" s="147">
        <f t="shared" si="10"/>
        <v>8</v>
      </c>
      <c r="F55" s="148" t="str">
        <f t="shared" si="11"/>
        <v>21 / 27206</v>
      </c>
      <c r="G55" s="149">
        <f t="shared" si="12"/>
        <v>9.648606924943027E-05</v>
      </c>
      <c r="H55" s="148" t="str">
        <f t="shared" si="13"/>
        <v>29 / 22404</v>
      </c>
      <c r="I55" s="149">
        <f t="shared" si="14"/>
        <v>0.00016180146402428137</v>
      </c>
      <c r="J55" s="151">
        <v>34.5</v>
      </c>
      <c r="K55" s="119">
        <v>0.033489073035307106</v>
      </c>
      <c r="L55" s="228" t="s">
        <v>275</v>
      </c>
      <c r="M55" s="228" t="s">
        <v>276</v>
      </c>
      <c r="N55" s="228" t="s">
        <v>277</v>
      </c>
      <c r="O55" s="153"/>
      <c r="R55" s="62">
        <f t="shared" si="15"/>
        <v>0</v>
      </c>
      <c r="S55" s="18"/>
      <c r="T55" s="18"/>
    </row>
    <row r="56" spans="1:20" ht="15">
      <c r="A56" s="250"/>
      <c r="B56" s="215" t="s">
        <v>241</v>
      </c>
      <c r="C56" s="58" t="s">
        <v>38</v>
      </c>
      <c r="D56" s="59"/>
      <c r="E56" s="147">
        <f t="shared" si="10"/>
        <v>4</v>
      </c>
      <c r="F56" s="148" t="str">
        <f t="shared" si="11"/>
        <v>2835 / 21293937</v>
      </c>
      <c r="G56" s="149">
        <f t="shared" si="12"/>
        <v>3.32841221423732E-05</v>
      </c>
      <c r="H56" s="148" t="str">
        <f t="shared" si="13"/>
        <v>2262 / 15055691</v>
      </c>
      <c r="I56" s="149">
        <f t="shared" si="14"/>
        <v>3.7560547702526574E-05</v>
      </c>
      <c r="J56" s="151">
        <v>34.5</v>
      </c>
      <c r="K56" s="119">
        <v>0.08051590961692515</v>
      </c>
      <c r="L56" s="228" t="s">
        <v>278</v>
      </c>
      <c r="M56" s="228" t="s">
        <v>279</v>
      </c>
      <c r="N56" s="228" t="s">
        <v>280</v>
      </c>
      <c r="O56" s="153"/>
      <c r="R56" s="62">
        <f t="shared" si="15"/>
        <v>0</v>
      </c>
      <c r="S56" s="18"/>
      <c r="T56" s="18"/>
    </row>
    <row r="57" spans="1:20" ht="15.75" thickBot="1">
      <c r="A57" s="250"/>
      <c r="B57" s="216" t="s">
        <v>242</v>
      </c>
      <c r="C57" s="58" t="s">
        <v>38</v>
      </c>
      <c r="D57" s="59"/>
      <c r="E57" s="147">
        <f t="shared" si="10"/>
        <v>8</v>
      </c>
      <c r="F57" s="148" t="str">
        <f t="shared" si="11"/>
        <v>314 / 6166</v>
      </c>
      <c r="G57" s="149">
        <f t="shared" si="12"/>
        <v>0.006365553032760298</v>
      </c>
      <c r="H57" s="148" t="str">
        <f t="shared" si="13"/>
        <v>413 / 6078</v>
      </c>
      <c r="I57" s="149">
        <f t="shared" si="14"/>
        <v>0.008493747943402435</v>
      </c>
      <c r="J57" s="151">
        <v>34.5</v>
      </c>
      <c r="K57" s="119">
        <v>0.07472261603306783</v>
      </c>
      <c r="L57" s="243" t="s">
        <v>281</v>
      </c>
      <c r="M57" s="228" t="s">
        <v>282</v>
      </c>
      <c r="N57" s="228" t="s">
        <v>283</v>
      </c>
      <c r="O57" s="153"/>
      <c r="R57" s="62">
        <f t="shared" si="15"/>
        <v>0</v>
      </c>
      <c r="S57" s="18"/>
      <c r="T57" s="18"/>
    </row>
    <row r="58" spans="1:20" ht="30.75" thickBot="1">
      <c r="A58" s="154" t="s">
        <v>39</v>
      </c>
      <c r="B58" s="155">
        <f>COUNT(E44:E57)</f>
        <v>14</v>
      </c>
      <c r="C58" s="156"/>
      <c r="D58" s="63" t="s">
        <v>316</v>
      </c>
      <c r="E58" s="157">
        <f t="shared" si="10"/>
        <v>4.865386546254031</v>
      </c>
      <c r="F58" s="158" t="str">
        <f t="shared" si="11"/>
        <v>44981 / 43747080</v>
      </c>
      <c r="G58" s="159">
        <f t="shared" si="12"/>
        <v>0.00020315235677486734</v>
      </c>
      <c r="H58" s="158" t="str">
        <f t="shared" si="13"/>
        <v>19760 / 27613759</v>
      </c>
      <c r="I58" s="159">
        <f t="shared" si="14"/>
        <v>0.0001570959971741165</v>
      </c>
      <c r="J58" s="157">
        <v>34.5</v>
      </c>
      <c r="K58" s="160">
        <v>0.9999999999999998</v>
      </c>
      <c r="L58" s="244" t="s">
        <v>319</v>
      </c>
      <c r="M58" s="64"/>
      <c r="N58" s="65"/>
      <c r="O58" s="66"/>
      <c r="R58" s="161">
        <f>SUM(R44:R57)</f>
        <v>0</v>
      </c>
      <c r="S58" s="18"/>
      <c r="T58" s="18"/>
    </row>
    <row r="59" spans="1:15" ht="13.5" thickBot="1">
      <c r="A59" s="67"/>
      <c r="B59" s="67"/>
      <c r="C59" s="68"/>
      <c r="D59" s="69"/>
      <c r="E59" s="70"/>
      <c r="F59" s="71"/>
      <c r="G59" s="72"/>
      <c r="H59" s="71"/>
      <c r="I59" s="73"/>
      <c r="J59" s="74"/>
      <c r="K59" s="75"/>
      <c r="L59" s="64"/>
      <c r="M59" s="65"/>
      <c r="N59" s="65"/>
      <c r="O59" s="75"/>
    </row>
    <row r="60" spans="1:255" ht="48" thickBot="1">
      <c r="A60" s="76"/>
      <c r="B60" s="251" t="s">
        <v>99</v>
      </c>
      <c r="C60" s="252"/>
      <c r="D60" s="252"/>
      <c r="E60" s="252"/>
      <c r="F60" s="252"/>
      <c r="G60" s="252"/>
      <c r="H60" s="252"/>
      <c r="I60" s="253"/>
      <c r="J60" s="238" t="s">
        <v>93</v>
      </c>
      <c r="K60" s="239" t="s">
        <v>97</v>
      </c>
      <c r="L60" s="240" t="s">
        <v>36</v>
      </c>
      <c r="M60" s="241" t="s">
        <v>2</v>
      </c>
      <c r="N60" s="242" t="s">
        <v>3</v>
      </c>
      <c r="O60" s="6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15" ht="19.5" customHeight="1">
      <c r="A61" s="254" t="s">
        <v>40</v>
      </c>
      <c r="B61" s="81" t="s">
        <v>41</v>
      </c>
      <c r="C61" s="82">
        <f>I58</f>
        <v>0.0001570959971741165</v>
      </c>
      <c r="D61" s="83" t="s">
        <v>42</v>
      </c>
      <c r="E61" s="83"/>
      <c r="F61" s="83"/>
      <c r="G61" s="83"/>
      <c r="H61" s="84">
        <f>J58</f>
        <v>34.5</v>
      </c>
      <c r="I61" s="85" t="s">
        <v>43</v>
      </c>
      <c r="J61" s="233">
        <v>0.0002</v>
      </c>
      <c r="K61" s="234">
        <v>0.0002</v>
      </c>
      <c r="L61" s="235" t="s">
        <v>319</v>
      </c>
      <c r="M61" s="236" t="s">
        <v>279</v>
      </c>
      <c r="N61" s="237" t="s">
        <v>318</v>
      </c>
      <c r="O61" s="89" t="s">
        <v>44</v>
      </c>
    </row>
    <row r="62" spans="1:15" ht="19.5" thickBot="1">
      <c r="A62" s="255"/>
      <c r="B62" s="163" t="s">
        <v>41</v>
      </c>
      <c r="C62" s="164">
        <f>I58*E58</f>
        <v>0.0007643327511213078</v>
      </c>
      <c r="D62" s="165" t="s">
        <v>45</v>
      </c>
      <c r="E62" s="166"/>
      <c r="F62" s="167"/>
      <c r="G62" s="168">
        <f>E58</f>
        <v>4.865386546254031</v>
      </c>
      <c r="H62" s="165" t="s">
        <v>46</v>
      </c>
      <c r="I62" s="169"/>
      <c r="J62" s="170">
        <v>0.0007</v>
      </c>
      <c r="K62" s="230">
        <v>0.0008</v>
      </c>
      <c r="L62" s="235" t="s">
        <v>319</v>
      </c>
      <c r="M62" s="231" t="s">
        <v>321</v>
      </c>
      <c r="N62" s="232" t="s">
        <v>322</v>
      </c>
      <c r="O62" s="174" t="s">
        <v>317</v>
      </c>
    </row>
    <row r="63" spans="1:15" ht="19.5" thickBot="1">
      <c r="A63" s="92"/>
      <c r="B63" s="93"/>
      <c r="C63" s="94"/>
      <c r="D63" s="95"/>
      <c r="E63" s="96"/>
      <c r="F63" s="97"/>
      <c r="G63" s="98"/>
      <c r="H63" s="95"/>
      <c r="I63" s="97"/>
      <c r="J63" s="99"/>
      <c r="K63" s="99"/>
      <c r="L63" s="100"/>
      <c r="M63" s="101"/>
      <c r="N63" s="101"/>
      <c r="O63" s="102"/>
    </row>
    <row r="64" spans="1:15" ht="19.5" thickBot="1">
      <c r="A64" s="103"/>
      <c r="B64" s="103"/>
      <c r="C64" s="75"/>
      <c r="D64" s="75"/>
      <c r="E64" s="75"/>
      <c r="F64" s="75"/>
      <c r="G64" s="75"/>
      <c r="H64" s="75"/>
      <c r="I64" s="200"/>
      <c r="J64" s="201"/>
      <c r="K64" s="202" t="s">
        <v>47</v>
      </c>
      <c r="L64" s="229" t="s">
        <v>320</v>
      </c>
      <c r="M64" s="107"/>
      <c r="N64" s="108"/>
      <c r="O64" s="109"/>
    </row>
    <row r="65" spans="1:11" ht="12.75">
      <c r="A65" s="20"/>
      <c r="C65" s="2"/>
      <c r="I65" s="5" t="s">
        <v>48</v>
      </c>
      <c r="J65" s="204">
        <f>G62</f>
        <v>4.865386546254031</v>
      </c>
      <c r="K65" s="204">
        <f>J65</f>
        <v>4.865386546254031</v>
      </c>
    </row>
    <row r="66" spans="1:12" ht="12.75">
      <c r="A66" s="20"/>
      <c r="C66" s="2"/>
      <c r="I66" s="13"/>
      <c r="J66" s="138" t="s">
        <v>14</v>
      </c>
      <c r="K66" s="138" t="s">
        <v>15</v>
      </c>
      <c r="L66" s="138" t="s">
        <v>49</v>
      </c>
    </row>
    <row r="67" spans="9:14" ht="17.25">
      <c r="I67" s="110" t="s">
        <v>50</v>
      </c>
      <c r="J67" s="118">
        <f>J61*1000*J65</f>
        <v>0.9730773092508063</v>
      </c>
      <c r="K67" s="116">
        <f>K61*1000*K65</f>
        <v>0.9730773092508063</v>
      </c>
      <c r="L67" s="117">
        <f>((J67*I19)+(K67*J19))/K19</f>
        <v>0.9730773092508063</v>
      </c>
      <c r="M67" s="111"/>
      <c r="N67" s="111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  <row r="75" spans="1:7" ht="12.75">
      <c r="A75" s="18"/>
      <c r="B75" s="18"/>
      <c r="C75" s="18"/>
      <c r="D75" s="18"/>
      <c r="E75" s="18"/>
      <c r="F75" s="18"/>
      <c r="G75" s="18"/>
    </row>
    <row r="76" spans="1:7" ht="12.75">
      <c r="A76" s="18"/>
      <c r="B76" s="18"/>
      <c r="C76" s="18"/>
      <c r="D76" s="18"/>
      <c r="E76" s="18"/>
      <c r="F76" s="18"/>
      <c r="G76" s="18"/>
    </row>
    <row r="77" spans="1:7" ht="12.75">
      <c r="A77" s="18"/>
      <c r="B77" s="18"/>
      <c r="C77" s="18"/>
      <c r="D77" s="18"/>
      <c r="E77" s="18"/>
      <c r="F77" s="18"/>
      <c r="G77" s="18"/>
    </row>
    <row r="78" spans="1:7" ht="12.75">
      <c r="A78" s="18"/>
      <c r="B78" s="18"/>
      <c r="C78" s="18"/>
      <c r="D78" s="18"/>
      <c r="E78" s="18"/>
      <c r="F78" s="18"/>
      <c r="G78" s="18"/>
    </row>
    <row r="79" spans="1:7" ht="12.75">
      <c r="A79" s="18"/>
      <c r="B79" s="18"/>
      <c r="C79" s="18"/>
      <c r="D79" s="18"/>
      <c r="E79" s="18"/>
      <c r="F79" s="18"/>
      <c r="G79" s="18"/>
    </row>
    <row r="80" spans="1:7" ht="12.75">
      <c r="A80" s="18"/>
      <c r="B80" s="18"/>
      <c r="C80" s="18"/>
      <c r="D80" s="18"/>
      <c r="E80" s="18"/>
      <c r="F80" s="18"/>
      <c r="G80" s="18"/>
    </row>
    <row r="81" spans="1:7" ht="12.75">
      <c r="A81" s="18"/>
      <c r="B81" s="18"/>
      <c r="C81" s="18"/>
      <c r="D81" s="18"/>
      <c r="E81" s="18"/>
      <c r="F81" s="18"/>
      <c r="G81" s="18"/>
    </row>
    <row r="82" spans="1:7" ht="12.75">
      <c r="A82" s="18"/>
      <c r="B82" s="18"/>
      <c r="C82" s="18"/>
      <c r="D82" s="18"/>
      <c r="E82" s="18"/>
      <c r="F82" s="18"/>
      <c r="G82" s="18"/>
    </row>
    <row r="83" spans="1:7" ht="12.75">
      <c r="A83" s="18"/>
      <c r="B83" s="18"/>
      <c r="C83" s="18"/>
      <c r="D83" s="18"/>
      <c r="E83" s="18"/>
      <c r="F83" s="18"/>
      <c r="G83" s="18"/>
    </row>
    <row r="84" spans="1:7" ht="12.75">
      <c r="A84" s="18"/>
      <c r="B84" s="18"/>
      <c r="C84" s="18"/>
      <c r="D84" s="18"/>
      <c r="E84" s="18"/>
      <c r="F84" s="18"/>
      <c r="G84" s="18"/>
    </row>
    <row r="85" spans="1:7" ht="12.75">
      <c r="A85" s="18"/>
      <c r="B85" s="18"/>
      <c r="C85" s="18"/>
      <c r="D85" s="18"/>
      <c r="E85" s="18"/>
      <c r="F85" s="18"/>
      <c r="G85" s="18"/>
    </row>
    <row r="86" spans="1:7" ht="12.75">
      <c r="A86" s="18"/>
      <c r="B86" s="18"/>
      <c r="C86" s="18"/>
      <c r="D86" s="18"/>
      <c r="E86" s="18"/>
      <c r="F86" s="18"/>
      <c r="G86" s="18"/>
    </row>
  </sheetData>
  <sheetProtection/>
  <mergeCells count="20">
    <mergeCell ref="B3:D3"/>
    <mergeCell ref="E3:G3"/>
    <mergeCell ref="I3:K3"/>
    <mergeCell ref="L3:M3"/>
    <mergeCell ref="D21:F21"/>
    <mergeCell ref="A42:A43"/>
    <mergeCell ref="B42:B43"/>
    <mergeCell ref="C42:C43"/>
    <mergeCell ref="D42:D43"/>
    <mergeCell ref="E42:E43"/>
    <mergeCell ref="L42:O42"/>
    <mergeCell ref="A44:A57"/>
    <mergeCell ref="B60:I60"/>
    <mergeCell ref="A61:A62"/>
    <mergeCell ref="F42:F43"/>
    <mergeCell ref="G42:G43"/>
    <mergeCell ref="H42:H43"/>
    <mergeCell ref="I42:I43"/>
    <mergeCell ref="J42:J43"/>
    <mergeCell ref="K42:K43"/>
  </mergeCells>
  <printOptions/>
  <pageMargins left="0.75" right="0.75" top="1" bottom="1" header="0.5" footer="0.5"/>
  <pageSetup orientation="portrait" paperSize="9"/>
  <ignoredErrors>
    <ignoredError sqref="H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D40" sqref="D40"/>
    </sheetView>
  </sheetViews>
  <sheetFormatPr defaultColWidth="16.00390625" defaultRowHeight="12.75"/>
  <cols>
    <col min="1" max="1" width="20.57421875" style="2" customWidth="1"/>
    <col min="2" max="2" width="33.851562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3.140625" style="2" customWidth="1"/>
    <col min="15" max="15" width="16.7109375" style="2" customWidth="1"/>
    <col min="16" max="16" width="16.00390625" style="2" customWidth="1"/>
    <col min="17" max="17" width="13.8515625" style="2" customWidth="1"/>
    <col min="18" max="18" width="16.00390625" style="2" customWidth="1"/>
    <col min="19" max="16384" width="16.00390625" style="2" customWidth="1"/>
  </cols>
  <sheetData>
    <row r="1" spans="19:27" ht="12.75">
      <c r="S1" s="18"/>
      <c r="T1" s="18"/>
      <c r="U1" s="18"/>
      <c r="V1" s="18"/>
      <c r="W1" s="18"/>
      <c r="X1" s="18"/>
      <c r="Y1" s="18"/>
      <c r="Z1" s="18"/>
      <c r="AA1" s="18"/>
    </row>
    <row r="2" spans="1:27" ht="20.25" customHeight="1" hidden="1">
      <c r="A2" s="203" t="s">
        <v>98</v>
      </c>
      <c r="B2" s="189" t="str">
        <f>A4</f>
        <v>CAMBIOS EN CIN2+, mujeres 15-19 años, tras 3 a 8 años de vacunación</v>
      </c>
      <c r="C2" s="190"/>
      <c r="D2" s="191"/>
      <c r="E2" s="191"/>
      <c r="F2" s="191"/>
      <c r="G2" s="191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</row>
    <row r="3" spans="1:27" ht="25.5" hidden="1">
      <c r="A3" s="21" t="s">
        <v>16</v>
      </c>
      <c r="B3" s="260" t="s">
        <v>63</v>
      </c>
      <c r="C3" s="260"/>
      <c r="D3" s="260"/>
      <c r="E3" s="260" t="s">
        <v>62</v>
      </c>
      <c r="F3" s="260"/>
      <c r="G3" s="260"/>
      <c r="H3" s="130" t="s">
        <v>23</v>
      </c>
      <c r="I3" s="261" t="s">
        <v>24</v>
      </c>
      <c r="J3" s="262"/>
      <c r="K3" s="263"/>
      <c r="L3" s="261" t="s">
        <v>25</v>
      </c>
      <c r="M3" s="263"/>
      <c r="N3" s="131" t="s">
        <v>26</v>
      </c>
      <c r="O3" s="17"/>
      <c r="S3" s="18"/>
      <c r="T3" s="18"/>
      <c r="V3" s="18"/>
      <c r="W3" s="18"/>
      <c r="X3" s="18"/>
      <c r="Y3" s="18"/>
      <c r="Z3" s="18"/>
      <c r="AA3" s="18"/>
    </row>
    <row r="4" spans="1:27" ht="51" hidden="1">
      <c r="A4" s="22" t="s">
        <v>323</v>
      </c>
      <c r="B4" s="23" t="s">
        <v>19</v>
      </c>
      <c r="C4" s="23" t="s">
        <v>20</v>
      </c>
      <c r="D4" s="23" t="s">
        <v>1</v>
      </c>
      <c r="E4" s="23" t="s">
        <v>19</v>
      </c>
      <c r="F4" s="23" t="s">
        <v>20</v>
      </c>
      <c r="G4" s="23" t="s">
        <v>1</v>
      </c>
      <c r="H4" s="132" t="s">
        <v>27</v>
      </c>
      <c r="I4" s="54" t="s">
        <v>14</v>
      </c>
      <c r="J4" s="55" t="s">
        <v>15</v>
      </c>
      <c r="K4" s="54" t="s">
        <v>1</v>
      </c>
      <c r="L4" s="133" t="s">
        <v>14</v>
      </c>
      <c r="M4" s="134" t="s">
        <v>94</v>
      </c>
      <c r="N4" s="53" t="s">
        <v>27</v>
      </c>
      <c r="O4" s="17"/>
      <c r="P4" s="2" t="s">
        <v>10</v>
      </c>
      <c r="Q4" s="2" t="s">
        <v>10</v>
      </c>
      <c r="S4" s="18"/>
      <c r="T4" s="18"/>
      <c r="V4" s="18"/>
      <c r="W4" s="18"/>
      <c r="X4" s="18"/>
      <c r="Y4" s="18"/>
      <c r="Z4" s="18"/>
      <c r="AA4" s="18"/>
    </row>
    <row r="5" spans="1:27" ht="12.75" hidden="1">
      <c r="A5" s="25" t="s">
        <v>58</v>
      </c>
      <c r="B5" s="212">
        <v>17</v>
      </c>
      <c r="C5" s="122">
        <f>D5-B5</f>
        <v>2415</v>
      </c>
      <c r="D5" s="213">
        <v>2432</v>
      </c>
      <c r="E5" s="212">
        <v>70</v>
      </c>
      <c r="F5" s="122">
        <f>G5-E5</f>
        <v>17224</v>
      </c>
      <c r="G5" s="213">
        <v>17294</v>
      </c>
      <c r="H5" s="182">
        <v>5</v>
      </c>
      <c r="I5" s="136">
        <f>D5*H5</f>
        <v>12160</v>
      </c>
      <c r="J5" s="136">
        <f>G5*H5</f>
        <v>86470</v>
      </c>
      <c r="K5" s="136">
        <f>I5+J5</f>
        <v>98630</v>
      </c>
      <c r="L5" s="137">
        <f aca="true" t="shared" si="0" ref="L5:L10">B5/I5</f>
        <v>0.0013980263157894737</v>
      </c>
      <c r="M5" s="137">
        <f aca="true" t="shared" si="1" ref="M5:M10">E5/J5</f>
        <v>0.0008095293165259628</v>
      </c>
      <c r="N5" s="207">
        <v>17.5</v>
      </c>
      <c r="O5" s="217">
        <f>N5*(D5+G5)</f>
        <v>345205</v>
      </c>
      <c r="P5" s="56" t="str">
        <f aca="true" t="shared" si="2" ref="P5:P10">CONCATENATE(B5," ",$P$4," ",D5)</f>
        <v>17 / 2432</v>
      </c>
      <c r="Q5" s="56" t="str">
        <f aca="true" t="shared" si="3" ref="Q5:Q10">CONCATENATE(E5," ",$Q$4," ",G5)</f>
        <v>70 / 17294</v>
      </c>
      <c r="S5" s="18"/>
      <c r="T5" s="18"/>
      <c r="V5" s="18"/>
      <c r="W5" s="18"/>
      <c r="X5" s="18"/>
      <c r="Y5" s="18"/>
      <c r="Z5" s="18"/>
      <c r="AA5" s="18"/>
    </row>
    <row r="6" spans="1:27" ht="12.75" hidden="1">
      <c r="A6" s="25" t="s">
        <v>59</v>
      </c>
      <c r="B6" s="212">
        <v>74</v>
      </c>
      <c r="C6" s="122">
        <f>D6-B6</f>
        <v>11582</v>
      </c>
      <c r="D6" s="213">
        <v>11656</v>
      </c>
      <c r="E6" s="212">
        <v>194</v>
      </c>
      <c r="F6" s="122">
        <f>G6-E6</f>
        <v>15330</v>
      </c>
      <c r="G6" s="213">
        <v>15524</v>
      </c>
      <c r="H6" s="182">
        <v>8</v>
      </c>
      <c r="I6" s="136">
        <f>D6*H6</f>
        <v>93248</v>
      </c>
      <c r="J6" s="136">
        <f>G6*H6</f>
        <v>124192</v>
      </c>
      <c r="K6" s="136">
        <f>I6+J6</f>
        <v>217440</v>
      </c>
      <c r="L6" s="137">
        <f t="shared" si="0"/>
        <v>0.000793582704186685</v>
      </c>
      <c r="M6" s="137">
        <f t="shared" si="1"/>
        <v>0.0015620973975779438</v>
      </c>
      <c r="N6" s="207">
        <v>17.5</v>
      </c>
      <c r="O6" s="217">
        <f>N6*(D6+G6)</f>
        <v>475650</v>
      </c>
      <c r="P6" s="56" t="str">
        <f t="shared" si="2"/>
        <v>74 / 11656</v>
      </c>
      <c r="Q6" s="56" t="str">
        <f t="shared" si="3"/>
        <v>194 / 15524</v>
      </c>
      <c r="S6" s="18"/>
      <c r="T6" s="18"/>
      <c r="V6" s="18"/>
      <c r="W6" s="18"/>
      <c r="X6" s="18"/>
      <c r="Y6" s="18"/>
      <c r="Z6" s="18"/>
      <c r="AA6" s="18"/>
    </row>
    <row r="7" spans="1:27" ht="12.75" hidden="1">
      <c r="A7" s="25" t="s">
        <v>60</v>
      </c>
      <c r="B7" s="212">
        <v>115</v>
      </c>
      <c r="C7" s="122">
        <f>D7-B7</f>
        <v>28228</v>
      </c>
      <c r="D7" s="213">
        <v>28343</v>
      </c>
      <c r="E7" s="212">
        <v>210</v>
      </c>
      <c r="F7" s="122">
        <f>G7-E7</f>
        <v>25349</v>
      </c>
      <c r="G7" s="213">
        <v>25559</v>
      </c>
      <c r="H7" s="182">
        <v>9</v>
      </c>
      <c r="I7" s="136">
        <f>D7*H7</f>
        <v>255087</v>
      </c>
      <c r="J7" s="136">
        <f>G7*H7</f>
        <v>230031</v>
      </c>
      <c r="K7" s="136">
        <f>I7+J7</f>
        <v>485118</v>
      </c>
      <c r="L7" s="137">
        <f t="shared" si="0"/>
        <v>0.00045082658073520015</v>
      </c>
      <c r="M7" s="137">
        <f t="shared" si="1"/>
        <v>0.0009129204324634506</v>
      </c>
      <c r="N7" s="207">
        <v>17.5</v>
      </c>
      <c r="O7" s="217">
        <f>N7*(D7+G7)</f>
        <v>943285</v>
      </c>
      <c r="P7" s="56" t="str">
        <f t="shared" si="2"/>
        <v>115 / 28343</v>
      </c>
      <c r="Q7" s="56" t="str">
        <f t="shared" si="3"/>
        <v>210 / 25559</v>
      </c>
      <c r="S7" s="18"/>
      <c r="T7" s="18"/>
      <c r="V7" s="18"/>
      <c r="W7" s="18"/>
      <c r="X7" s="18"/>
      <c r="Y7" s="18"/>
      <c r="Z7" s="18"/>
      <c r="AA7" s="18"/>
    </row>
    <row r="8" spans="1:27" ht="12.75" hidden="1">
      <c r="A8" s="25" t="s">
        <v>57</v>
      </c>
      <c r="B8" s="212">
        <v>2585</v>
      </c>
      <c r="C8" s="122">
        <f>D8-B8</f>
        <v>398264</v>
      </c>
      <c r="D8" s="213">
        <v>400849</v>
      </c>
      <c r="E8" s="212">
        <v>2320</v>
      </c>
      <c r="F8" s="122">
        <f>G8-E8</f>
        <v>154703</v>
      </c>
      <c r="G8" s="213">
        <v>157023</v>
      </c>
      <c r="H8" s="182">
        <v>8</v>
      </c>
      <c r="I8" s="136">
        <f>D8*H8</f>
        <v>3206792</v>
      </c>
      <c r="J8" s="136">
        <f>G8*H8</f>
        <v>1256184</v>
      </c>
      <c r="K8" s="136">
        <f>I8+J8</f>
        <v>4462976</v>
      </c>
      <c r="L8" s="137">
        <f t="shared" si="0"/>
        <v>0.0008061015494612684</v>
      </c>
      <c r="M8" s="137">
        <f t="shared" si="1"/>
        <v>0.00184686319838495</v>
      </c>
      <c r="N8" s="207">
        <v>17.5</v>
      </c>
      <c r="O8" s="217">
        <f>N8*(D8+G8)</f>
        <v>9762760</v>
      </c>
      <c r="P8" s="56" t="str">
        <f t="shared" si="2"/>
        <v>2585 / 400849</v>
      </c>
      <c r="Q8" s="56" t="str">
        <f t="shared" si="3"/>
        <v>2320 / 157023</v>
      </c>
      <c r="S8" s="18"/>
      <c r="T8" s="18"/>
      <c r="V8" s="18"/>
      <c r="W8" s="18"/>
      <c r="X8" s="18"/>
      <c r="Y8" s="18"/>
      <c r="Z8" s="18"/>
      <c r="AA8" s="18"/>
    </row>
    <row r="9" spans="1:27" ht="12.75" hidden="1">
      <c r="A9" s="25" t="s">
        <v>61</v>
      </c>
      <c r="B9" s="212">
        <v>1492</v>
      </c>
      <c r="C9" s="122">
        <f>D9-B9</f>
        <v>233906</v>
      </c>
      <c r="D9" s="213">
        <v>235398</v>
      </c>
      <c r="E9" s="212">
        <v>3158</v>
      </c>
      <c r="F9" s="122">
        <f>G9-E9</f>
        <v>199733</v>
      </c>
      <c r="G9" s="213">
        <v>202891</v>
      </c>
      <c r="H9" s="182">
        <v>9</v>
      </c>
      <c r="I9" s="136">
        <f>D9*H9</f>
        <v>2118582</v>
      </c>
      <c r="J9" s="136">
        <f>G9*H9</f>
        <v>1826019</v>
      </c>
      <c r="K9" s="136">
        <f>I9+J9</f>
        <v>3944601</v>
      </c>
      <c r="L9" s="137">
        <f t="shared" si="0"/>
        <v>0.0007042446315507259</v>
      </c>
      <c r="M9" s="137">
        <f t="shared" si="1"/>
        <v>0.0017294453124529372</v>
      </c>
      <c r="N9" s="207">
        <v>17.5</v>
      </c>
      <c r="O9" s="217">
        <f>N9*(D9+G9)</f>
        <v>7670057.5</v>
      </c>
      <c r="P9" s="56" t="str">
        <f t="shared" si="2"/>
        <v>1492 / 235398</v>
      </c>
      <c r="Q9" s="56" t="str">
        <f t="shared" si="3"/>
        <v>3158 / 202891</v>
      </c>
      <c r="S9" s="18"/>
      <c r="T9" s="18"/>
      <c r="V9" s="18"/>
      <c r="W9" s="18"/>
      <c r="X9" s="18"/>
      <c r="Y9" s="18"/>
      <c r="Z9" s="18"/>
      <c r="AA9" s="18"/>
    </row>
    <row r="10" spans="1:27" ht="12.75" hidden="1">
      <c r="A10" s="140">
        <f>COUNT(D5:D9)</f>
        <v>5</v>
      </c>
      <c r="B10" s="141">
        <f>SUM(B5:B9)</f>
        <v>4283</v>
      </c>
      <c r="C10" s="142">
        <v>23009</v>
      </c>
      <c r="D10" s="141">
        <f>SUM(D5:D9)</f>
        <v>678678</v>
      </c>
      <c r="E10" s="141">
        <f>SUM(E5:E9)</f>
        <v>5952</v>
      </c>
      <c r="F10" s="142">
        <v>28669.98</v>
      </c>
      <c r="G10" s="141">
        <f>SUM(G5:G9)</f>
        <v>418291</v>
      </c>
      <c r="H10" s="143">
        <f>K10/(D10+G10)</f>
        <v>8.394735858533833</v>
      </c>
      <c r="I10" s="144">
        <f>SUM(I5:I9)</f>
        <v>5685869</v>
      </c>
      <c r="J10" s="144">
        <f>SUM(J5:J9)</f>
        <v>3522896</v>
      </c>
      <c r="K10" s="144">
        <f>SUM(K5:K9)</f>
        <v>9208765</v>
      </c>
      <c r="L10" s="145">
        <f t="shared" si="0"/>
        <v>0.0007532709599887018</v>
      </c>
      <c r="M10" s="145">
        <f t="shared" si="1"/>
        <v>0.0016895190774862498</v>
      </c>
      <c r="N10" s="146">
        <f>O10/(D10+G10)</f>
        <v>17.5</v>
      </c>
      <c r="O10" s="218">
        <f>SUM(O5:O9)</f>
        <v>19196957.5</v>
      </c>
      <c r="P10" s="57" t="str">
        <f t="shared" si="2"/>
        <v>4283 / 678678</v>
      </c>
      <c r="Q10" s="57" t="str">
        <f t="shared" si="3"/>
        <v>5952 / 418291</v>
      </c>
      <c r="S10" s="18"/>
      <c r="T10" s="18"/>
      <c r="V10" s="18"/>
      <c r="W10" s="18"/>
      <c r="X10" s="18"/>
      <c r="Y10" s="18"/>
      <c r="Z10" s="18"/>
      <c r="AA10" s="18"/>
    </row>
    <row r="11" spans="2:27" ht="13.5" hidden="1" thickBot="1">
      <c r="B11" s="2"/>
      <c r="C11" s="2"/>
      <c r="E11" s="3"/>
      <c r="F11" s="26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3.5" hidden="1" thickBot="1">
      <c r="A12" s="18"/>
      <c r="B12" s="28" t="s">
        <v>51</v>
      </c>
      <c r="C12" s="192">
        <v>0.04043105837747139</v>
      </c>
      <c r="D12" s="264" t="s">
        <v>13</v>
      </c>
      <c r="E12" s="265"/>
      <c r="F12" s="266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26.25" hidden="1" thickBot="1">
      <c r="A13" s="178">
        <f>I40</f>
        <v>0.0016895190774862498</v>
      </c>
      <c r="B13" s="179" t="s">
        <v>52</v>
      </c>
      <c r="C13" s="12"/>
      <c r="D13" s="10" t="s">
        <v>12</v>
      </c>
      <c r="E13" s="11" t="s">
        <v>21</v>
      </c>
      <c r="F13" s="10" t="s">
        <v>22</v>
      </c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3.5" hidden="1" thickBot="1">
      <c r="A14" s="180">
        <f>E40</f>
        <v>8.394735858533833</v>
      </c>
      <c r="B14" s="181" t="s">
        <v>53</v>
      </c>
      <c r="C14" s="12"/>
      <c r="D14" s="193">
        <v>0.8971852436747291</v>
      </c>
      <c r="E14" s="194">
        <v>0.7870184125689839</v>
      </c>
      <c r="F14" s="195">
        <v>1.0227732269187897</v>
      </c>
      <c r="G14" s="12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2.75" hidden="1">
      <c r="A15" s="30"/>
      <c r="B15" s="29"/>
      <c r="C15" s="18"/>
      <c r="D15" s="18"/>
      <c r="E15" s="18"/>
      <c r="F15" s="18"/>
      <c r="G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3.5" hidden="1" thickBot="1">
      <c r="A16" s="30"/>
      <c r="B16" s="31"/>
      <c r="C16" s="32"/>
      <c r="D16" s="33">
        <f>C12*D14</f>
        <v>0.036274148962418866</v>
      </c>
      <c r="E16" s="34">
        <f>C12*E14</f>
        <v>0.03181998738272145</v>
      </c>
      <c r="F16" s="35">
        <f>C12*F14</f>
        <v>0.04135180404446838</v>
      </c>
      <c r="G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2.75" hidden="1">
      <c r="A17" s="30"/>
      <c r="B17" s="29"/>
      <c r="C17" s="18"/>
      <c r="D17" s="18"/>
      <c r="E17" s="18"/>
      <c r="F17" s="18"/>
      <c r="G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3.5" hidden="1" thickBot="1">
      <c r="A18" s="30"/>
      <c r="B18" s="36"/>
      <c r="C18" s="37" t="s">
        <v>2</v>
      </c>
      <c r="D18" s="38">
        <f>C12-D16</f>
        <v>0.004156909415052527</v>
      </c>
      <c r="E18" s="39">
        <f>C12-F16</f>
        <v>-0.000920745666996986</v>
      </c>
      <c r="F18" s="40">
        <f>C12-E16</f>
        <v>0.00861107099474994</v>
      </c>
      <c r="G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3.5" hidden="1" thickBot="1">
      <c r="A19" s="30"/>
      <c r="B19" s="41"/>
      <c r="C19" s="42" t="s">
        <v>3</v>
      </c>
      <c r="D19" s="43">
        <f>1/D18</f>
        <v>240.563336881702</v>
      </c>
      <c r="E19" s="44">
        <f>1/F18</f>
        <v>116.12957326791141</v>
      </c>
      <c r="F19" s="45">
        <f>1/E18</f>
        <v>-1086.0762486795102</v>
      </c>
      <c r="G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2.75" hidden="1">
      <c r="A20" s="30"/>
      <c r="B20" s="29"/>
      <c r="C20" s="12"/>
      <c r="D20" s="12"/>
      <c r="E20" s="12"/>
      <c r="F20" s="12"/>
      <c r="G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2.75" hidden="1">
      <c r="A21" s="30"/>
      <c r="B21" s="123" t="s">
        <v>4</v>
      </c>
      <c r="C21" s="124"/>
      <c r="D21" s="124"/>
      <c r="E21" s="125">
        <f>ROUND(D14,2)</f>
        <v>0.9</v>
      </c>
      <c r="F21" s="126">
        <f>ROUND(D18,4)</f>
        <v>0.0042</v>
      </c>
      <c r="G21" s="127">
        <f>ROUND(D19,0)</f>
        <v>241</v>
      </c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2.75" hidden="1">
      <c r="A22" s="30"/>
      <c r="B22" s="46" t="s">
        <v>6</v>
      </c>
      <c r="C22" s="47">
        <f>ROUND(D16,4)</f>
        <v>0.0363</v>
      </c>
      <c r="D22" s="48">
        <f>ROUND(C12,4)</f>
        <v>0.0404</v>
      </c>
      <c r="E22" s="6">
        <f>ROUND(E14,2)</f>
        <v>0.79</v>
      </c>
      <c r="F22" s="7">
        <f>ROUND(E18,4)</f>
        <v>-0.0009</v>
      </c>
      <c r="G22" s="8">
        <f>ROUND(E19,0)</f>
        <v>116</v>
      </c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2.75" hidden="1">
      <c r="A23" s="30"/>
      <c r="B23" s="46" t="s">
        <v>5</v>
      </c>
      <c r="C23" s="14"/>
      <c r="D23" s="14"/>
      <c r="E23" s="6">
        <f>ROUND(F14,2)</f>
        <v>1.02</v>
      </c>
      <c r="F23" s="7">
        <f>ROUND(F18,4)</f>
        <v>0.0086</v>
      </c>
      <c r="G23" s="8">
        <f>ROUND(F19,0)</f>
        <v>-1086</v>
      </c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2.75" hidden="1">
      <c r="A24" s="30"/>
      <c r="B24" s="46" t="s">
        <v>7</v>
      </c>
      <c r="C24" s="128" t="s">
        <v>54</v>
      </c>
      <c r="D24" s="128" t="s">
        <v>11</v>
      </c>
      <c r="E24" s="129" t="s">
        <v>8</v>
      </c>
      <c r="F24" s="129" t="s">
        <v>9</v>
      </c>
      <c r="G24" s="128" t="s">
        <v>3</v>
      </c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2.75" hidden="1">
      <c r="A25" s="30"/>
      <c r="B25" s="49" t="s">
        <v>0</v>
      </c>
      <c r="C25" s="128" t="str">
        <f>CONCATENATE(C22*100,B24)</f>
        <v>3,63%</v>
      </c>
      <c r="D25" s="128" t="str">
        <f>CONCATENATE(D22*100,B24)</f>
        <v>4,04%</v>
      </c>
      <c r="E25" s="128" t="str">
        <f>CONCATENATE(E21," ",B21,E22,B22,E23,B23)</f>
        <v>0,9 (0,79-1,02)</v>
      </c>
      <c r="F25" s="128" t="str">
        <f>CONCATENATE(F21*100,B24," ",B21,F22*100,B24," ",B25," ",F23*100,B24,B23)</f>
        <v>0,42% (-0,09% a 0,86%)</v>
      </c>
      <c r="G25" s="128" t="str">
        <f>CONCATENATE(G21," ",B21,G22," ",B25," ",G23,B23)</f>
        <v>241 (116 a -1086)</v>
      </c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2.75" hidden="1">
      <c r="A26" s="50"/>
      <c r="B26" s="4"/>
      <c r="C26" s="19"/>
      <c r="D26" s="19"/>
      <c r="E26" s="19"/>
      <c r="F26" s="19"/>
      <c r="G26" s="19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3.5" hidden="1" thickBot="1">
      <c r="A27" s="178">
        <f>A13*A14</f>
        <v>0.014183066383450823</v>
      </c>
      <c r="B27" s="179" t="s">
        <v>55</v>
      </c>
      <c r="C27" s="18"/>
      <c r="D27" s="18"/>
      <c r="E27" s="18"/>
      <c r="F27" s="18"/>
      <c r="G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3.5" hidden="1" thickBot="1">
      <c r="A28" s="51"/>
      <c r="B28" s="18"/>
      <c r="C28" s="186" t="s">
        <v>56</v>
      </c>
      <c r="D28" s="187" t="s">
        <v>11</v>
      </c>
      <c r="E28" s="187" t="s">
        <v>8</v>
      </c>
      <c r="F28" s="187" t="s">
        <v>2</v>
      </c>
      <c r="G28" s="188" t="s">
        <v>3</v>
      </c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26.25" hidden="1" thickBot="1">
      <c r="A29" s="52"/>
      <c r="B29" s="15"/>
      <c r="C29" s="183" t="str">
        <f>C25</f>
        <v>3,63%</v>
      </c>
      <c r="D29" s="184" t="str">
        <f>D25</f>
        <v>4,04%</v>
      </c>
      <c r="E29" s="184" t="str">
        <f>E25</f>
        <v>0,9 (0,79-1,02)</v>
      </c>
      <c r="F29" s="184" t="str">
        <f>F25</f>
        <v>0,42% (-0,09% a 0,86%)</v>
      </c>
      <c r="G29" s="185" t="str">
        <f>G25</f>
        <v>241 (116 a -1086)</v>
      </c>
      <c r="S29" s="18"/>
      <c r="T29" s="18"/>
      <c r="U29" s="18"/>
      <c r="V29" s="18"/>
      <c r="W29" s="18"/>
      <c r="X29" s="18"/>
      <c r="Y29" s="18"/>
      <c r="Z29" s="18"/>
      <c r="AA29" s="18"/>
    </row>
    <row r="30" spans="2:27" ht="12.75" hidden="1">
      <c r="B30" s="2"/>
      <c r="C30" s="2"/>
      <c r="E30" s="3"/>
      <c r="F30" s="26"/>
      <c r="S30" s="18"/>
      <c r="T30" s="18"/>
      <c r="U30" s="18"/>
      <c r="V30" s="18"/>
      <c r="W30" s="18"/>
      <c r="X30" s="18"/>
      <c r="Y30" s="18"/>
      <c r="Z30" s="18"/>
      <c r="AA30" s="18"/>
    </row>
    <row r="31" spans="4:27" ht="13.5" thickBot="1">
      <c r="D31" s="3"/>
      <c r="E31" s="3"/>
      <c r="S31" s="18"/>
      <c r="T31" s="18"/>
      <c r="U31" s="18"/>
      <c r="V31" s="18"/>
      <c r="W31" s="18"/>
      <c r="X31" s="18"/>
      <c r="Y31" s="18"/>
      <c r="Z31" s="18"/>
      <c r="AA31" s="18"/>
    </row>
    <row r="32" spans="1:20" ht="22.5" customHeight="1" thickBot="1">
      <c r="A32" s="245" t="s">
        <v>331</v>
      </c>
      <c r="B32" s="177" t="str">
        <f>B2</f>
        <v>CAMBIOS EN CIN2+, mujeres 15-19 años, tras 3 a 8 años de vacunación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  <c r="S32" s="18"/>
      <c r="T32" s="18"/>
    </row>
    <row r="33" spans="1:20" ht="36" customHeight="1" thickBot="1">
      <c r="A33" s="256" t="s">
        <v>28</v>
      </c>
      <c r="B33" s="256" t="s">
        <v>29</v>
      </c>
      <c r="C33" s="267" t="s">
        <v>30</v>
      </c>
      <c r="D33" s="269" t="s">
        <v>31</v>
      </c>
      <c r="E33" s="256" t="s">
        <v>32</v>
      </c>
      <c r="F33" s="256" t="s">
        <v>91</v>
      </c>
      <c r="G33" s="256" t="s">
        <v>92</v>
      </c>
      <c r="H33" s="256" t="s">
        <v>95</v>
      </c>
      <c r="I33" s="256" t="s">
        <v>96</v>
      </c>
      <c r="J33" s="256" t="s">
        <v>33</v>
      </c>
      <c r="K33" s="258" t="s">
        <v>34</v>
      </c>
      <c r="L33" s="246" t="s">
        <v>35</v>
      </c>
      <c r="M33" s="247"/>
      <c r="N33" s="247"/>
      <c r="O33" s="248"/>
      <c r="S33" s="18"/>
      <c r="T33" s="18"/>
    </row>
    <row r="34" spans="1:20" ht="43.5" customHeight="1" thickBot="1">
      <c r="A34" s="257"/>
      <c r="B34" s="257"/>
      <c r="C34" s="268"/>
      <c r="D34" s="270"/>
      <c r="E34" s="257"/>
      <c r="F34" s="257"/>
      <c r="G34" s="257"/>
      <c r="H34" s="257"/>
      <c r="I34" s="257"/>
      <c r="J34" s="257"/>
      <c r="K34" s="259"/>
      <c r="L34" s="196" t="s">
        <v>36</v>
      </c>
      <c r="M34" s="197" t="s">
        <v>2</v>
      </c>
      <c r="N34" s="198" t="s">
        <v>3</v>
      </c>
      <c r="O34" s="199" t="s">
        <v>37</v>
      </c>
      <c r="S34" s="18"/>
      <c r="T34" s="18"/>
    </row>
    <row r="35" spans="1:20" ht="17.25" customHeight="1">
      <c r="A35" s="249">
        <v>8</v>
      </c>
      <c r="B35" s="135" t="str">
        <f>A5</f>
        <v>2017-Nygard, VerrAG, Muj 17,5y, Seg 5y</v>
      </c>
      <c r="C35" s="58" t="s">
        <v>38</v>
      </c>
      <c r="D35" s="59"/>
      <c r="E35" s="147">
        <f aca="true" t="shared" si="4" ref="E35:E40">H5</f>
        <v>5</v>
      </c>
      <c r="F35" s="148" t="str">
        <f aca="true" t="shared" si="5" ref="F35:F40">P5</f>
        <v>17 / 2432</v>
      </c>
      <c r="G35" s="149">
        <f aca="true" t="shared" si="6" ref="G35:G40">L5</f>
        <v>0.0013980263157894737</v>
      </c>
      <c r="H35" s="148" t="str">
        <f aca="true" t="shared" si="7" ref="H35:H40">Q5</f>
        <v>70 / 17294</v>
      </c>
      <c r="I35" s="150">
        <f aca="true" t="shared" si="8" ref="I35:J40">M5</f>
        <v>0.0008095293165259628</v>
      </c>
      <c r="J35" s="151">
        <f t="shared" si="8"/>
        <v>17.5</v>
      </c>
      <c r="K35" s="119">
        <v>4.4250041543676625E-05</v>
      </c>
      <c r="L35" s="60" t="s">
        <v>71</v>
      </c>
      <c r="M35" s="60" t="s">
        <v>72</v>
      </c>
      <c r="N35" s="61" t="s">
        <v>73</v>
      </c>
      <c r="O35" s="24"/>
      <c r="R35" s="62">
        <f>Q35*K35</f>
        <v>0</v>
      </c>
      <c r="S35" s="18"/>
      <c r="T35" s="18"/>
    </row>
    <row r="36" spans="1:20" ht="17.25" customHeight="1">
      <c r="A36" s="250"/>
      <c r="B36" s="135" t="str">
        <f>A6</f>
        <v>2017-Bernard, VerrAG, Muj 17,5y, Seg 5y</v>
      </c>
      <c r="C36" s="58" t="s">
        <v>38</v>
      </c>
      <c r="D36" s="59"/>
      <c r="E36" s="147">
        <f t="shared" si="4"/>
        <v>8</v>
      </c>
      <c r="F36" s="148" t="str">
        <f t="shared" si="5"/>
        <v>74 / 11656</v>
      </c>
      <c r="G36" s="149">
        <f t="shared" si="6"/>
        <v>0.000793582704186685</v>
      </c>
      <c r="H36" s="148" t="str">
        <f t="shared" si="7"/>
        <v>194 / 15524</v>
      </c>
      <c r="I36" s="149">
        <f t="shared" si="8"/>
        <v>0.0015620973975779438</v>
      </c>
      <c r="J36" s="151">
        <f t="shared" si="8"/>
        <v>17.5</v>
      </c>
      <c r="K36" s="119">
        <v>0.13852432528301165</v>
      </c>
      <c r="L36" s="60" t="s">
        <v>74</v>
      </c>
      <c r="M36" s="60" t="s">
        <v>75</v>
      </c>
      <c r="N36" s="60" t="s">
        <v>76</v>
      </c>
      <c r="O36" s="27"/>
      <c r="R36" s="62">
        <f>Q36*K36</f>
        <v>0</v>
      </c>
      <c r="S36" s="18"/>
      <c r="T36" s="18"/>
    </row>
    <row r="37" spans="1:20" ht="17.25" customHeight="1">
      <c r="A37" s="250"/>
      <c r="B37" s="135" t="str">
        <f>A7</f>
        <v>2018-Gargano, VerrAG, Muj 17,5y, Seg 5y</v>
      </c>
      <c r="C37" s="58" t="s">
        <v>38</v>
      </c>
      <c r="D37" s="59"/>
      <c r="E37" s="147">
        <f t="shared" si="4"/>
        <v>9</v>
      </c>
      <c r="F37" s="148" t="str">
        <f t="shared" si="5"/>
        <v>115 / 28343</v>
      </c>
      <c r="G37" s="149">
        <f t="shared" si="6"/>
        <v>0.00045082658073520015</v>
      </c>
      <c r="H37" s="148" t="str">
        <f t="shared" si="7"/>
        <v>210 / 25559</v>
      </c>
      <c r="I37" s="149">
        <f t="shared" si="8"/>
        <v>0.0009129204324634506</v>
      </c>
      <c r="J37" s="151">
        <f t="shared" si="8"/>
        <v>17.5</v>
      </c>
      <c r="K37" s="119">
        <v>0.10989801449831878</v>
      </c>
      <c r="L37" s="60" t="s">
        <v>77</v>
      </c>
      <c r="M37" s="60" t="s">
        <v>78</v>
      </c>
      <c r="N37" s="60" t="s">
        <v>79</v>
      </c>
      <c r="O37" s="27"/>
      <c r="R37" s="62">
        <f>Q37*K37</f>
        <v>0</v>
      </c>
      <c r="S37" s="18"/>
      <c r="T37" s="18"/>
    </row>
    <row r="38" spans="1:20" ht="17.25" customHeight="1">
      <c r="A38" s="250"/>
      <c r="B38" s="135" t="str">
        <f>A8</f>
        <v>2016-Flagg, VerrAG, Muj 17,5y, Seg 5y</v>
      </c>
      <c r="C38" s="58" t="s">
        <v>38</v>
      </c>
      <c r="D38" s="59"/>
      <c r="E38" s="147">
        <f t="shared" si="4"/>
        <v>8</v>
      </c>
      <c r="F38" s="148" t="str">
        <f t="shared" si="5"/>
        <v>2585 / 400849</v>
      </c>
      <c r="G38" s="149">
        <f t="shared" si="6"/>
        <v>0.0008061015494612684</v>
      </c>
      <c r="H38" s="148" t="str">
        <f t="shared" si="7"/>
        <v>2320 / 157023</v>
      </c>
      <c r="I38" s="149">
        <f t="shared" si="8"/>
        <v>0.00184686319838495</v>
      </c>
      <c r="J38" s="151">
        <f t="shared" si="8"/>
        <v>17.5</v>
      </c>
      <c r="K38" s="119">
        <v>0.033483396273007476</v>
      </c>
      <c r="L38" s="60" t="s">
        <v>80</v>
      </c>
      <c r="M38" s="60" t="s">
        <v>81</v>
      </c>
      <c r="N38" s="60" t="s">
        <v>82</v>
      </c>
      <c r="O38" s="27"/>
      <c r="R38" s="62">
        <f>Q38*K38</f>
        <v>0</v>
      </c>
      <c r="S38" s="18"/>
      <c r="T38" s="18"/>
    </row>
    <row r="39" spans="1:20" ht="17.25" customHeight="1" thickBot="1">
      <c r="A39" s="271"/>
      <c r="B39" s="135" t="str">
        <f>A9</f>
        <v>2018-Brotherton, Verr, Muj 17,5y, Seg 5y</v>
      </c>
      <c r="C39" s="58" t="s">
        <v>38</v>
      </c>
      <c r="D39" s="59"/>
      <c r="E39" s="147">
        <f t="shared" si="4"/>
        <v>9</v>
      </c>
      <c r="F39" s="148" t="str">
        <f t="shared" si="5"/>
        <v>1492 / 235398</v>
      </c>
      <c r="G39" s="149">
        <f t="shared" si="6"/>
        <v>0.0007042446315507259</v>
      </c>
      <c r="H39" s="148" t="str">
        <f t="shared" si="7"/>
        <v>3158 / 202891</v>
      </c>
      <c r="I39" s="149">
        <f t="shared" si="8"/>
        <v>0.0017294453124529372</v>
      </c>
      <c r="J39" s="151">
        <f t="shared" si="8"/>
        <v>17.5</v>
      </c>
      <c r="K39" s="119">
        <v>0.03654851199687224</v>
      </c>
      <c r="L39" s="60" t="s">
        <v>83</v>
      </c>
      <c r="M39" s="60" t="s">
        <v>84</v>
      </c>
      <c r="N39" s="60" t="s">
        <v>85</v>
      </c>
      <c r="O39" s="27"/>
      <c r="R39" s="62">
        <f>Q39*K39</f>
        <v>0</v>
      </c>
      <c r="S39" s="18"/>
      <c r="T39" s="18"/>
    </row>
    <row r="40" spans="1:20" ht="21.75" thickBot="1">
      <c r="A40" s="154" t="s">
        <v>39</v>
      </c>
      <c r="B40" s="155">
        <f>COUNT(E35:E39)</f>
        <v>5</v>
      </c>
      <c r="C40" s="156"/>
      <c r="D40" s="63" t="s">
        <v>64</v>
      </c>
      <c r="E40" s="157">
        <f t="shared" si="4"/>
        <v>8.394735858533833</v>
      </c>
      <c r="F40" s="158" t="str">
        <f t="shared" si="5"/>
        <v>4283 / 678678</v>
      </c>
      <c r="G40" s="159">
        <f t="shared" si="6"/>
        <v>0.0007532709599887018</v>
      </c>
      <c r="H40" s="158" t="str">
        <f t="shared" si="7"/>
        <v>5952 / 418291</v>
      </c>
      <c r="I40" s="159">
        <f t="shared" si="8"/>
        <v>0.0016895190774862498</v>
      </c>
      <c r="J40" s="157">
        <f t="shared" si="8"/>
        <v>17.5</v>
      </c>
      <c r="K40" s="160">
        <v>0.9999999999999998</v>
      </c>
      <c r="L40" s="112" t="s">
        <v>65</v>
      </c>
      <c r="M40" s="64"/>
      <c r="N40" s="65"/>
      <c r="O40" s="66"/>
      <c r="R40" s="161">
        <f>SUM(R35:R39)</f>
        <v>0</v>
      </c>
      <c r="S40" s="18"/>
      <c r="T40" s="18"/>
    </row>
    <row r="41" spans="1:15" ht="13.5" thickBot="1">
      <c r="A41" s="67"/>
      <c r="B41" s="67"/>
      <c r="C41" s="68"/>
      <c r="D41" s="69"/>
      <c r="E41" s="70"/>
      <c r="F41" s="71"/>
      <c r="G41" s="72"/>
      <c r="H41" s="71"/>
      <c r="I41" s="73"/>
      <c r="J41" s="74"/>
      <c r="K41" s="75"/>
      <c r="L41" s="64"/>
      <c r="M41" s="65"/>
      <c r="N41" s="65"/>
      <c r="O41" s="75"/>
    </row>
    <row r="42" spans="1:255" ht="48" thickBot="1">
      <c r="A42" s="76"/>
      <c r="B42" s="251" t="s">
        <v>99</v>
      </c>
      <c r="C42" s="252"/>
      <c r="D42" s="252"/>
      <c r="E42" s="252"/>
      <c r="F42" s="252"/>
      <c r="G42" s="252"/>
      <c r="H42" s="252"/>
      <c r="I42" s="253"/>
      <c r="J42" s="77" t="s">
        <v>93</v>
      </c>
      <c r="K42" s="162" t="s">
        <v>97</v>
      </c>
      <c r="L42" s="78" t="s">
        <v>36</v>
      </c>
      <c r="M42" s="79" t="s">
        <v>2</v>
      </c>
      <c r="N42" s="80" t="s">
        <v>3</v>
      </c>
      <c r="O42" s="6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15" ht="19.5" customHeight="1">
      <c r="A43" s="254" t="s">
        <v>40</v>
      </c>
      <c r="B43" s="81" t="s">
        <v>41</v>
      </c>
      <c r="C43" s="82">
        <f>I40</f>
        <v>0.0016895190774862498</v>
      </c>
      <c r="D43" s="83" t="s">
        <v>42</v>
      </c>
      <c r="E43" s="83"/>
      <c r="F43" s="83"/>
      <c r="G43" s="83"/>
      <c r="H43" s="84">
        <f>J40</f>
        <v>17.5</v>
      </c>
      <c r="I43" s="85" t="s">
        <v>43</v>
      </c>
      <c r="J43" s="86">
        <v>0.0097</v>
      </c>
      <c r="K43" s="87">
        <v>0.0109</v>
      </c>
      <c r="L43" s="113" t="s">
        <v>65</v>
      </c>
      <c r="M43" s="88" t="s">
        <v>69</v>
      </c>
      <c r="N43" s="205" t="s">
        <v>70</v>
      </c>
      <c r="O43" s="89" t="s">
        <v>44</v>
      </c>
    </row>
    <row r="44" spans="1:15" ht="19.5" thickBot="1">
      <c r="A44" s="255"/>
      <c r="B44" s="163" t="s">
        <v>41</v>
      </c>
      <c r="C44" s="164">
        <f>I40*E40</f>
        <v>0.014183066383450823</v>
      </c>
      <c r="D44" s="165" t="s">
        <v>45</v>
      </c>
      <c r="E44" s="166"/>
      <c r="F44" s="167"/>
      <c r="G44" s="168">
        <f>E40</f>
        <v>8.394735858533833</v>
      </c>
      <c r="H44" s="165" t="s">
        <v>46</v>
      </c>
      <c r="I44" s="169"/>
      <c r="J44" s="170">
        <v>0.0363</v>
      </c>
      <c r="K44" s="171">
        <v>0.0404</v>
      </c>
      <c r="L44" s="114" t="s">
        <v>65</v>
      </c>
      <c r="M44" s="90" t="s">
        <v>66</v>
      </c>
      <c r="N44" s="206" t="s">
        <v>67</v>
      </c>
      <c r="O44" s="91" t="s">
        <v>68</v>
      </c>
    </row>
    <row r="45" spans="1:15" ht="19.5" thickBot="1">
      <c r="A45" s="92"/>
      <c r="B45" s="93"/>
      <c r="C45" s="94"/>
      <c r="D45" s="95"/>
      <c r="E45" s="96"/>
      <c r="F45" s="97"/>
      <c r="G45" s="98"/>
      <c r="H45" s="95"/>
      <c r="I45" s="97"/>
      <c r="J45" s="99"/>
      <c r="K45" s="99"/>
      <c r="L45" s="100"/>
      <c r="M45" s="101"/>
      <c r="N45" s="101"/>
      <c r="O45" s="102"/>
    </row>
    <row r="46" spans="1:15" ht="19.5" thickBot="1">
      <c r="A46" s="103"/>
      <c r="B46" s="103"/>
      <c r="C46" s="75"/>
      <c r="D46" s="75"/>
      <c r="E46" s="75"/>
      <c r="F46" s="75"/>
      <c r="G46" s="75"/>
      <c r="H46" s="75"/>
      <c r="I46" s="104"/>
      <c r="J46" s="105"/>
      <c r="K46" s="106" t="s">
        <v>47</v>
      </c>
      <c r="L46" s="115" t="s">
        <v>90</v>
      </c>
      <c r="M46" s="107"/>
      <c r="N46" s="108"/>
      <c r="O46" s="109"/>
    </row>
    <row r="47" spans="1:11" ht="12.75">
      <c r="A47" s="20"/>
      <c r="C47" s="2"/>
      <c r="I47" s="5" t="s">
        <v>48</v>
      </c>
      <c r="J47" s="204">
        <f>G44</f>
        <v>8.394735858533833</v>
      </c>
      <c r="K47" s="204">
        <f>J47</f>
        <v>8.394735858533833</v>
      </c>
    </row>
    <row r="48" spans="1:12" ht="12.75">
      <c r="A48" s="20"/>
      <c r="C48" s="2"/>
      <c r="I48" s="13"/>
      <c r="J48" s="138" t="s">
        <v>14</v>
      </c>
      <c r="K48" s="138" t="s">
        <v>94</v>
      </c>
      <c r="L48" s="138" t="s">
        <v>49</v>
      </c>
    </row>
    <row r="49" spans="9:14" ht="17.25">
      <c r="I49" s="110" t="s">
        <v>50</v>
      </c>
      <c r="J49" s="118">
        <f>J43*1000*J47</f>
        <v>81.42893782777819</v>
      </c>
      <c r="K49" s="116">
        <f>K43*1000*K47</f>
        <v>91.50262085801879</v>
      </c>
      <c r="L49" s="117">
        <f>((J49*I10)+(K49*J10))/K10</f>
        <v>85.28271601111791</v>
      </c>
      <c r="M49" s="111"/>
      <c r="N49" s="111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</sheetData>
  <sheetProtection/>
  <mergeCells count="20">
    <mergeCell ref="L33:O33"/>
    <mergeCell ref="B42:I42"/>
    <mergeCell ref="A43:A44"/>
    <mergeCell ref="A35:A39"/>
    <mergeCell ref="F33:F34"/>
    <mergeCell ref="G33:G34"/>
    <mergeCell ref="H33:H34"/>
    <mergeCell ref="I33:I34"/>
    <mergeCell ref="J33:J34"/>
    <mergeCell ref="K33:K34"/>
    <mergeCell ref="B3:D3"/>
    <mergeCell ref="E3:G3"/>
    <mergeCell ref="I3:K3"/>
    <mergeCell ref="L3:M3"/>
    <mergeCell ref="D12:F12"/>
    <mergeCell ref="A33:A34"/>
    <mergeCell ref="B33:B34"/>
    <mergeCell ref="C33:C34"/>
    <mergeCell ref="D33:D34"/>
    <mergeCell ref="E33:E34"/>
  </mergeCells>
  <printOptions/>
  <pageMargins left="0.7" right="0.7" top="0.75" bottom="0.75" header="0.3" footer="0.3"/>
  <pageSetup horizontalDpi="300" verticalDpi="300" orientation="portrait" paperSize="9" r:id="rId1"/>
  <ignoredErrors>
    <ignoredError sqref="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2014-05-23T10:57:58Z</cp:lastPrinted>
  <dcterms:created xsi:type="dcterms:W3CDTF">2009-05-28T14:19:22Z</dcterms:created>
  <dcterms:modified xsi:type="dcterms:W3CDTF">2019-07-06T15:23:21Z</dcterms:modified>
  <cp:category/>
  <cp:version/>
  <cp:contentType/>
  <cp:contentStatus/>
</cp:coreProperties>
</file>