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7245" tabRatio="669" activeTab="0"/>
  </bookViews>
  <sheets>
    <sheet name="Incid Acum" sheetId="1" r:id="rId1"/>
    <sheet name="NNT por HR" sheetId="2" r:id="rId2"/>
    <sheet name="Colum enfrent" sheetId="3" r:id="rId3"/>
    <sheet name="Forest plot MNI con RAR" sheetId="4" r:id="rId4"/>
    <sheet name="Forest plot MNI con RR" sheetId="5" r:id="rId5"/>
    <sheet name="Size" sheetId="6" r:id="rId6"/>
    <sheet name="Ln" sheetId="7" r:id="rId7"/>
  </sheets>
  <definedNames>
    <definedName name="ArticleComments" localSheetId="0">'Incid Acum'!#REF!</definedName>
  </definedNames>
  <calcPr fullCalcOnLoad="1"/>
</workbook>
</file>

<file path=xl/sharedStrings.xml><?xml version="1.0" encoding="utf-8"?>
<sst xmlns="http://schemas.openxmlformats.org/spreadsheetml/2006/main" count="859" uniqueCount="383">
  <si>
    <t>Límite inferior del IC</t>
  </si>
  <si>
    <t>Límite superior del IC</t>
  </si>
  <si>
    <t>Sin eventos</t>
  </si>
  <si>
    <t>Con eventos</t>
  </si>
  <si>
    <t>Nº con evento</t>
  </si>
  <si>
    <t>EE (ln RR) = Raíz [b / a(a+b)]+[d/ c(c+d)]</t>
  </si>
  <si>
    <t>RR</t>
  </si>
  <si>
    <t>Z α/2 (0,05)</t>
  </si>
  <si>
    <t>pM = proporción "media" de los eventos = nº total eventos / nº suma de ambos grupos; qM= complementario</t>
  </si>
  <si>
    <t>Los límites del intervalos de confianza son los exponentes neperianos o antilogaritmos de la ecuación [ ln RR +- Z α/2 x EE (ln RR) ]</t>
  </si>
  <si>
    <t>C= 2(n+z^2)</t>
  </si>
  <si>
    <t>IC = (A+-B)/C</t>
  </si>
  <si>
    <t>A= 2*eventos + z^2</t>
  </si>
  <si>
    <t>p (proporción) = eventos / n</t>
  </si>
  <si>
    <t>Operar</t>
  </si>
  <si>
    <t>Primero se procede haciendo los IC de ambas proporciones por el método de Wilson, y después se aplica: IC = RAR - Raíz [(p1-Ls1)^2 + (Li2-p2)^2]  hasta RAR + Raíz [(p2-Ls2)^2 + (Li1-p1)^2]</t>
  </si>
  <si>
    <t xml:space="preserve">Mét. Newcombe, 1988 </t>
  </si>
  <si>
    <t>A continuación, se aplica: IC = RAR - Raíz [(p1-Li1)^2 + (Ls2-p2)^2]  hasta RAR + Raíz [(p2-Li2)^2 + (Ls1-p1)^2], cuidando colocar arriba la proporción mayor y abajo la menor</t>
  </si>
  <si>
    <t>Mét.Wilson</t>
  </si>
  <si>
    <t xml:space="preserve">EE (ln RR)= error estándar del logaritmo neperiano de RR = Raíz [b/ a(a+b)]+[d / c(c+d)] </t>
  </si>
  <si>
    <t>CÁLCULO DE LA POTENCIA:</t>
  </si>
  <si>
    <t>n = nº de los que hay en cada grupo (ojo, no de la suma de ambos)</t>
  </si>
  <si>
    <t>d = diferencia de proporciones de ambos grupos o RAR</t>
  </si>
  <si>
    <t>probabliidad o riesgo de cometer un error β =&gt; probabilidad de no detectar una diferencia que sí exista.</t>
  </si>
  <si>
    <t>1 -β = potencia estadística resultante =&gt; probab de detectar una diferencia entre ambos, en caso de que exista</t>
  </si>
  <si>
    <t>Expuestos</t>
  </si>
  <si>
    <t>No expuestos</t>
  </si>
  <si>
    <t>ln de límite superior</t>
  </si>
  <si>
    <t>ln de límite inferior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</si>
  <si>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</si>
  <si>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</si>
  <si>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</si>
  <si>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</si>
  <si>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</si>
  <si>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</si>
  <si>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</si>
  <si>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</si>
  <si>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Cálculo del intervalo de confianza del RAR y del NNT</t>
  </si>
  <si>
    <t>Estimación puntual de la proporción</t>
  </si>
  <si>
    <t>1-α = probabilidad dar por buena una diferencia que no existe.</t>
  </si>
  <si>
    <t>Z α/2 = Dif Proporc / EE (Difer Proporc)</t>
  </si>
  <si>
    <t>Dif Proporc de ambos grupos =  RAR</t>
  </si>
  <si>
    <t xml:space="preserve">EE (Dif Proporc) = Raíz[ pm(1-pm)/n1] + [ pm(1-pm)/n2] = 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</si>
  <si>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</si>
  <si>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</si>
  <si>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Cálculo del intervalo de confianza (IC) cada una de las dos proporciones (Riesgo absoluto de la intervención y Riesgo absoluto del control)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</si>
  <si>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</si>
  <si>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</si>
  <si>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</si>
  <si>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</si>
  <si>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</si>
  <si>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</si>
  <si>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</si>
  <si>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</si>
  <si>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</si>
  <si>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</si>
  <si>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</si>
  <si>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</si>
  <si>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</si>
  <si>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χ² cal= Sumat (observado i - esperado i)^2 / esperado i)</t>
  </si>
  <si>
    <t>Z α/2 = Dif Proporc / EE Dif proporc</t>
  </si>
  <si>
    <t>RRR</t>
  </si>
  <si>
    <t xml:space="preserve">NNT = 1 / RAR = </t>
  </si>
  <si>
    <t>---------------------------------------------&gt;</t>
  </si>
  <si>
    <t>RA control</t>
  </si>
  <si>
    <t>RAR (IC 95%)</t>
  </si>
  <si>
    <t>NNT (IC 95%)</t>
  </si>
  <si>
    <t>α = probab de que la diferencia detectada entre ambos sea debida al azar, en caso de que no exista (error alfa)</t>
  </si>
  <si>
    <t>(</t>
  </si>
  <si>
    <t>)</t>
  </si>
  <si>
    <t>-</t>
  </si>
  <si>
    <t>%</t>
  </si>
  <si>
    <t>RR (IC 95%)</t>
  </si>
  <si>
    <t>RAR (IC95%)</t>
  </si>
  <si>
    <t>RA interv</t>
  </si>
  <si>
    <t>HR (IC 95%)</t>
  </si>
  <si>
    <t>% Eventos interv = complementario:</t>
  </si>
  <si>
    <t>NNT</t>
  </si>
  <si>
    <t>CÁLCULOS EN RIESGOS ACUMULADOS</t>
  </si>
  <si>
    <t>/</t>
  </si>
  <si>
    <t xml:space="preserve">en </t>
  </si>
  <si>
    <t>…….</t>
  </si>
  <si>
    <t>años</t>
  </si>
  <si>
    <t>RAR</t>
  </si>
  <si>
    <t>potencia</t>
  </si>
  <si>
    <t>Potencia</t>
  </si>
  <si>
    <t>Eventos que sucederán aun tomando el Mto Intervención</t>
  </si>
  <si>
    <t>Permanecerán sin evento en la misma proporción con el Mto Control</t>
  </si>
  <si>
    <t>Eventos que sucederán con el Mto Intervención y con Mto Control</t>
  </si>
  <si>
    <t>Eventos que sucederán más con el Mto Intervención que con el  Mto Control</t>
  </si>
  <si>
    <t>Eventos que se evitarán más con el Mto Intervención que con el  Mto Control</t>
  </si>
  <si>
    <t>APLICAR SÓLO SI EL NNT Y SUS IC SON POSITIVOS</t>
  </si>
  <si>
    <t>APLICAR SÓLO SI EL NNT Y SUS IC SON NEGATIVOS</t>
  </si>
  <si>
    <t>Chi cuadrado de Pearson</t>
  </si>
  <si>
    <t>Estimación puntual</t>
  </si>
  <si>
    <t>====&gt;  NNT</t>
  </si>
  <si>
    <t>====&gt;  NND</t>
  </si>
  <si>
    <t>Ev (% RA interv)</t>
  </si>
  <si>
    <t>Ev (% RA control)</t>
  </si>
  <si>
    <t>n= 6076</t>
  </si>
  <si>
    <t>n= 6022</t>
  </si>
  <si>
    <t>RR (IC, 95%)</t>
  </si>
  <si>
    <t>RAR (IC, 95%)</t>
  </si>
  <si>
    <t>NNT (IC, 95%)</t>
  </si>
  <si>
    <t>VARIABLES PRINCIPALES DE EFICACIA</t>
  </si>
  <si>
    <t>[ACV o Embolismo sistémico]</t>
  </si>
  <si>
    <t>202 (3,35%)</t>
  </si>
  <si>
    <t>134 (2,21%)</t>
  </si>
  <si>
    <t>Muerte por todas las causas</t>
  </si>
  <si>
    <t>487 (8,1%)</t>
  </si>
  <si>
    <t>438 (7,2%)</t>
  </si>
  <si>
    <t>Muerte por causa vascular</t>
  </si>
  <si>
    <t>317 (5,3%)</t>
  </si>
  <si>
    <t>274 (4,5%)</t>
  </si>
  <si>
    <t>ACV totales</t>
  </si>
  <si>
    <t>185 (3,1%)</t>
  </si>
  <si>
    <t>122 (2,0%)</t>
  </si>
  <si>
    <t>ACV hemorrágico</t>
  </si>
  <si>
    <t>45 (0,7%)</t>
  </si>
  <si>
    <t>12 (0,2%)</t>
  </si>
  <si>
    <t>ACV isquémico o inespecífico</t>
  </si>
  <si>
    <t>142 (2,4%)</t>
  </si>
  <si>
    <t>111 (1,8%)</t>
  </si>
  <si>
    <t>ACV no incapacitante</t>
  </si>
  <si>
    <t>69 (1,1%)</t>
  </si>
  <si>
    <t>44 (0,7%)</t>
  </si>
  <si>
    <t>ACV fatal o incapacitante</t>
  </si>
  <si>
    <t>118 (2,0%)</t>
  </si>
  <si>
    <t>80 (1,3%)</t>
  </si>
  <si>
    <t>TEP</t>
  </si>
  <si>
    <t>11 (0,2%)</t>
  </si>
  <si>
    <t>18 (0,3%)</t>
  </si>
  <si>
    <t>IAM</t>
  </si>
  <si>
    <t>75 (1,2%)</t>
  </si>
  <si>
    <t>97 (1,6%)</t>
  </si>
  <si>
    <t>Hospitalización</t>
  </si>
  <si>
    <t>2458 (40,8%)</t>
  </si>
  <si>
    <t>2430 (40,0%)</t>
  </si>
  <si>
    <t>VARAIBLES SECUNDARIAS DE SEGURIDAD</t>
  </si>
  <si>
    <t>Hemorragia mayor</t>
  </si>
  <si>
    <t>421 (6,99%)</t>
  </si>
  <si>
    <t>399 (6,57%)</t>
  </si>
  <si>
    <t>Hemorragia fatal (datos informe FDA) (*)</t>
  </si>
  <si>
    <t>36 (0,6%)</t>
  </si>
  <si>
    <t>26 (0,43%)</t>
  </si>
  <si>
    <t>Hemorragia mayor amenazante vida</t>
  </si>
  <si>
    <t>212 (3,5%)</t>
  </si>
  <si>
    <t>175 (2,9%)</t>
  </si>
  <si>
    <t>Hemorr mayor NO amenazante vida</t>
  </si>
  <si>
    <t>208 (3,5%)</t>
  </si>
  <si>
    <t>226 (3,7%)</t>
  </si>
  <si>
    <t>Hemorragia GI mayor</t>
  </si>
  <si>
    <t>120 (2,0%)</t>
  </si>
  <si>
    <t>182 (3,0%)</t>
  </si>
  <si>
    <t>Hemorragia menor</t>
  </si>
  <si>
    <t>1931 (32,1%)</t>
  </si>
  <si>
    <t>1787 (29,4%)</t>
  </si>
  <si>
    <t>Hemorragia mayor o menor</t>
  </si>
  <si>
    <t>2142 (35,6%)</t>
  </si>
  <si>
    <t>1977 (32,5%)</t>
  </si>
  <si>
    <t>Hemorragia intracraneal</t>
  </si>
  <si>
    <t>87 (1,4%)</t>
  </si>
  <si>
    <t>Hemorragia extracraneal</t>
  </si>
  <si>
    <t>315 (5,2%)</t>
  </si>
  <si>
    <t>342 (5,6%)</t>
  </si>
  <si>
    <t>901 (15,0%)</t>
  </si>
  <si>
    <t>832 (13,7%)</t>
  </si>
  <si>
    <t>Nº event Interv (%)</t>
  </si>
  <si>
    <t>Nº event Control (%)</t>
  </si>
  <si>
    <t>Cálculo en time to event</t>
  </si>
  <si>
    <t>HR (IC, 95%)</t>
  </si>
  <si>
    <t>TABLA YYY: Seguridad hepática (signos y síntomas) durante 2 años de seguimiento.</t>
  </si>
  <si>
    <t>GOT o GPT &gt; 3 LSN</t>
  </si>
  <si>
    <t>Durante 2 año de seguimiento</t>
  </si>
  <si>
    <t>13 / 6076 (0,2%)</t>
  </si>
  <si>
    <t>21 / 6022 (0,3%)</t>
  </si>
  <si>
    <t>GOT o GPT &gt; 3 LSN al mismo tiempo que Bilirrubina &gt; 2 LSN</t>
  </si>
  <si>
    <t>Trastornos hepatobiliares</t>
  </si>
  <si>
    <t>Graves</t>
  </si>
  <si>
    <t>No graves</t>
  </si>
  <si>
    <t>Perfil: hombre, mujer de 71 años (DE 9) con fibrilación auricular (persistente/paroxistica/permanente 1:1:1), con al menos 1 FR de ACV [puntuación CHADS2 2,1 (DE 1,1)]</t>
  </si>
  <si>
    <t>117 / 6076 (1,9%)</t>
  </si>
  <si>
    <t>132 / 6022 (2,2%)</t>
  </si>
  <si>
    <t>Con evento</t>
  </si>
  <si>
    <t>Sin evento</t>
  </si>
  <si>
    <t>No ACV</t>
  </si>
  <si>
    <t>ACV</t>
  </si>
  <si>
    <t>DAB 300</t>
  </si>
  <si>
    <t>WARF</t>
  </si>
  <si>
    <t>1º) Inverso de 0,53=</t>
  </si>
  <si>
    <t>2º) Hallo el Ln de 1,89=</t>
  </si>
  <si>
    <t>3º) Divido por 2 el 0,6348 de la casilla de arriba=</t>
  </si>
  <si>
    <t>4º) Hago el anti-Ln de 0,3174=</t>
  </si>
  <si>
    <t>5º) =&gt; Es éste el MNI para guardar la mitad del efecto de WARF frente a Plac</t>
  </si>
  <si>
    <t>Hart RG, Benavente O, McBride R, Pearce LA. Antithrombotic therapy to prevent stroke in patients with atrial fibrillation: a meta-analysis. Ann Intern Med 1999;131(7):492-501.</t>
  </si>
  <si>
    <t>CÓMO SE INTERPRETA Y CALCULA EL MARGEN DE NO INFERIORIDAD SOBRE EL RR: EL EJEMPLO DEL RELY.</t>
  </si>
  <si>
    <t>Pero a nosotros nos interesa situar en el 1 a WARF, con lo que entonces WARF es el control, y lo expresamos al revés, es decir PLAC vs WARF. Pues bien,</t>
  </si>
  <si>
    <t>RE-LY, Mediana seguimiento 2 años</t>
  </si>
  <si>
    <t>Warfarina titulada para INR 2-3;</t>
  </si>
  <si>
    <t xml:space="preserve">Dabigatrán 300; </t>
  </si>
  <si>
    <t>HR = LOG(Si;Sc)</t>
  </si>
  <si>
    <t>Si = Sc^HR</t>
  </si>
  <si>
    <t xml:space="preserve">1-RAi= (1-RAc)^HR </t>
  </si>
  <si>
    <t xml:space="preserve">RAi= 1 - (1-RAc)^HR </t>
  </si>
  <si>
    <t>Cálculo del tamaño necesario de la muestra</t>
  </si>
  <si>
    <t>DETERMINACIÓN DEL TAMAÑO DE MUESTRA EN CADA GRUPO DE ESTUDIO PARA LA COMPARACIÓN DE DOS MEDIAS</t>
  </si>
  <si>
    <t>Factor de Error = FE</t>
  </si>
  <si>
    <t>Diferenc Medias = DM</t>
  </si>
  <si>
    <t>FE1 = z α/2 * EE (DM)  =  z α/2 * Raiz (S1^2/n1 + S2^2/n2)</t>
  </si>
  <si>
    <t>Contribución de beta --&gt;</t>
  </si>
  <si>
    <t>FE2 =  zβ * EE (DM)  =  zβ * Raiz (S1^2/n1 + S2^2/n2)</t>
  </si>
  <si>
    <t xml:space="preserve">La diferencia de medias DM exacta= </t>
  </si>
  <si>
    <t>DM = FE1 + FE2 = z α/2 * Raiz (S1^2/n1 + S2^2/n2) + zβ * Raiz (S1^2/n1 + S2^2/n2)</t>
  </si>
  <si>
    <t>Aunque la fórmula correcta es la anterior, cabe una utilización simplificada si suponemos que las varianzas y los tamaños son iguales en ambos grupos, con lo que:</t>
  </si>
  <si>
    <t xml:space="preserve">La diferencia de medias DM simplificada= </t>
  </si>
  <si>
    <t>DM = FE1 + FE2 = z α/2 * Raiz (2S^2/n) + zβ * Raiz (2S^2/n)</t>
  </si>
  <si>
    <t xml:space="preserve">De donde se despeja la n= </t>
  </si>
  <si>
    <t xml:space="preserve">n = 2S^2 (z α/2 + zβ)^2 / DM^2 </t>
  </si>
  <si>
    <t>CÁLCULO TAMAÑO MUESTRA PARA DIFERENCIAS DE DOS MEDIAS</t>
  </si>
  <si>
    <t>Desv estándar S</t>
  </si>
  <si>
    <t>Diferencia de medias DM</t>
  </si>
  <si>
    <t>c= DM / S</t>
  </si>
  <si>
    <t>Para un error alfa</t>
  </si>
  <si>
    <t>=&gt; z α/2 =</t>
  </si>
  <si>
    <t>Para un error beta</t>
  </si>
  <si>
    <t>=&gt; zβ =</t>
  </si>
  <si>
    <t>n (cada grupo) =</t>
  </si>
  <si>
    <t>2n (total) =</t>
  </si>
  <si>
    <t>DETERMINACIÓN DEL TAMAÑO DE MUESTRA EN CADA GRUPO DE ESTUDIO PARA LA COMPARACIÓN DE DOS PROPORCIONES.</t>
  </si>
  <si>
    <t xml:space="preserve">Siguendo en mismo razonamiento que antes: </t>
  </si>
  <si>
    <t xml:space="preserve">n = 2pq^2 (z α/2 + zβ)^2 / (pa - pb)^2 </t>
  </si>
  <si>
    <t>La proporción que debe usarse no es ni pA ni pB, sino la llamada porporción media (pM) = pA+pB/2, y así=&gt;</t>
  </si>
  <si>
    <t xml:space="preserve">n = 2pM*qM^2 (z α/2 + zβ)^2 / (pA - pB)^2 </t>
  </si>
  <si>
    <t>CÁLCULO DEL TAMAÑO DE MUESTRA PARA UNA DIFERENCIA DE DOS PROPORCIONES</t>
  </si>
  <si>
    <t>% RA control</t>
  </si>
  <si>
    <t>qA</t>
  </si>
  <si>
    <t>% RA intervención</t>
  </si>
  <si>
    <t>qB</t>
  </si>
  <si>
    <t>pM (=proporción Media)</t>
  </si>
  <si>
    <t>qM</t>
  </si>
  <si>
    <t>Numerador</t>
  </si>
  <si>
    <t>Denominador</t>
  </si>
  <si>
    <t>CÓMO SE INTERPRETA Y CALCULA EL MARGEN DE NO INFERIORIDAD SOBRE LA RAR: EL EJEMPLO DEL RELY.</t>
  </si>
  <si>
    <t xml:space="preserve">Para la variable "ACV", Hart y col, obtuvieron en su metaanálisis un RR 0,38 (0,23-0,52) para WARF vs PLAC. </t>
  </si>
  <si>
    <t>Pero a nosotros nos interesa situar en el "0" a WARF, con lo que entonces WARF es el control, y lo expresamos al revés, es decir PLAC vs WARF. Pues bien,</t>
  </si>
  <si>
    <t>ç</t>
  </si>
  <si>
    <t>Valor de p superioridad</t>
  </si>
  <si>
    <t xml:space="preserve">Margen de No Inferioridad (MNI) para [ACV o Embolismo sistémico] en RR: 1,46 =&gt; lo cumple porque los límites superiores de sus IC son más pequeños que el MNI 1,46. La p de no inferioridad es &lt;0,001 entre DAB 300 y WARF. También hubiera cumplido el MNI en caso de haberse aplicado el 1,38 en el RR.  </t>
  </si>
  <si>
    <t>VARIABLES SECUNDARIAS DE EFICACIA</t>
  </si>
  <si>
    <t>Utilizamos para los cálculos 0,05 ó 5% de dos colas porque es igual que 0,025 ó 2,5% de una cola</t>
  </si>
  <si>
    <t>Si potencia estadística = 84% =&gt; error beta = 100% - 84% = 16%</t>
  </si>
  <si>
    <t>Para un error alfa (2 colas)</t>
  </si>
  <si>
    <t>Para un error beta (1 cola)</t>
  </si>
  <si>
    <t>Años programados = 1 año</t>
  </si>
  <si>
    <t>Máxima distancia para entrar dentro del Margen de No Inferioridad,</t>
  </si>
  <si>
    <t>en el grupo control por el RR, encontramos % de riesgo absoluto máximo</t>
  </si>
  <si>
    <t>Riesgo Absoluto esperado en el grupo de control = 1,6%</t>
  </si>
  <si>
    <t>Los autores proponen que DAB frente a WARF debe mantener en todo su intervalo de confianza al menos la mitad del efecto más beneficioso de PLAC vs WARF.</t>
  </si>
  <si>
    <t>Vemos que el mejor resultado en salud de PLAC vs WARF es el extremo de su intervalo de confianza -0,77%.</t>
  </si>
  <si>
    <t>Vemos que el mejor resultado en salud de PLAC vs WARF es el extremo de su intervalo de confianza 1,92.</t>
  </si>
  <si>
    <t>Para calcular la mitad del 1,92 tenemos que recordar que los IC del RR y HR son log-transformados, de modo que primero hay que convertir el 1,92 en Ln 1,92 = 0,654.</t>
  </si>
  <si>
    <t>Límite inferior del intervalo de confianza al 95%</t>
  </si>
  <si>
    <t>Límite superior del intervalo de confianza al 95%</t>
  </si>
  <si>
    <t>Cálculo de RAR y NNT a partir del HR y el % RA en el grupo control</t>
  </si>
  <si>
    <t>% RA control =</t>
  </si>
  <si>
    <t>100% - % RA control =</t>
  </si>
  <si>
    <t>En excell procéase así: Sc = Potencia(Si;1/HR)</t>
  </si>
  <si>
    <t>[Variable compuesta beneficio neto] (**)</t>
  </si>
  <si>
    <t>Hemorr intracraneal</t>
  </si>
  <si>
    <t>NO Hemorr intracraneal</t>
  </si>
  <si>
    <r>
      <t>p</t>
    </r>
    <r>
      <rPr>
        <sz val="10"/>
        <color indexed="12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</si>
  <si>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color indexed="12"/>
        <rFont val="Calibri"/>
        <family val="2"/>
      </rPr>
      <t>p</t>
    </r>
    <r>
      <rPr>
        <sz val="10"/>
        <color indexed="12"/>
        <rFont val="Calibri"/>
        <family val="2"/>
      </rPr>
      <t xml:space="preserve">)] </t>
    </r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</si>
  <si>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</si>
  <si>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</si>
  <si>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Zβ = [Raíz (nd^2 /2</t>
    </r>
    <r>
      <rPr>
        <i/>
        <sz val="10"/>
        <rFont val="Calibri"/>
        <family val="2"/>
      </rPr>
      <t>pM</t>
    </r>
    <r>
      <rPr>
        <sz val="10"/>
        <rFont val="Calibri"/>
        <family val="2"/>
      </rPr>
      <t>*</t>
    </r>
    <r>
      <rPr>
        <i/>
        <sz val="10"/>
        <rFont val="Calibri"/>
        <family val="2"/>
      </rPr>
      <t>qM</t>
    </r>
    <r>
      <rPr>
        <sz val="10"/>
        <rFont val="Calibri"/>
        <family val="2"/>
      </rPr>
      <t>)] - Z α/2 (0,05)</t>
    </r>
  </si>
  <si>
    <r>
      <t>Ls1:</t>
    </r>
    <r>
      <rPr>
        <sz val="10"/>
        <color indexed="12"/>
        <rFont val="Calibri"/>
        <family val="2"/>
      </rPr>
      <t xml:space="preserve"> límite superior del grupo 1; </t>
    </r>
    <r>
      <rPr>
        <b/>
        <sz val="10"/>
        <color indexed="12"/>
        <rFont val="Calibri"/>
        <family val="2"/>
      </rPr>
      <t xml:space="preserve">Li2: </t>
    </r>
    <r>
      <rPr>
        <sz val="10"/>
        <color indexed="12"/>
        <rFont val="Calibri"/>
        <family val="2"/>
      </rPr>
      <t>límite inferior del grupo 2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</si>
  <si>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</si>
  <si>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>1</t>
    </r>
    <r>
      <rPr>
        <b/>
        <vertAlign val="superscript"/>
        <sz val="10"/>
        <rFont val="Calibri"/>
        <family val="2"/>
      </rPr>
      <t>er</t>
    </r>
    <r>
      <rPr>
        <b/>
        <sz val="10"/>
        <rFont val="Calibri"/>
        <family val="2"/>
      </rPr>
      <t xml:space="preserve"> evento y (%) DAB 300/día;</t>
    </r>
  </si>
  <si>
    <r>
      <t>1</t>
    </r>
    <r>
      <rPr>
        <b/>
        <vertAlign val="superscript"/>
        <sz val="10"/>
        <rFont val="Calibri"/>
        <family val="2"/>
      </rPr>
      <t xml:space="preserve">er </t>
    </r>
    <r>
      <rPr>
        <b/>
        <sz val="10"/>
        <rFont val="Calibri"/>
        <family val="2"/>
      </rPr>
      <t>evento y (%) WARF titulada para INR 2-3;</t>
    </r>
  </si>
  <si>
    <r>
      <t xml:space="preserve">p </t>
    </r>
    <r>
      <rPr>
        <b/>
        <sz val="10"/>
        <rFont val="Calibri"/>
        <family val="2"/>
      </rPr>
      <t>superioridad</t>
    </r>
  </si>
  <si>
    <r>
      <t>ACV:</t>
    </r>
    <r>
      <rPr>
        <sz val="10"/>
        <rFont val="Calibri"/>
        <family val="2"/>
      </rPr>
      <t xml:space="preserve"> accidente cerebrovascular;</t>
    </r>
    <r>
      <rPr>
        <b/>
        <sz val="10"/>
        <rFont val="Calibri"/>
        <family val="2"/>
      </rPr>
      <t xml:space="preserve"> GI:</t>
    </r>
    <r>
      <rPr>
        <sz val="10"/>
        <rFont val="Calibri"/>
        <family val="2"/>
      </rPr>
      <t xml:space="preserve"> gastrointestinal;</t>
    </r>
    <r>
      <rPr>
        <b/>
        <sz val="10"/>
        <rFont val="Calibri"/>
        <family val="2"/>
      </rPr>
      <t xml:space="preserve"> IAM: </t>
    </r>
    <r>
      <rPr>
        <sz val="10"/>
        <rFont val="Calibri"/>
        <family val="2"/>
      </rPr>
      <t>infarto agudo de miocardio;</t>
    </r>
    <r>
      <rPr>
        <b/>
        <sz val="10"/>
        <rFont val="Calibri"/>
        <family val="2"/>
      </rPr>
      <t xml:space="preserve"> TEP: </t>
    </r>
    <r>
      <rPr>
        <sz val="10"/>
        <rFont val="Calibri"/>
        <family val="2"/>
      </rPr>
      <t>tromboembolismo pulmonar</t>
    </r>
  </si>
  <si>
    <r>
      <t xml:space="preserve">(*) Los eventos de </t>
    </r>
    <r>
      <rPr>
        <b/>
        <sz val="10"/>
        <rFont val="Calibri"/>
        <family val="2"/>
      </rPr>
      <t>[Hemorragia fatal]</t>
    </r>
    <r>
      <rPr>
        <sz val="10"/>
        <rFont val="Calibri"/>
        <family val="2"/>
      </rPr>
      <t xml:space="preserve"> ocurrieron en el 6,6% y 8,6% de las </t>
    </r>
    <r>
      <rPr>
        <b/>
        <sz val="10"/>
        <rFont val="Calibri"/>
        <family val="2"/>
      </rPr>
      <t>[Hemorragias mayores]</t>
    </r>
    <r>
      <rPr>
        <sz val="10"/>
        <rFont val="Calibri"/>
        <family val="2"/>
      </rPr>
      <t xml:space="preserve"> con DAB 300 y WARF respectivamente</t>
    </r>
  </si>
  <si>
    <r>
      <t xml:space="preserve">(**) La </t>
    </r>
    <r>
      <rPr>
        <b/>
        <sz val="10"/>
        <rFont val="Calibri"/>
        <family val="2"/>
      </rPr>
      <t>[Variable compuesta de beneficio neto]</t>
    </r>
    <r>
      <rPr>
        <sz val="10"/>
        <rFont val="Calibri"/>
        <family val="2"/>
      </rPr>
      <t xml:space="preserve"> se refiere a:</t>
    </r>
    <r>
      <rPr>
        <b/>
        <sz val="10"/>
        <rFont val="Calibri"/>
        <family val="2"/>
      </rPr>
      <t xml:space="preserve"> [ACV, Embolismo sistémico, Tromboembolismo pulmonar, IAM, Muerte o Hemorragia mayor]</t>
    </r>
    <r>
      <rPr>
        <sz val="10"/>
        <rFont val="Calibri"/>
        <family val="2"/>
      </rPr>
      <t>.</t>
    </r>
  </si>
  <si>
    <r>
      <t xml:space="preserve"> </t>
    </r>
    <r>
      <rPr>
        <sz val="10"/>
        <color indexed="63"/>
        <rFont val="Calibri"/>
        <family val="2"/>
      </rPr>
      <t>34 / 6076 (0,6%)</t>
    </r>
  </si>
  <si>
    <r>
      <t xml:space="preserve"> </t>
    </r>
    <r>
      <rPr>
        <sz val="10"/>
        <color indexed="63"/>
        <rFont val="Calibri"/>
        <family val="2"/>
      </rPr>
      <t xml:space="preserve">33  / 6022 (0,5%)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</si>
  <si>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 xml:space="preserve">109 / 6076 (1,8%) 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</si>
  <si>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color indexed="63"/>
        <rFont val="Calibri"/>
        <family val="2"/>
      </rPr>
      <t xml:space="preserve">112 / 6022 (1,9%) </t>
    </r>
    <r>
      <rPr>
        <sz val="10"/>
        <rFont val="Calibri"/>
        <family val="2"/>
      </rPr>
      <t xml:space="preserve"> </t>
    </r>
  </si>
  <si>
    <t>Intervenciòn</t>
  </si>
  <si>
    <t>Control</t>
  </si>
  <si>
    <t>Perfil: Hombre, mujer de 71 años (DE 9) con fibrilación auricular (persistente, paroxistica o permanente), con al menos 1 factor de riesgo de ACV [media de puntuación CHADS(2): 2,1 (DE 1,1)].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</si>
  <si>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:intervalo de confianza al 95%</t>
    </r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</si>
  <si>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</si>
  <si>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>=</t>
    </r>
  </si>
  <si>
    <r>
      <t>S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</si>
  <si>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</si>
  <si>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t>Mantener al menos la mitad del efecto más beneficioso de PLAC vs WARF significa que los intervalos de confianza de DAB no deben atravesar la mitad del -0,77%;</t>
  </si>
  <si>
    <r>
      <t>La mitad de 0,654 es 0,654/2=0,327. Pues ahí lo tenemos. Ahora sólo falta volver a transformarlo en su número natural haciendo el antilogaritmo, así e</t>
    </r>
    <r>
      <rPr>
        <vertAlign val="superscript"/>
        <sz val="12"/>
        <color indexed="12"/>
        <rFont val="Calibri"/>
        <family val="2"/>
      </rPr>
      <t>0,327</t>
    </r>
    <r>
      <rPr>
        <sz val="12"/>
        <color indexed="12"/>
        <rFont val="Calibri"/>
        <family val="2"/>
      </rPr>
      <t xml:space="preserve">= 1,38. </t>
    </r>
  </si>
  <si>
    <r>
      <t>Contribución de alfa</t>
    </r>
    <r>
      <rPr>
        <b/>
        <sz val="10"/>
        <rFont val="Calibri"/>
        <family val="2"/>
      </rPr>
      <t xml:space="preserve"> --&gt;</t>
    </r>
  </si>
  <si>
    <t>posible para considerarlo no inferior, que es 1,6% x 1,46 = 2,34%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</si>
  <si>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Error alfa</t>
    </r>
    <r>
      <rPr>
        <sz val="10"/>
        <rFont val="Calibri"/>
        <family val="2"/>
      </rPr>
      <t xml:space="preserve">: significación estadística; </t>
    </r>
    <r>
      <rPr>
        <b/>
        <sz val="10"/>
        <rFont val="Calibri"/>
        <family val="2"/>
      </rPr>
      <t>Potencia estadística</t>
    </r>
    <r>
      <rPr>
        <sz val="10"/>
        <rFont val="Calibri"/>
        <family val="2"/>
      </rPr>
      <t xml:space="preserve"> = 1 - Error beta; </t>
    </r>
    <r>
      <rPr>
        <b/>
        <sz val="11"/>
        <rFont val="Calibri"/>
        <family val="2"/>
      </rPr>
      <t>n</t>
    </r>
    <r>
      <rPr>
        <sz val="11"/>
        <rFont val="Calibri"/>
        <family val="2"/>
      </rPr>
      <t>:</t>
    </r>
    <r>
      <rPr>
        <sz val="10"/>
        <rFont val="Calibri"/>
        <family val="2"/>
      </rPr>
      <t xml:space="preserve"> número de pacientes necesario de cada uno de los grupos</t>
    </r>
  </si>
  <si>
    <t>%RA interv</t>
  </si>
  <si>
    <t>%RA control</t>
  </si>
  <si>
    <t>Medidas del efecto calculadas por incidencias acumuladas tras una mediana de seguimiento de 2 años.</t>
  </si>
  <si>
    <t>Aplicando al 1,6% esperado con WARF sobre el RR 0,38 (0,23-0,52), se obtiene una RAR 0,99% (0,77% a 1,23%).</t>
  </si>
  <si>
    <t>RR = % RA intervención  / % RA control</t>
  </si>
  <si>
    <t>0,38 = % RA intervención / 1,6%</t>
  </si>
  <si>
    <t>% RA intervención = 0,38 x 1,6% = 0,61%</t>
  </si>
  <si>
    <t>Pues bien, ya tenemos el % RA intervención (0,61%) y el % RA control (1,6%)</t>
  </si>
  <si>
    <t>De esta forma, RAR = % RA control - % RA intervención = 1,6% - 0,61% = 0,99%</t>
  </si>
  <si>
    <t>Al hacer lo mismo con los interv de confianza, obtendremos una RAR  0,99% (0,77% a 1,23%)</t>
  </si>
  <si>
    <t>¿De dónde sale la RAR 0,99% (0,77% a 1,23%)?</t>
  </si>
  <si>
    <t>Vayamos paso a paso:</t>
  </si>
  <si>
    <t>ln</t>
  </si>
  <si>
    <t>logaritmo neperiano (ln)</t>
  </si>
  <si>
    <t>nº natural</t>
  </si>
  <si>
    <t>Del nº natural al logaritmo</t>
  </si>
  <si>
    <t>Del logaritmo al nº natural</t>
  </si>
  <si>
    <r>
      <t>logaritmo neperiano del nº natural</t>
    </r>
    <r>
      <rPr>
        <b/>
        <sz val="10"/>
        <color indexed="53"/>
        <rFont val="Calibri"/>
        <family val="2"/>
      </rPr>
      <t xml:space="preserve"> =LN(nº)</t>
    </r>
  </si>
  <si>
    <r>
      <t xml:space="preserve">Nº natural = antilogaritmo = e </t>
    </r>
    <r>
      <rPr>
        <b/>
        <vertAlign val="superscript"/>
        <sz val="10"/>
        <rFont val="Calibri"/>
        <family val="2"/>
      </rPr>
      <t xml:space="preserve">ln  </t>
    </r>
    <r>
      <rPr>
        <b/>
        <sz val="10"/>
        <color indexed="53"/>
        <rFont val="Calibri"/>
        <family val="2"/>
      </rPr>
      <t>=EXP(ln)</t>
    </r>
  </si>
  <si>
    <t xml:space="preserve">que se ha establecido en un RR 1,46. Si multiplicamos el riesgo esperado en el </t>
  </si>
  <si>
    <t>en este caso la RAR es la anterior pero con signo negativo; resultando RAR= -0,99% (-0,77% a -1,23%).</t>
  </si>
  <si>
    <t>es decir, -0,77%/2 = -0,385%.</t>
  </si>
  <si>
    <t>en este caso el RR es el inverso del anterior; resultando RR= 1/0,38  (1/0,23 - 1/0,52) = RR 2,86 (1,92-4,35).</t>
  </si>
  <si>
    <t>El patrocinador había propuesto el Margen de No Inferioridad (MNI) de 1,46 en el HR, pero la FDA sólo aceptó el 1,38, y con todo esto explicamos el por qué.</t>
  </si>
  <si>
    <t>La mitad del ln es</t>
  </si>
  <si>
    <t>La tercera parte del ln es</t>
  </si>
  <si>
    <t>La cuarta parte del ln es</t>
  </si>
  <si>
    <t>p no inferioridad, desde 0,66 hasta 1,38</t>
  </si>
  <si>
    <t>Mantener al menos la mitad del mejor beneficio de PLAC vs  WARF significa que los intervalos de confianza de DAB no deben atravesar la mitad del 1,92.</t>
  </si>
  <si>
    <t>Para la variable "ACV", Hart y col, obtuvieron en su metaanálisis un RR 0,38 (0,23-0,52) para WARF vs PLAC. En un gráfico, el "1" lo ocupa el control que es PLAC.</t>
  </si>
  <si>
    <t>En un gráfico, el "0" lo ocupa el control que es PLAC.</t>
  </si>
  <si>
    <t>EXPLICACIÓN DEL POR QUÉ ES NECESARIO FIJAR EL RIESGO ABSOLUTO DEL GRUPO DE CONTROL, PUES SÓLO CON EL MIN EN FORMA DE RR, CABEN INFINITAS SOLUCIONES</t>
  </si>
  <si>
    <t>MNI ¿&lt; HR 1,5?</t>
  </si>
  <si>
    <t>71/322 (22,05%)</t>
  </si>
  <si>
    <t>65/324 (20%)</t>
  </si>
  <si>
    <t>1,1 (0,82-1,49)</t>
  </si>
  <si>
    <t>-2,05% (-8,34% a 4,23%)</t>
  </si>
  <si>
    <t>-49 (24 a -12)</t>
  </si>
  <si>
    <t>98/422 (23,22%)</t>
  </si>
  <si>
    <t>85/424 (20%)</t>
  </si>
  <si>
    <t>1,16 (0,9-1,5)</t>
  </si>
  <si>
    <t>-3,22% (-8,77% a 2,31%)</t>
  </si>
  <si>
    <t>-31 (43 a -11)</t>
  </si>
  <si>
    <t>Según nuestros cálculos</t>
  </si>
  <si>
    <t>93/404 (23,02%)</t>
  </si>
  <si>
    <t>81/404 (20%)</t>
  </si>
  <si>
    <t>1,15 (0,88-1,5)</t>
  </si>
  <si>
    <t>-3,02% (-8,69% a 2,63%)</t>
  </si>
  <si>
    <t>-33 (38 a -12)</t>
  </si>
  <si>
    <t>Según su tamaño de muestra</t>
  </si>
  <si>
    <t>124/522 (23,75%)</t>
  </si>
  <si>
    <t>105/524 (20%)</t>
  </si>
  <si>
    <t>1,19 (0,94-1,5)</t>
  </si>
  <si>
    <t>-3,75% (-8,77% a 1,24%)</t>
  </si>
  <si>
    <t>-27 (81 a -11)</t>
  </si>
  <si>
    <t>Sumando 1000 a su tamaño</t>
  </si>
  <si>
    <t>401/1522 (26,35%)</t>
  </si>
  <si>
    <t>305/1524 (20%)</t>
  </si>
  <si>
    <t>1,32 (1,16-1,5)</t>
  </si>
  <si>
    <t>-6,35% (-9,34% a -3,37%)</t>
  </si>
  <si>
    <t>-16 (-30 a -11)</t>
  </si>
  <si>
    <t>Sumando 2000 a su tamaño</t>
  </si>
  <si>
    <t>682/2522 (27,04%)</t>
  </si>
  <si>
    <t>505/2524 (20%)</t>
  </si>
  <si>
    <t>1,35 (1,22-1,5)</t>
  </si>
  <si>
    <t>-7,04% (-9,38% a -4,71%)</t>
  </si>
  <si>
    <t>-14 (-21 a -11)</t>
  </si>
  <si>
    <t>Sumando 3000 a su tamaño</t>
  </si>
  <si>
    <t>968/3522 (27,48%)</t>
  </si>
  <si>
    <t>705/3524 (20%)</t>
  </si>
  <si>
    <t>1,37 (1,26-1,5)</t>
  </si>
  <si>
    <t>-7,48% (-9,47% a -5,51%)</t>
  </si>
  <si>
    <t>-13 (-18 a -11)</t>
  </si>
  <si>
    <t>Sumando 4000 a su tamaño</t>
  </si>
  <si>
    <t>1255/4522 (27,75%)</t>
  </si>
  <si>
    <t>905/4524 (20%)</t>
  </si>
  <si>
    <t>1,39 (1,29-1,5)</t>
  </si>
  <si>
    <t>-7,75% (-9,51% a -6,01%)</t>
  </si>
  <si>
    <t>-13 (-17 a -11)</t>
  </si>
  <si>
    <t>20180215-ECA 1y, Ca+TEVóTP [edoxab vs daltep], -TEV +HemMay. Raskob</t>
  </si>
  <si>
    <t xml:space="preserve">Raskob GE, van Es N, Verhamme P, Carrier M, on behalf of the Hokusai VTE Cancer Investigators. Edoxaban for the Treatment of Cancer-Associated Venous Thromboembolism. N Engl J Med. 2018 Feb 15;378(7):615-624. </t>
  </si>
  <si>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 para la diferencia</t>
    </r>
  </si>
  <si>
    <r>
      <t xml:space="preserve">Cálculo por incidencias acumuladas de RR, RAR, NNT con sus IC 95%, potencia estadística y valor de </t>
    </r>
    <r>
      <rPr>
        <b/>
        <i/>
        <sz val="13"/>
        <rFont val="Calibri"/>
        <family val="2"/>
      </rPr>
      <t>p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</si>
</sst>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_-* #,##0.000000\ _€_-;\-* #,##0.000000\ _€_-;_-* &quot;-&quot;??????\ _€_-;_-@_-"/>
    <numFmt numFmtId="195" formatCode="_-* #,##0.00\ _€_-;\-* #,##0.00\ _€_-;_-* \-??\ _€_-;_-@_-"/>
    <numFmt numFmtId="196" formatCode="_-* #,##0\ _€_-;\-* #,##0\ _€_-;_-* &quot;-&quot;?\ _€_-;_-@_-"/>
    <numFmt numFmtId="197" formatCode="0.000000000"/>
    <numFmt numFmtId="198" formatCode="[$-C0A]dddd\,\ d&quot; de &quot;mmmm&quot; de &quot;yyyy"/>
  </numFmts>
  <fonts count="11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color indexed="57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u val="single"/>
      <sz val="14"/>
      <name val="Calibri"/>
      <family val="2"/>
    </font>
    <font>
      <i/>
      <sz val="10"/>
      <color indexed="12"/>
      <name val="Calibri"/>
      <family val="2"/>
    </font>
    <font>
      <sz val="10"/>
      <color indexed="52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i/>
      <sz val="10"/>
      <color indexed="20"/>
      <name val="Calibri"/>
      <family val="2"/>
    </font>
    <font>
      <b/>
      <sz val="10"/>
      <color indexed="14"/>
      <name val="Calibri"/>
      <family val="2"/>
    </font>
    <font>
      <sz val="10"/>
      <color indexed="14"/>
      <name val="Calibri"/>
      <family val="2"/>
    </font>
    <font>
      <b/>
      <u val="single"/>
      <sz val="12.5"/>
      <name val="Calibri"/>
      <family val="2"/>
    </font>
    <font>
      <b/>
      <u val="single"/>
      <sz val="12"/>
      <name val="Calibri"/>
      <family val="2"/>
    </font>
    <font>
      <b/>
      <i/>
      <sz val="10"/>
      <color indexed="12"/>
      <name val="Calibri"/>
      <family val="2"/>
    </font>
    <font>
      <sz val="10"/>
      <color indexed="61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b/>
      <sz val="10"/>
      <color indexed="53"/>
      <name val="Calibri"/>
      <family val="2"/>
    </font>
    <font>
      <b/>
      <sz val="10"/>
      <color indexed="52"/>
      <name val="Calibri"/>
      <family val="2"/>
    </font>
    <font>
      <b/>
      <vertAlign val="superscript"/>
      <sz val="10"/>
      <name val="Calibri"/>
      <family val="2"/>
    </font>
    <font>
      <b/>
      <sz val="8"/>
      <name val="Calibri"/>
      <family val="2"/>
    </font>
    <font>
      <b/>
      <sz val="13"/>
      <name val="Calibri"/>
      <family val="2"/>
    </font>
    <font>
      <vertAlign val="subscript"/>
      <sz val="10"/>
      <name val="Calibri"/>
      <family val="2"/>
    </font>
    <font>
      <sz val="9"/>
      <name val="Calibri"/>
      <family val="2"/>
    </font>
    <font>
      <sz val="8.1"/>
      <color indexed="63"/>
      <name val="Calibri"/>
      <family val="2"/>
    </font>
    <font>
      <sz val="12"/>
      <color indexed="8"/>
      <name val="Calibri"/>
      <family val="2"/>
    </font>
    <font>
      <vertAlign val="superscript"/>
      <sz val="10"/>
      <name val="Calibri"/>
      <family val="2"/>
    </font>
    <font>
      <i/>
      <sz val="12"/>
      <name val="Calibri"/>
      <family val="2"/>
    </font>
    <font>
      <b/>
      <sz val="26"/>
      <name val="Calibri"/>
      <family val="2"/>
    </font>
    <font>
      <sz val="14"/>
      <name val="Calibri"/>
      <family val="2"/>
    </font>
    <font>
      <sz val="12"/>
      <color indexed="12"/>
      <name val="Calibri"/>
      <family val="2"/>
    </font>
    <font>
      <vertAlign val="superscript"/>
      <sz val="12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.5"/>
      <color indexed="8"/>
      <name val="Arial"/>
      <family val="2"/>
    </font>
    <font>
      <sz val="1.1"/>
      <color indexed="8"/>
      <name val="Arial"/>
      <family val="2"/>
    </font>
    <font>
      <b/>
      <i/>
      <sz val="13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56"/>
      <name val="Courier"/>
      <family val="2"/>
    </font>
    <font>
      <b/>
      <sz val="11"/>
      <color indexed="56"/>
      <name val="Courier"/>
      <family val="2"/>
    </font>
    <font>
      <sz val="11"/>
      <color indexed="62"/>
      <name val="Courier"/>
      <family val="2"/>
    </font>
    <font>
      <sz val="11"/>
      <color indexed="20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56"/>
      <name val="Cambria"/>
      <family val="2"/>
    </font>
    <font>
      <b/>
      <sz val="13"/>
      <color indexed="56"/>
      <name val="Courier"/>
      <family val="2"/>
    </font>
    <font>
      <b/>
      <sz val="11"/>
      <color indexed="8"/>
      <name val="Courier"/>
      <family val="2"/>
    </font>
    <font>
      <b/>
      <i/>
      <sz val="20"/>
      <color indexed="10"/>
      <name val="Calibri"/>
      <family val="2"/>
    </font>
    <font>
      <b/>
      <u val="single"/>
      <sz val="10"/>
      <name val="Calibri"/>
      <family val="2"/>
    </font>
    <font>
      <b/>
      <sz val="12"/>
      <color indexed="60"/>
      <name val="Calibri"/>
      <family val="2"/>
    </font>
    <font>
      <sz val="11"/>
      <color indexed="60"/>
      <name val="Calibri"/>
      <family val="2"/>
    </font>
    <font>
      <b/>
      <sz val="12"/>
      <color indexed="61"/>
      <name val="Calibri"/>
      <family val="2"/>
    </font>
    <font>
      <sz val="11"/>
      <color indexed="61"/>
      <name val="Calibri"/>
      <family val="2"/>
    </font>
    <font>
      <sz val="11"/>
      <color indexed="12"/>
      <name val="Calibri"/>
      <family val="2"/>
    </font>
    <font>
      <b/>
      <sz val="10"/>
      <color indexed="51"/>
      <name val="Calibri"/>
      <family val="2"/>
    </font>
    <font>
      <b/>
      <sz val="10"/>
      <color indexed="11"/>
      <name val="Calibri"/>
      <family val="2"/>
    </font>
    <font>
      <b/>
      <sz val="14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53"/>
      <name val="Times New Roman"/>
      <family val="1"/>
    </font>
    <font>
      <b/>
      <sz val="12"/>
      <color indexed="53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b/>
      <sz val="10"/>
      <color rgb="FFFF3399"/>
      <name val="Calibri"/>
      <family val="2"/>
    </font>
    <font>
      <b/>
      <sz val="10"/>
      <color rgb="FFFFC000"/>
      <name val="Calibri"/>
      <family val="2"/>
    </font>
    <font>
      <b/>
      <sz val="10"/>
      <color rgb="FF00CC00"/>
      <name val="Calibri"/>
      <family val="2"/>
    </font>
    <font>
      <b/>
      <sz val="10"/>
      <color rgb="FF0000FF"/>
      <name val="Calibri"/>
      <family val="2"/>
    </font>
    <font>
      <sz val="10"/>
      <color rgb="FF0000F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1" applyNumberFormat="0" applyAlignment="0" applyProtection="0"/>
    <xf numFmtId="0" fontId="93" fillId="22" borderId="2" applyNumberFormat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0" applyNumberFormat="0" applyFill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0" fillId="21" borderId="6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7" applyNumberFormat="0" applyFill="0" applyAlignment="0" applyProtection="0"/>
    <xf numFmtId="0" fontId="96" fillId="0" borderId="8" applyNumberFormat="0" applyFill="0" applyAlignment="0" applyProtection="0"/>
    <xf numFmtId="0" fontId="105" fillId="0" borderId="9" applyNumberFormat="0" applyFill="0" applyAlignment="0" applyProtection="0"/>
  </cellStyleXfs>
  <cellXfs count="5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18" fontId="4" fillId="0" borderId="0" xfId="49" applyNumberFormat="1" applyFont="1" applyBorder="1" applyAlignment="1">
      <alignment horizontal="center"/>
    </xf>
    <xf numFmtId="49" fontId="6" fillId="0" borderId="0" xfId="49" applyNumberFormat="1" applyFont="1" applyFill="1" applyBorder="1" applyAlignment="1">
      <alignment horizontal="center" vertical="distributed"/>
    </xf>
    <xf numFmtId="10" fontId="4" fillId="0" borderId="0" xfId="0" applyNumberFormat="1" applyFont="1" applyFill="1" applyBorder="1" applyAlignment="1">
      <alignment horizontal="center" vertical="distributed"/>
    </xf>
    <xf numFmtId="16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7" fillId="0" borderId="0" xfId="49" applyFont="1" applyFill="1" applyBorder="1" applyAlignment="1">
      <alignment/>
    </xf>
    <xf numFmtId="0" fontId="8" fillId="0" borderId="0" xfId="0" applyFont="1" applyAlignment="1">
      <alignment/>
    </xf>
    <xf numFmtId="43" fontId="4" fillId="0" borderId="0" xfId="49" applyFont="1" applyFill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vertical="distributed"/>
    </xf>
    <xf numFmtId="0" fontId="5" fillId="0" borderId="11" xfId="0" applyFont="1" applyBorder="1" applyAlignment="1">
      <alignment horizontal="center" vertical="distributed"/>
    </xf>
    <xf numFmtId="10" fontId="4" fillId="0" borderId="0" xfId="0" applyNumberFormat="1" applyFont="1" applyBorder="1" applyAlignment="1">
      <alignment horizontal="center" vertical="distributed"/>
    </xf>
    <xf numFmtId="0" fontId="4" fillId="0" borderId="0" xfId="0" applyFont="1" applyFill="1" applyBorder="1" applyAlignment="1">
      <alignment horizontal="center"/>
    </xf>
    <xf numFmtId="174" fontId="4" fillId="0" borderId="0" xfId="55" applyNumberFormat="1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7" fontId="4" fillId="0" borderId="0" xfId="55" applyNumberFormat="1" applyFont="1" applyFill="1" applyBorder="1" applyAlignment="1">
      <alignment/>
    </xf>
    <xf numFmtId="175" fontId="4" fillId="0" borderId="0" xfId="55" applyNumberFormat="1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3" fontId="4" fillId="0" borderId="0" xfId="49" applyFont="1" applyFill="1" applyBorder="1" applyAlignment="1">
      <alignment/>
    </xf>
    <xf numFmtId="10" fontId="4" fillId="0" borderId="0" xfId="55" applyNumberFormat="1" applyFont="1" applyFill="1" applyAlignment="1">
      <alignment/>
    </xf>
    <xf numFmtId="0" fontId="13" fillId="0" borderId="12" xfId="0" applyFont="1" applyBorder="1" applyAlignment="1">
      <alignment horizontal="right" vertical="distributed"/>
    </xf>
    <xf numFmtId="0" fontId="4" fillId="0" borderId="0" xfId="0" applyFont="1" applyBorder="1" applyAlignment="1">
      <alignment horizontal="right"/>
    </xf>
    <xf numFmtId="10" fontId="4" fillId="0" borderId="0" xfId="0" applyNumberFormat="1" applyFont="1" applyFill="1" applyAlignment="1">
      <alignment/>
    </xf>
    <xf numFmtId="0" fontId="14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0" fontId="4" fillId="0" borderId="0" xfId="55" applyNumberFormat="1" applyFont="1" applyFill="1" applyBorder="1" applyAlignment="1">
      <alignment horizontal="center"/>
    </xf>
    <xf numFmtId="10" fontId="4" fillId="0" borderId="0" xfId="55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43" fontId="5" fillId="0" borderId="14" xfId="49" applyFont="1" applyFill="1" applyBorder="1" applyAlignment="1">
      <alignment horizontal="center" vertical="distributed"/>
    </xf>
    <xf numFmtId="43" fontId="5" fillId="0" borderId="14" xfId="49" applyFont="1" applyBorder="1" applyAlignment="1">
      <alignment horizontal="center" vertical="distributed"/>
    </xf>
    <xf numFmtId="43" fontId="4" fillId="0" borderId="13" xfId="49" applyFont="1" applyBorder="1" applyAlignment="1">
      <alignment/>
    </xf>
    <xf numFmtId="43" fontId="4" fillId="0" borderId="13" xfId="49" applyFont="1" applyFill="1" applyBorder="1" applyAlignment="1">
      <alignment horizontal="center"/>
    </xf>
    <xf numFmtId="43" fontId="4" fillId="0" borderId="15" xfId="49" applyFont="1" applyFill="1" applyBorder="1" applyAlignment="1">
      <alignment/>
    </xf>
    <xf numFmtId="2" fontId="5" fillId="33" borderId="13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2" fontId="5" fillId="35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43" fontId="12" fillId="0" borderId="0" xfId="49" applyFont="1" applyFill="1" applyBorder="1" applyAlignment="1">
      <alignment/>
    </xf>
    <xf numFmtId="165" fontId="12" fillId="0" borderId="0" xfId="0" applyNumberFormat="1" applyFont="1" applyFill="1" applyBorder="1" applyAlignment="1">
      <alignment horizontal="right"/>
    </xf>
    <xf numFmtId="43" fontId="12" fillId="0" borderId="0" xfId="49" applyFont="1" applyFill="1" applyBorder="1" applyAlignment="1">
      <alignment horizontal="center"/>
    </xf>
    <xf numFmtId="43" fontId="1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171" fontId="12" fillId="0" borderId="0" xfId="0" applyNumberFormat="1" applyFont="1" applyFill="1" applyBorder="1" applyAlignment="1">
      <alignment horizontal="right"/>
    </xf>
    <xf numFmtId="168" fontId="12" fillId="0" borderId="0" xfId="49" applyNumberFormat="1" applyFont="1" applyFill="1" applyBorder="1" applyAlignment="1">
      <alignment horizontal="center"/>
    </xf>
    <xf numFmtId="171" fontId="12" fillId="0" borderId="0" xfId="0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17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3" fontId="4" fillId="0" borderId="0" xfId="49" applyFont="1" applyFill="1" applyBorder="1" applyAlignment="1">
      <alignment horizontal="center"/>
    </xf>
    <xf numFmtId="169" fontId="4" fillId="0" borderId="0" xfId="49" applyNumberFormat="1" applyFont="1" applyFill="1" applyBorder="1" applyAlignment="1">
      <alignment horizontal="center"/>
    </xf>
    <xf numFmtId="43" fontId="5" fillId="0" borderId="0" xfId="49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171" fontId="11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43" fontId="10" fillId="0" borderId="0" xfId="49" applyFont="1" applyFill="1" applyBorder="1" applyAlignment="1">
      <alignment/>
    </xf>
    <xf numFmtId="0" fontId="17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distributed"/>
    </xf>
    <xf numFmtId="0" fontId="10" fillId="0" borderId="13" xfId="0" applyFont="1" applyBorder="1" applyAlignment="1">
      <alignment horizontal="center" vertical="distributed"/>
    </xf>
    <xf numFmtId="0" fontId="10" fillId="0" borderId="14" xfId="0" applyFont="1" applyFill="1" applyBorder="1" applyAlignment="1">
      <alignment horizontal="center" vertical="distributed"/>
    </xf>
    <xf numFmtId="0" fontId="10" fillId="0" borderId="14" xfId="0" applyFont="1" applyBorder="1" applyAlignment="1">
      <alignment horizontal="center" vertical="distributed"/>
    </xf>
    <xf numFmtId="0" fontId="10" fillId="0" borderId="16" xfId="0" applyFont="1" applyBorder="1" applyAlignment="1">
      <alignment horizontal="center" vertical="distributed"/>
    </xf>
    <xf numFmtId="0" fontId="4" fillId="0" borderId="17" xfId="0" applyFont="1" applyFill="1" applyBorder="1" applyAlignment="1">
      <alignment horizontal="left"/>
    </xf>
    <xf numFmtId="43" fontId="18" fillId="0" borderId="18" xfId="49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9" fontId="4" fillId="0" borderId="18" xfId="49" applyNumberFormat="1" applyFont="1" applyFill="1" applyBorder="1" applyAlignment="1">
      <alignment horizontal="center"/>
    </xf>
    <xf numFmtId="43" fontId="4" fillId="0" borderId="18" xfId="49" applyFont="1" applyFill="1" applyBorder="1" applyAlignment="1">
      <alignment horizontal="center"/>
    </xf>
    <xf numFmtId="43" fontId="5" fillId="0" borderId="18" xfId="49" applyFont="1" applyFill="1" applyBorder="1" applyAlignment="1">
      <alignment/>
    </xf>
    <xf numFmtId="43" fontId="5" fillId="0" borderId="19" xfId="49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11" fillId="0" borderId="13" xfId="0" applyNumberFormat="1" applyFont="1" applyFill="1" applyBorder="1" applyAlignment="1">
      <alignment horizontal="center"/>
    </xf>
    <xf numFmtId="10" fontId="11" fillId="33" borderId="13" xfId="55" applyNumberFormat="1" applyFont="1" applyFill="1" applyBorder="1" applyAlignment="1">
      <alignment horizontal="center"/>
    </xf>
    <xf numFmtId="43" fontId="11" fillId="0" borderId="13" xfId="49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3" fontId="11" fillId="0" borderId="15" xfId="49" applyFont="1" applyFill="1" applyBorder="1" applyAlignment="1">
      <alignment horizontal="center"/>
    </xf>
    <xf numFmtId="10" fontId="10" fillId="33" borderId="13" xfId="55" applyNumberFormat="1" applyFont="1" applyFill="1" applyBorder="1" applyAlignment="1">
      <alignment horizontal="center"/>
    </xf>
    <xf numFmtId="10" fontId="10" fillId="34" borderId="13" xfId="55" applyNumberFormat="1" applyFont="1" applyFill="1" applyBorder="1" applyAlignment="1">
      <alignment horizontal="center"/>
    </xf>
    <xf numFmtId="10" fontId="10" fillId="35" borderId="15" xfId="55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3" fontId="5" fillId="0" borderId="21" xfId="49" applyFont="1" applyFill="1" applyBorder="1" applyAlignment="1">
      <alignment/>
    </xf>
    <xf numFmtId="166" fontId="4" fillId="0" borderId="20" xfId="49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167" fontId="4" fillId="0" borderId="20" xfId="55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77" fontId="4" fillId="0" borderId="2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64" fontId="21" fillId="0" borderId="13" xfId="0" applyNumberFormat="1" applyFont="1" applyFill="1" applyBorder="1" applyAlignment="1">
      <alignment horizontal="center"/>
    </xf>
    <xf numFmtId="174" fontId="21" fillId="0" borderId="13" xfId="55" applyNumberFormat="1" applyFont="1" applyFill="1" applyBorder="1" applyAlignment="1">
      <alignment horizontal="center"/>
    </xf>
    <xf numFmtId="43" fontId="11" fillId="0" borderId="0" xfId="49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3" fontId="11" fillId="0" borderId="0" xfId="49" applyFont="1" applyFill="1" applyBorder="1" applyAlignment="1">
      <alignment horizontal="center"/>
    </xf>
    <xf numFmtId="10" fontId="10" fillId="0" borderId="0" xfId="55" applyNumberFormat="1" applyFont="1" applyFill="1" applyBorder="1" applyAlignment="1">
      <alignment/>
    </xf>
    <xf numFmtId="167" fontId="5" fillId="0" borderId="20" xfId="55" applyNumberFormat="1" applyFont="1" applyFill="1" applyBorder="1" applyAlignment="1">
      <alignment/>
    </xf>
    <xf numFmtId="165" fontId="5" fillId="0" borderId="20" xfId="49" applyNumberFormat="1" applyFont="1" applyFill="1" applyBorder="1" applyAlignment="1">
      <alignment/>
    </xf>
    <xf numFmtId="43" fontId="4" fillId="0" borderId="22" xfId="0" applyNumberFormat="1" applyFont="1" applyBorder="1" applyAlignment="1">
      <alignment/>
    </xf>
    <xf numFmtId="166" fontId="4" fillId="33" borderId="20" xfId="49" applyNumberFormat="1" applyFont="1" applyFill="1" applyBorder="1" applyAlignment="1">
      <alignment/>
    </xf>
    <xf numFmtId="167" fontId="4" fillId="0" borderId="0" xfId="55" applyNumberFormat="1" applyFont="1" applyAlignment="1">
      <alignment/>
    </xf>
    <xf numFmtId="10" fontId="5" fillId="33" borderId="22" xfId="55" applyNumberFormat="1" applyFont="1" applyFill="1" applyBorder="1" applyAlignment="1">
      <alignment/>
    </xf>
    <xf numFmtId="169" fontId="4" fillId="0" borderId="0" xfId="0" applyNumberFormat="1" applyFont="1" applyBorder="1" applyAlignment="1">
      <alignment/>
    </xf>
    <xf numFmtId="10" fontId="22" fillId="0" borderId="2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10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0" fontId="5" fillId="33" borderId="10" xfId="55" applyNumberFormat="1" applyFont="1" applyFill="1" applyBorder="1" applyAlignment="1">
      <alignment horizontal="center"/>
    </xf>
    <xf numFmtId="10" fontId="5" fillId="34" borderId="10" xfId="55" applyNumberFormat="1" applyFont="1" applyFill="1" applyBorder="1" applyAlignment="1">
      <alignment horizontal="center"/>
    </xf>
    <xf numFmtId="10" fontId="5" fillId="35" borderId="10" xfId="55" applyNumberFormat="1" applyFont="1" applyFill="1" applyBorder="1" applyAlignment="1">
      <alignment horizontal="center"/>
    </xf>
    <xf numFmtId="10" fontId="22" fillId="0" borderId="23" xfId="0" applyNumberFormat="1" applyFont="1" applyBorder="1" applyAlignment="1">
      <alignment/>
    </xf>
    <xf numFmtId="0" fontId="23" fillId="0" borderId="24" xfId="0" applyFont="1" applyBorder="1" applyAlignment="1">
      <alignment/>
    </xf>
    <xf numFmtId="0" fontId="4" fillId="0" borderId="24" xfId="0" applyFont="1" applyBorder="1" applyAlignment="1">
      <alignment/>
    </xf>
    <xf numFmtId="170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0" fontId="4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textRotation="90"/>
    </xf>
    <xf numFmtId="0" fontId="25" fillId="0" borderId="0" xfId="0" applyFont="1" applyFill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164" fontId="11" fillId="0" borderId="13" xfId="49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right"/>
    </xf>
    <xf numFmtId="43" fontId="4" fillId="0" borderId="13" xfId="49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12" fillId="0" borderId="13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4" fillId="0" borderId="28" xfId="0" applyFont="1" applyBorder="1" applyAlignment="1">
      <alignment/>
    </xf>
    <xf numFmtId="0" fontId="11" fillId="0" borderId="29" xfId="0" applyFont="1" applyBorder="1" applyAlignment="1">
      <alignment horizontal="right"/>
    </xf>
    <xf numFmtId="164" fontId="10" fillId="0" borderId="13" xfId="0" applyNumberFormat="1" applyFont="1" applyBorder="1" applyAlignment="1">
      <alignment horizontal="center"/>
    </xf>
    <xf numFmtId="164" fontId="10" fillId="0" borderId="13" xfId="49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164" fontId="11" fillId="0" borderId="0" xfId="49" applyNumberFormat="1" applyFont="1" applyFill="1" applyBorder="1" applyAlignment="1">
      <alignment/>
    </xf>
    <xf numFmtId="164" fontId="10" fillId="0" borderId="0" xfId="49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11" fillId="0" borderId="0" xfId="49" applyNumberFormat="1" applyFont="1" applyAlignment="1">
      <alignment/>
    </xf>
    <xf numFmtId="0" fontId="4" fillId="0" borderId="0" xfId="0" applyFont="1" applyAlignment="1">
      <alignment/>
    </xf>
    <xf numFmtId="43" fontId="27" fillId="0" borderId="13" xfId="49" applyFont="1" applyBorder="1" applyAlignment="1">
      <alignment/>
    </xf>
    <xf numFmtId="43" fontId="10" fillId="0" borderId="0" xfId="49" applyFont="1" applyAlignment="1">
      <alignment/>
    </xf>
    <xf numFmtId="0" fontId="10" fillId="0" borderId="0" xfId="0" applyFont="1" applyBorder="1" applyAlignment="1">
      <alignment horizontal="right"/>
    </xf>
    <xf numFmtId="43" fontId="11" fillId="36" borderId="0" xfId="0" applyNumberFormat="1" applyFont="1" applyFill="1" applyAlignment="1">
      <alignment/>
    </xf>
    <xf numFmtId="43" fontId="4" fillId="0" borderId="0" xfId="49" applyFont="1" applyBorder="1" applyAlignment="1">
      <alignment/>
    </xf>
    <xf numFmtId="0" fontId="5" fillId="0" borderId="24" xfId="0" applyFont="1" applyBorder="1" applyAlignment="1">
      <alignment horizontal="right"/>
    </xf>
    <xf numFmtId="43" fontId="5" fillId="0" borderId="11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0" borderId="12" xfId="0" applyFont="1" applyFill="1" applyBorder="1" applyAlignment="1">
      <alignment horizontal="right"/>
    </xf>
    <xf numFmtId="165" fontId="5" fillId="36" borderId="30" xfId="49" applyNumberFormat="1" applyFont="1" applyFill="1" applyBorder="1" applyAlignment="1">
      <alignment/>
    </xf>
    <xf numFmtId="169" fontId="1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9" fontId="4" fillId="0" borderId="0" xfId="55" applyFont="1" applyFill="1" applyBorder="1" applyAlignment="1">
      <alignment/>
    </xf>
    <xf numFmtId="164" fontId="4" fillId="0" borderId="0" xfId="49" applyNumberFormat="1" applyFont="1" applyAlignment="1">
      <alignment/>
    </xf>
    <xf numFmtId="49" fontId="4" fillId="37" borderId="10" xfId="0" applyNumberFormat="1" applyFont="1" applyFill="1" applyBorder="1" applyAlignment="1">
      <alignment/>
    </xf>
    <xf numFmtId="49" fontId="4" fillId="37" borderId="31" xfId="0" applyNumberFormat="1" applyFont="1" applyFill="1" applyBorder="1" applyAlignment="1">
      <alignment/>
    </xf>
    <xf numFmtId="49" fontId="4" fillId="37" borderId="32" xfId="0" applyNumberFormat="1" applyFont="1" applyFill="1" applyBorder="1" applyAlignment="1">
      <alignment horizontal="right"/>
    </xf>
    <xf numFmtId="49" fontId="4" fillId="37" borderId="17" xfId="0" applyNumberFormat="1" applyFont="1" applyFill="1" applyBorder="1" applyAlignment="1">
      <alignment/>
    </xf>
    <xf numFmtId="164" fontId="4" fillId="37" borderId="0" xfId="0" applyNumberFormat="1" applyFont="1" applyFill="1" applyBorder="1" applyAlignment="1">
      <alignment/>
    </xf>
    <xf numFmtId="2" fontId="4" fillId="37" borderId="0" xfId="0" applyNumberFormat="1" applyFont="1" applyFill="1" applyBorder="1" applyAlignment="1">
      <alignment/>
    </xf>
    <xf numFmtId="10" fontId="4" fillId="37" borderId="0" xfId="0" applyNumberFormat="1" applyFont="1" applyFill="1" applyBorder="1" applyAlignment="1">
      <alignment/>
    </xf>
    <xf numFmtId="1" fontId="4" fillId="37" borderId="0" xfId="0" applyNumberFormat="1" applyFont="1" applyFill="1" applyBorder="1" applyAlignment="1">
      <alignment horizontal="center"/>
    </xf>
    <xf numFmtId="49" fontId="4" fillId="37" borderId="20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49" fontId="4" fillId="37" borderId="13" xfId="0" applyNumberFormat="1" applyFont="1" applyFill="1" applyBorder="1" applyAlignment="1">
      <alignment horizontal="center"/>
    </xf>
    <xf numFmtId="49" fontId="4" fillId="37" borderId="15" xfId="0" applyNumberFormat="1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49" fontId="4" fillId="37" borderId="12" xfId="0" applyNumberFormat="1" applyFont="1" applyFill="1" applyBorder="1" applyAlignment="1">
      <alignment/>
    </xf>
    <xf numFmtId="0" fontId="4" fillId="37" borderId="24" xfId="0" applyFont="1" applyFill="1" applyBorder="1" applyAlignment="1">
      <alignment/>
    </xf>
    <xf numFmtId="0" fontId="4" fillId="37" borderId="25" xfId="0" applyFont="1" applyFill="1" applyBorder="1" applyAlignment="1">
      <alignment/>
    </xf>
    <xf numFmtId="49" fontId="5" fillId="37" borderId="13" xfId="0" applyNumberFormat="1" applyFont="1" applyFill="1" applyBorder="1" applyAlignment="1">
      <alignment horizontal="center" vertical="distributed"/>
    </xf>
    <xf numFmtId="0" fontId="5" fillId="37" borderId="13" xfId="0" applyFont="1" applyFill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31" fillId="0" borderId="0" xfId="0" applyFont="1" applyBorder="1" applyAlignment="1">
      <alignment vertical="distributed"/>
    </xf>
    <xf numFmtId="0" fontId="5" fillId="0" borderId="34" xfId="0" applyFont="1" applyBorder="1" applyAlignment="1">
      <alignment horizontal="center" vertical="distributed"/>
    </xf>
    <xf numFmtId="0" fontId="33" fillId="0" borderId="34" xfId="0" applyFont="1" applyFill="1" applyBorder="1" applyAlignment="1">
      <alignment horizontal="center" vertical="distributed"/>
    </xf>
    <xf numFmtId="0" fontId="28" fillId="0" borderId="35" xfId="0" applyFont="1" applyFill="1" applyBorder="1" applyAlignment="1">
      <alignment horizontal="center" vertical="distributed"/>
    </xf>
    <xf numFmtId="0" fontId="4" fillId="0" borderId="0" xfId="0" applyFont="1" applyAlignment="1">
      <alignment vertical="distributed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distributed"/>
    </xf>
    <xf numFmtId="0" fontId="33" fillId="0" borderId="0" xfId="0" applyFont="1" applyFill="1" applyBorder="1" applyAlignment="1">
      <alignment horizontal="center" vertical="distributed"/>
    </xf>
    <xf numFmtId="0" fontId="5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distributed"/>
    </xf>
    <xf numFmtId="49" fontId="4" fillId="0" borderId="37" xfId="0" applyNumberFormat="1" applyFont="1" applyFill="1" applyBorder="1" applyAlignment="1">
      <alignment horizontal="center" vertical="distributed"/>
    </xf>
    <xf numFmtId="185" fontId="4" fillId="0" borderId="38" xfId="0" applyNumberFormat="1" applyFont="1" applyFill="1" applyBorder="1" applyAlignment="1">
      <alignment horizontal="center" vertical="distributed"/>
    </xf>
    <xf numFmtId="0" fontId="4" fillId="0" borderId="0" xfId="0" applyFont="1" applyFill="1" applyAlignment="1">
      <alignment vertical="distributed"/>
    </xf>
    <xf numFmtId="0" fontId="4" fillId="0" borderId="0" xfId="0" applyFont="1" applyFill="1" applyAlignment="1">
      <alignment horizontal="center" vertical="distributed"/>
    </xf>
    <xf numFmtId="185" fontId="4" fillId="0" borderId="0" xfId="0" applyNumberFormat="1" applyFont="1" applyAlignment="1">
      <alignment vertical="distributed"/>
    </xf>
    <xf numFmtId="0" fontId="5" fillId="0" borderId="39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distributed"/>
    </xf>
    <xf numFmtId="167" fontId="4" fillId="0" borderId="32" xfId="55" applyNumberFormat="1" applyFont="1" applyFill="1" applyBorder="1" applyAlignment="1">
      <alignment horizontal="center" vertical="distributed"/>
    </xf>
    <xf numFmtId="185" fontId="4" fillId="0" borderId="40" xfId="0" applyNumberFormat="1" applyFont="1" applyFill="1" applyBorder="1" applyAlignment="1">
      <alignment horizontal="center" vertical="distributed"/>
    </xf>
    <xf numFmtId="0" fontId="5" fillId="0" borderId="2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distributed"/>
    </xf>
    <xf numFmtId="167" fontId="4" fillId="0" borderId="34" xfId="55" applyNumberFormat="1" applyFont="1" applyFill="1" applyBorder="1" applyAlignment="1">
      <alignment horizontal="center" vertical="distributed"/>
    </xf>
    <xf numFmtId="185" fontId="4" fillId="0" borderId="35" xfId="0" applyNumberFormat="1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distributed"/>
    </xf>
    <xf numFmtId="167" fontId="4" fillId="0" borderId="0" xfId="55" applyNumberFormat="1" applyFont="1" applyFill="1" applyBorder="1" applyAlignment="1">
      <alignment horizontal="center" vertical="distributed"/>
    </xf>
    <xf numFmtId="185" fontId="4" fillId="0" borderId="0" xfId="0" applyNumberFormat="1" applyFont="1" applyFill="1" applyBorder="1" applyAlignment="1">
      <alignment horizontal="center" vertical="distributed"/>
    </xf>
    <xf numFmtId="43" fontId="4" fillId="0" borderId="32" xfId="49" applyFont="1" applyFill="1" applyBorder="1" applyAlignment="1">
      <alignment horizontal="center" vertical="distributed"/>
    </xf>
    <xf numFmtId="0" fontId="5" fillId="0" borderId="2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distributed"/>
    </xf>
    <xf numFmtId="185" fontId="4" fillId="0" borderId="33" xfId="0" applyNumberFormat="1" applyFont="1" applyFill="1" applyBorder="1" applyAlignment="1">
      <alignment horizontal="center" vertical="distributed"/>
    </xf>
    <xf numFmtId="167" fontId="4" fillId="0" borderId="13" xfId="55" applyNumberFormat="1" applyFont="1" applyFill="1" applyBorder="1" applyAlignment="1">
      <alignment horizontal="center" vertical="distributed"/>
    </xf>
    <xf numFmtId="49" fontId="4" fillId="0" borderId="34" xfId="0" applyNumberFormat="1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distributed"/>
    </xf>
    <xf numFmtId="167" fontId="4" fillId="0" borderId="37" xfId="55" applyNumberFormat="1" applyFont="1" applyFill="1" applyBorder="1" applyAlignment="1">
      <alignment horizontal="center" vertical="distributed"/>
    </xf>
    <xf numFmtId="0" fontId="10" fillId="0" borderId="0" xfId="0" applyFont="1" applyAlignment="1">
      <alignment/>
    </xf>
    <xf numFmtId="165" fontId="4" fillId="0" borderId="0" xfId="0" applyNumberFormat="1" applyFont="1" applyFill="1" applyBorder="1" applyAlignment="1">
      <alignment horizontal="center"/>
    </xf>
    <xf numFmtId="185" fontId="4" fillId="0" borderId="0" xfId="0" applyNumberFormat="1" applyFont="1" applyAlignment="1">
      <alignment/>
    </xf>
    <xf numFmtId="10" fontId="4" fillId="0" borderId="32" xfId="0" applyNumberFormat="1" applyFont="1" applyFill="1" applyBorder="1" applyAlignment="1">
      <alignment horizontal="center" vertical="distributed"/>
    </xf>
    <xf numFmtId="0" fontId="5" fillId="38" borderId="22" xfId="0" applyFont="1" applyFill="1" applyBorder="1" applyAlignment="1">
      <alignment vertical="center" wrapText="1"/>
    </xf>
    <xf numFmtId="10" fontId="4" fillId="0" borderId="13" xfId="0" applyNumberFormat="1" applyFont="1" applyFill="1" applyBorder="1" applyAlignment="1">
      <alignment horizontal="center" vertical="distributed"/>
    </xf>
    <xf numFmtId="167" fontId="4" fillId="0" borderId="13" xfId="0" applyNumberFormat="1" applyFont="1" applyFill="1" applyBorder="1" applyAlignment="1">
      <alignment horizontal="center" vertical="distributed"/>
    </xf>
    <xf numFmtId="185" fontId="4" fillId="0" borderId="33" xfId="55" applyNumberFormat="1" applyFont="1" applyFill="1" applyBorder="1" applyAlignment="1">
      <alignment horizontal="center" vertical="distributed"/>
    </xf>
    <xf numFmtId="10" fontId="4" fillId="0" borderId="34" xfId="0" applyNumberFormat="1" applyFont="1" applyFill="1" applyBorder="1" applyAlignment="1">
      <alignment horizontal="center" vertical="distributed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38" borderId="20" xfId="0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0" xfId="0" applyFont="1" applyBorder="1" applyAlignment="1">
      <alignment vertical="distributed"/>
    </xf>
    <xf numFmtId="0" fontId="5" fillId="0" borderId="17" xfId="0" applyFont="1" applyBorder="1" applyAlignment="1">
      <alignment horizontal="center" vertical="distributed"/>
    </xf>
    <xf numFmtId="0" fontId="5" fillId="0" borderId="41" xfId="0" applyFont="1" applyBorder="1" applyAlignment="1">
      <alignment horizontal="center" vertical="distributed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vertical="distributed"/>
    </xf>
    <xf numFmtId="0" fontId="28" fillId="0" borderId="0" xfId="0" applyFont="1" applyFill="1" applyBorder="1" applyAlignment="1">
      <alignment vertical="distributed"/>
    </xf>
    <xf numFmtId="0" fontId="5" fillId="0" borderId="12" xfId="0" applyFont="1" applyBorder="1" applyAlignment="1">
      <alignment horizontal="center" vertical="distributed"/>
    </xf>
    <xf numFmtId="0" fontId="5" fillId="0" borderId="30" xfId="0" applyFont="1" applyBorder="1" applyAlignment="1">
      <alignment horizontal="center" vertical="distributed"/>
    </xf>
    <xf numFmtId="0" fontId="10" fillId="0" borderId="0" xfId="0" applyFont="1" applyFill="1" applyBorder="1" applyAlignment="1">
      <alignment/>
    </xf>
    <xf numFmtId="0" fontId="31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31" fillId="0" borderId="13" xfId="0" applyFont="1" applyBorder="1" applyAlignment="1">
      <alignment horizontal="left" vertical="distributed"/>
    </xf>
    <xf numFmtId="0" fontId="5" fillId="0" borderId="10" xfId="0" applyFont="1" applyBorder="1" applyAlignment="1">
      <alignment horizontal="right" vertical="distributed"/>
    </xf>
    <xf numFmtId="164" fontId="4" fillId="39" borderId="11" xfId="0" applyNumberFormat="1" applyFont="1" applyFill="1" applyBorder="1" applyAlignment="1">
      <alignment vertical="distributed"/>
    </xf>
    <xf numFmtId="164" fontId="4" fillId="0" borderId="11" xfId="0" applyNumberFormat="1" applyFont="1" applyBorder="1" applyAlignment="1">
      <alignment vertical="distributed"/>
    </xf>
    <xf numFmtId="164" fontId="4" fillId="39" borderId="42" xfId="49" applyNumberFormat="1" applyFont="1" applyFill="1" applyBorder="1" applyAlignment="1">
      <alignment vertical="distributed"/>
    </xf>
    <xf numFmtId="164" fontId="4" fillId="0" borderId="11" xfId="0" applyNumberFormat="1" applyFont="1" applyFill="1" applyBorder="1" applyAlignment="1">
      <alignment vertical="distributed"/>
    </xf>
    <xf numFmtId="0" fontId="4" fillId="37" borderId="20" xfId="0" applyFont="1" applyFill="1" applyBorder="1" applyAlignment="1">
      <alignment/>
    </xf>
    <xf numFmtId="0" fontId="27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10" fontId="4" fillId="39" borderId="11" xfId="55" applyNumberFormat="1" applyFont="1" applyFill="1" applyBorder="1" applyAlignment="1">
      <alignment/>
    </xf>
    <xf numFmtId="49" fontId="19" fillId="0" borderId="31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10" fontId="4" fillId="0" borderId="42" xfId="55" applyNumberFormat="1" applyFont="1" applyBorder="1" applyAlignment="1">
      <alignment horizontal="center"/>
    </xf>
    <xf numFmtId="10" fontId="11" fillId="0" borderId="0" xfId="55" applyNumberFormat="1" applyFont="1" applyFill="1" applyBorder="1" applyAlignment="1">
      <alignment horizontal="center"/>
    </xf>
    <xf numFmtId="10" fontId="4" fillId="0" borderId="0" xfId="55" applyNumberFormat="1" applyFont="1" applyFill="1" applyBorder="1" applyAlignment="1">
      <alignment horizontal="center" vertical="distributed"/>
    </xf>
    <xf numFmtId="0" fontId="4" fillId="0" borderId="0" xfId="0" applyFont="1" applyFill="1" applyAlignment="1">
      <alignment horizontal="left"/>
    </xf>
    <xf numFmtId="0" fontId="11" fillId="0" borderId="0" xfId="0" applyFont="1" applyFill="1" applyBorder="1" applyAlignment="1">
      <alignment vertical="center" textRotation="90"/>
    </xf>
    <xf numFmtId="43" fontId="18" fillId="0" borderId="0" xfId="49" applyFont="1" applyFill="1" applyBorder="1" applyAlignment="1">
      <alignment horizontal="right"/>
    </xf>
    <xf numFmtId="0" fontId="36" fillId="0" borderId="11" xfId="0" applyFont="1" applyBorder="1" applyAlignment="1">
      <alignment horizontal="center" vertical="distributed"/>
    </xf>
    <xf numFmtId="0" fontId="36" fillId="0" borderId="10" xfId="0" applyFont="1" applyBorder="1" applyAlignment="1">
      <alignment horizontal="center" vertical="distributed"/>
    </xf>
    <xf numFmtId="0" fontId="37" fillId="0" borderId="0" xfId="0" applyFont="1" applyAlignment="1">
      <alignment/>
    </xf>
    <xf numFmtId="0" fontId="4" fillId="0" borderId="0" xfId="0" applyFont="1" applyAlignment="1">
      <alignment horizontal="left"/>
    </xf>
    <xf numFmtId="166" fontId="4" fillId="0" borderId="0" xfId="49" applyNumberFormat="1" applyFont="1" applyFill="1" applyBorder="1" applyAlignment="1">
      <alignment/>
    </xf>
    <xf numFmtId="2" fontId="4" fillId="39" borderId="10" xfId="0" applyNumberFormat="1" applyFont="1" applyFill="1" applyBorder="1" applyAlignment="1">
      <alignment horizontal="center"/>
    </xf>
    <xf numFmtId="2" fontId="4" fillId="39" borderId="11" xfId="0" applyNumberFormat="1" applyFont="1" applyFill="1" applyBorder="1" applyAlignment="1">
      <alignment horizontal="center"/>
    </xf>
    <xf numFmtId="2" fontId="4" fillId="39" borderId="42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177" fontId="4" fillId="0" borderId="0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 horizontal="right"/>
    </xf>
    <xf numFmtId="0" fontId="19" fillId="0" borderId="31" xfId="0" applyFont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170" fontId="4" fillId="0" borderId="11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165" fontId="5" fillId="0" borderId="0" xfId="49" applyNumberFormat="1" applyFont="1" applyFill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0" fontId="4" fillId="0" borderId="0" xfId="55" applyNumberFormat="1" applyFont="1" applyBorder="1" applyAlignment="1">
      <alignment horizontal="center"/>
    </xf>
    <xf numFmtId="10" fontId="5" fillId="0" borderId="0" xfId="55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0" fontId="2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4" fillId="37" borderId="41" xfId="0" applyFont="1" applyFill="1" applyBorder="1" applyAlignment="1">
      <alignment horizontal="right"/>
    </xf>
    <xf numFmtId="10" fontId="5" fillId="33" borderId="13" xfId="55" applyNumberFormat="1" applyFont="1" applyFill="1" applyBorder="1" applyAlignment="1">
      <alignment horizontal="center"/>
    </xf>
    <xf numFmtId="10" fontId="5" fillId="34" borderId="13" xfId="55" applyNumberFormat="1" applyFont="1" applyFill="1" applyBorder="1" applyAlignment="1">
      <alignment horizontal="center"/>
    </xf>
    <xf numFmtId="10" fontId="5" fillId="35" borderId="13" xfId="55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42" xfId="0" applyFont="1" applyFill="1" applyBorder="1" applyAlignment="1">
      <alignment horizontal="right"/>
    </xf>
    <xf numFmtId="0" fontId="5" fillId="0" borderId="31" xfId="0" applyFont="1" applyBorder="1" applyAlignment="1">
      <alignment/>
    </xf>
    <xf numFmtId="1" fontId="5" fillId="33" borderId="13" xfId="0" applyNumberFormat="1" applyFont="1" applyFill="1" applyBorder="1" applyAlignment="1">
      <alignment horizontal="center"/>
    </xf>
    <xf numFmtId="1" fontId="5" fillId="34" borderId="13" xfId="0" applyNumberFormat="1" applyFont="1" applyFill="1" applyBorder="1" applyAlignment="1">
      <alignment horizontal="center"/>
    </xf>
    <xf numFmtId="1" fontId="5" fillId="35" borderId="13" xfId="0" applyNumberFormat="1" applyFont="1" applyFill="1" applyBorder="1" applyAlignment="1">
      <alignment horizontal="center"/>
    </xf>
    <xf numFmtId="164" fontId="5" fillId="0" borderId="13" xfId="49" applyNumberFormat="1" applyFont="1" applyBorder="1" applyAlignment="1">
      <alignment horizontal="center" vertical="distributed"/>
    </xf>
    <xf numFmtId="1" fontId="5" fillId="0" borderId="13" xfId="0" applyNumberFormat="1" applyFont="1" applyBorder="1" applyAlignment="1">
      <alignment horizontal="center" vertical="distributed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49" fontId="8" fillId="0" borderId="13" xfId="49" applyNumberFormat="1" applyFont="1" applyBorder="1" applyAlignment="1">
      <alignment horizontal="right"/>
    </xf>
    <xf numFmtId="1" fontId="40" fillId="0" borderId="13" xfId="0" applyNumberFormat="1" applyFont="1" applyFill="1" applyBorder="1" applyAlignment="1">
      <alignment horizontal="center"/>
    </xf>
    <xf numFmtId="0" fontId="4" fillId="39" borderId="13" xfId="0" applyFont="1" applyFill="1" applyBorder="1" applyAlignment="1">
      <alignment/>
    </xf>
    <xf numFmtId="0" fontId="5" fillId="39" borderId="13" xfId="0" applyFont="1" applyFill="1" applyBorder="1" applyAlignment="1">
      <alignment horizontal="right"/>
    </xf>
    <xf numFmtId="1" fontId="5" fillId="39" borderId="27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/>
    </xf>
    <xf numFmtId="0" fontId="4" fillId="40" borderId="14" xfId="0" applyFont="1" applyFill="1" applyBorder="1" applyAlignment="1">
      <alignment/>
    </xf>
    <xf numFmtId="0" fontId="5" fillId="40" borderId="14" xfId="0" applyFont="1" applyFill="1" applyBorder="1" applyAlignment="1">
      <alignment horizontal="right"/>
    </xf>
    <xf numFmtId="1" fontId="5" fillId="40" borderId="13" xfId="0" applyNumberFormat="1" applyFont="1" applyFill="1" applyBorder="1" applyAlignment="1">
      <alignment horizontal="center"/>
    </xf>
    <xf numFmtId="0" fontId="4" fillId="41" borderId="15" xfId="0" applyFont="1" applyFill="1" applyBorder="1" applyAlignment="1">
      <alignment/>
    </xf>
    <xf numFmtId="0" fontId="4" fillId="41" borderId="28" xfId="0" applyFont="1" applyFill="1" applyBorder="1" applyAlignment="1">
      <alignment/>
    </xf>
    <xf numFmtId="43" fontId="5" fillId="41" borderId="29" xfId="49" applyFont="1" applyFill="1" applyBorder="1" applyAlignment="1">
      <alignment horizontal="right"/>
    </xf>
    <xf numFmtId="1" fontId="5" fillId="41" borderId="29" xfId="0" applyNumberFormat="1" applyFont="1" applyFill="1" applyBorder="1" applyAlignment="1">
      <alignment horizontal="center"/>
    </xf>
    <xf numFmtId="1" fontId="5" fillId="41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" fontId="5" fillId="39" borderId="13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5" fillId="34" borderId="13" xfId="0" applyFont="1" applyFill="1" applyBorder="1" applyAlignment="1">
      <alignment horizontal="right"/>
    </xf>
    <xf numFmtId="0" fontId="4" fillId="41" borderId="13" xfId="0" applyFont="1" applyFill="1" applyBorder="1" applyAlignment="1">
      <alignment/>
    </xf>
    <xf numFmtId="43" fontId="7" fillId="41" borderId="13" xfId="49" applyFont="1" applyFill="1" applyBorder="1" applyAlignment="1">
      <alignment/>
    </xf>
    <xf numFmtId="0" fontId="5" fillId="41" borderId="13" xfId="0" applyFont="1" applyFill="1" applyBorder="1" applyAlignment="1">
      <alignment horizontal="right"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43" xfId="0" applyFont="1" applyFill="1" applyBorder="1" applyAlignment="1">
      <alignment/>
    </xf>
    <xf numFmtId="2" fontId="4" fillId="37" borderId="43" xfId="0" applyNumberFormat="1" applyFont="1" applyFill="1" applyBorder="1" applyAlignment="1">
      <alignment horizontal="center"/>
    </xf>
    <xf numFmtId="10" fontId="4" fillId="37" borderId="43" xfId="55" applyNumberFormat="1" applyFont="1" applyFill="1" applyBorder="1" applyAlignment="1">
      <alignment horizontal="center"/>
    </xf>
    <xf numFmtId="1" fontId="4" fillId="37" borderId="44" xfId="0" applyNumberFormat="1" applyFont="1" applyFill="1" applyBorder="1" applyAlignment="1">
      <alignment horizontal="center"/>
    </xf>
    <xf numFmtId="0" fontId="4" fillId="37" borderId="45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10" fontId="4" fillId="37" borderId="0" xfId="55" applyNumberFormat="1" applyFont="1" applyFill="1" applyBorder="1" applyAlignment="1">
      <alignment horizontal="center"/>
    </xf>
    <xf numFmtId="1" fontId="4" fillId="37" borderId="46" xfId="0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/>
    </xf>
    <xf numFmtId="0" fontId="4" fillId="42" borderId="13" xfId="0" applyFont="1" applyFill="1" applyBorder="1" applyAlignment="1">
      <alignment horizontal="center"/>
    </xf>
    <xf numFmtId="0" fontId="4" fillId="37" borderId="26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5" fillId="41" borderId="47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5" fillId="41" borderId="11" xfId="0" applyFont="1" applyFill="1" applyBorder="1" applyAlignment="1">
      <alignment horizontal="center"/>
    </xf>
    <xf numFmtId="0" fontId="5" fillId="41" borderId="41" xfId="0" applyFont="1" applyFill="1" applyBorder="1" applyAlignment="1">
      <alignment horizontal="center"/>
    </xf>
    <xf numFmtId="0" fontId="5" fillId="41" borderId="48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5" fillId="40" borderId="41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" fillId="39" borderId="49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Border="1" applyAlignment="1">
      <alignment/>
    </xf>
    <xf numFmtId="49" fontId="31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22" xfId="0" applyFont="1" applyFill="1" applyBorder="1" applyAlignment="1">
      <alignment/>
    </xf>
    <xf numFmtId="0" fontId="4" fillId="39" borderId="13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50" xfId="0" applyFont="1" applyBorder="1" applyAlignment="1">
      <alignment/>
    </xf>
    <xf numFmtId="43" fontId="4" fillId="0" borderId="14" xfId="49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/>
    </xf>
    <xf numFmtId="9" fontId="4" fillId="39" borderId="13" xfId="55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/>
    </xf>
    <xf numFmtId="165" fontId="4" fillId="43" borderId="33" xfId="49" applyNumberFormat="1" applyFont="1" applyFill="1" applyBorder="1" applyAlignment="1">
      <alignment horizontal="center"/>
    </xf>
    <xf numFmtId="165" fontId="4" fillId="38" borderId="33" xfId="49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176" fontId="5" fillId="36" borderId="13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right"/>
    </xf>
    <xf numFmtId="176" fontId="5" fillId="36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" fillId="0" borderId="22" xfId="0" applyFont="1" applyFill="1" applyBorder="1" applyAlignment="1">
      <alignment/>
    </xf>
    <xf numFmtId="10" fontId="69" fillId="39" borderId="13" xfId="55" applyNumberFormat="1" applyFont="1" applyFill="1" applyBorder="1" applyAlignment="1">
      <alignment horizontal="right"/>
    </xf>
    <xf numFmtId="0" fontId="6" fillId="0" borderId="13" xfId="0" applyFont="1" applyBorder="1" applyAlignment="1">
      <alignment/>
    </xf>
    <xf numFmtId="170" fontId="8" fillId="0" borderId="33" xfId="0" applyNumberFormat="1" applyFont="1" applyBorder="1" applyAlignment="1">
      <alignment horizontal="right"/>
    </xf>
    <xf numFmtId="174" fontId="70" fillId="0" borderId="0" xfId="55" applyNumberFormat="1" applyFont="1" applyAlignment="1">
      <alignment/>
    </xf>
    <xf numFmtId="43" fontId="4" fillId="0" borderId="0" xfId="49" applyFont="1" applyAlignment="1">
      <alignment/>
    </xf>
    <xf numFmtId="10" fontId="71" fillId="39" borderId="13" xfId="55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/>
    </xf>
    <xf numFmtId="170" fontId="8" fillId="0" borderId="13" xfId="0" applyNumberFormat="1" applyFont="1" applyBorder="1" applyAlignment="1">
      <alignment horizontal="right"/>
    </xf>
    <xf numFmtId="0" fontId="72" fillId="0" borderId="0" xfId="0" applyFont="1" applyAlignment="1">
      <alignment/>
    </xf>
    <xf numFmtId="0" fontId="8" fillId="0" borderId="22" xfId="0" applyFont="1" applyBorder="1" applyAlignment="1">
      <alignment/>
    </xf>
    <xf numFmtId="9" fontId="8" fillId="39" borderId="13" xfId="55" applyFont="1" applyFill="1" applyBorder="1" applyAlignment="1">
      <alignment horizontal="right"/>
    </xf>
    <xf numFmtId="49" fontId="8" fillId="0" borderId="13" xfId="0" applyNumberFormat="1" applyFont="1" applyFill="1" applyBorder="1" applyAlignment="1">
      <alignment/>
    </xf>
    <xf numFmtId="0" fontId="7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11" fillId="0" borderId="0" xfId="0" applyFont="1" applyBorder="1" applyAlignment="1">
      <alignment/>
    </xf>
    <xf numFmtId="170" fontId="8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196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6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164" fontId="4" fillId="0" borderId="0" xfId="49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6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45" fillId="0" borderId="0" xfId="0" applyFont="1" applyAlignment="1">
      <alignment/>
    </xf>
    <xf numFmtId="176" fontId="45" fillId="0" borderId="0" xfId="0" applyNumberFormat="1" applyFont="1" applyAlignment="1">
      <alignment/>
    </xf>
    <xf numFmtId="0" fontId="73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distributed"/>
    </xf>
    <xf numFmtId="0" fontId="5" fillId="0" borderId="52" xfId="0" applyFont="1" applyBorder="1" applyAlignment="1">
      <alignment horizontal="center" vertical="distributed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distributed"/>
    </xf>
    <xf numFmtId="10" fontId="4" fillId="0" borderId="0" xfId="0" applyNumberFormat="1" applyFont="1" applyAlignment="1">
      <alignment/>
    </xf>
    <xf numFmtId="189" fontId="4" fillId="44" borderId="0" xfId="0" applyNumberFormat="1" applyFont="1" applyFill="1" applyAlignment="1">
      <alignment horizontal="center"/>
    </xf>
    <xf numFmtId="2" fontId="4" fillId="44" borderId="0" xfId="0" applyNumberFormat="1" applyFont="1" applyFill="1" applyAlignment="1">
      <alignment horizontal="center"/>
    </xf>
    <xf numFmtId="2" fontId="4" fillId="45" borderId="0" xfId="0" applyNumberFormat="1" applyFont="1" applyFill="1" applyAlignment="1">
      <alignment horizontal="center"/>
    </xf>
    <xf numFmtId="189" fontId="4" fillId="45" borderId="0" xfId="0" applyNumberFormat="1" applyFont="1" applyFill="1" applyAlignment="1">
      <alignment horizontal="center"/>
    </xf>
    <xf numFmtId="0" fontId="5" fillId="45" borderId="13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horizontal="center" vertical="center" wrapText="1"/>
    </xf>
    <xf numFmtId="0" fontId="5" fillId="44" borderId="13" xfId="0" applyFont="1" applyFill="1" applyBorder="1" applyAlignment="1">
      <alignment vertical="center"/>
    </xf>
    <xf numFmtId="2" fontId="106" fillId="45" borderId="13" xfId="0" applyNumberFormat="1" applyFont="1" applyFill="1" applyBorder="1" applyAlignment="1">
      <alignment horizontal="center"/>
    </xf>
    <xf numFmtId="189" fontId="106" fillId="44" borderId="13" xfId="0" applyNumberFormat="1" applyFont="1" applyFill="1" applyBorder="1" applyAlignment="1">
      <alignment horizontal="center"/>
    </xf>
    <xf numFmtId="189" fontId="106" fillId="45" borderId="13" xfId="0" applyNumberFormat="1" applyFont="1" applyFill="1" applyBorder="1" applyAlignment="1">
      <alignment horizontal="center"/>
    </xf>
    <xf numFmtId="2" fontId="106" fillId="44" borderId="13" xfId="0" applyNumberFormat="1" applyFont="1" applyFill="1" applyBorder="1" applyAlignment="1">
      <alignment horizontal="center"/>
    </xf>
    <xf numFmtId="2" fontId="107" fillId="45" borderId="13" xfId="0" applyNumberFormat="1" applyFont="1" applyFill="1" applyBorder="1" applyAlignment="1">
      <alignment horizontal="center"/>
    </xf>
    <xf numFmtId="189" fontId="107" fillId="44" borderId="13" xfId="0" applyNumberFormat="1" applyFont="1" applyFill="1" applyBorder="1" applyAlignment="1">
      <alignment horizontal="center"/>
    </xf>
    <xf numFmtId="2" fontId="108" fillId="45" borderId="13" xfId="0" applyNumberFormat="1" applyFont="1" applyFill="1" applyBorder="1" applyAlignment="1">
      <alignment horizontal="center"/>
    </xf>
    <xf numFmtId="189" fontId="108" fillId="44" borderId="13" xfId="0" applyNumberFormat="1" applyFont="1" applyFill="1" applyBorder="1" applyAlignment="1">
      <alignment horizontal="center"/>
    </xf>
    <xf numFmtId="189" fontId="108" fillId="45" borderId="13" xfId="0" applyNumberFormat="1" applyFont="1" applyFill="1" applyBorder="1" applyAlignment="1">
      <alignment horizontal="center"/>
    </xf>
    <xf numFmtId="2" fontId="108" fillId="44" borderId="13" xfId="0" applyNumberFormat="1" applyFont="1" applyFill="1" applyBorder="1" applyAlignment="1">
      <alignment horizontal="center"/>
    </xf>
    <xf numFmtId="189" fontId="107" fillId="45" borderId="13" xfId="0" applyNumberFormat="1" applyFont="1" applyFill="1" applyBorder="1" applyAlignment="1">
      <alignment horizontal="center"/>
    </xf>
    <xf numFmtId="2" fontId="107" fillId="44" borderId="1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4" fillId="45" borderId="26" xfId="0" applyFont="1" applyFill="1" applyBorder="1" applyAlignment="1">
      <alignment horizontal="center" vertical="center"/>
    </xf>
    <xf numFmtId="189" fontId="4" fillId="44" borderId="57" xfId="0" applyNumberFormat="1" applyFont="1" applyFill="1" applyBorder="1" applyAlignment="1">
      <alignment horizontal="center" vertical="center"/>
    </xf>
    <xf numFmtId="189" fontId="5" fillId="0" borderId="57" xfId="0" applyNumberFormat="1" applyFont="1" applyBorder="1" applyAlignment="1">
      <alignment horizontal="center" vertical="center"/>
    </xf>
    <xf numFmtId="189" fontId="4" fillId="45" borderId="57" xfId="0" applyNumberFormat="1" applyFont="1" applyFill="1" applyBorder="1" applyAlignment="1">
      <alignment horizontal="center" vertical="center"/>
    </xf>
    <xf numFmtId="185" fontId="4" fillId="44" borderId="53" xfId="0" applyNumberFormat="1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 wrapText="1"/>
    </xf>
    <xf numFmtId="176" fontId="6" fillId="44" borderId="13" xfId="0" applyNumberFormat="1" applyFont="1" applyFill="1" applyBorder="1" applyAlignment="1">
      <alignment horizontal="right"/>
    </xf>
    <xf numFmtId="176" fontId="6" fillId="44" borderId="34" xfId="0" applyNumberFormat="1" applyFont="1" applyFill="1" applyBorder="1" applyAlignment="1">
      <alignment horizontal="right"/>
    </xf>
    <xf numFmtId="189" fontId="4" fillId="0" borderId="38" xfId="0" applyNumberFormat="1" applyFont="1" applyFill="1" applyBorder="1" applyAlignment="1">
      <alignment horizontal="center" vertical="distributed"/>
    </xf>
    <xf numFmtId="189" fontId="4" fillId="0" borderId="11" xfId="0" applyNumberFormat="1" applyFont="1" applyFill="1" applyBorder="1" applyAlignment="1">
      <alignment horizontal="center" vertical="distributed"/>
    </xf>
    <xf numFmtId="189" fontId="33" fillId="0" borderId="11" xfId="0" applyNumberFormat="1" applyFont="1" applyFill="1" applyBorder="1" applyAlignment="1">
      <alignment horizontal="center" vertical="center" wrapText="1"/>
    </xf>
    <xf numFmtId="10" fontId="4" fillId="0" borderId="0" xfId="55" applyNumberFormat="1" applyFont="1" applyAlignment="1">
      <alignment/>
    </xf>
    <xf numFmtId="189" fontId="4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85" fontId="4" fillId="0" borderId="0" xfId="49" applyNumberFormat="1" applyFont="1" applyFill="1" applyBorder="1" applyAlignment="1">
      <alignment horizontal="center"/>
    </xf>
    <xf numFmtId="167" fontId="4" fillId="0" borderId="0" xfId="55" applyNumberFormat="1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67" fontId="4" fillId="0" borderId="0" xfId="55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7" fontId="4" fillId="0" borderId="0" xfId="55" applyNumberFormat="1" applyFont="1" applyFill="1" applyBorder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34" fillId="0" borderId="36" xfId="0" applyFont="1" applyBorder="1" applyAlignment="1">
      <alignment horizontal="left" vertical="distributed"/>
    </xf>
    <xf numFmtId="0" fontId="34" fillId="0" borderId="37" xfId="0" applyFont="1" applyBorder="1" applyAlignment="1">
      <alignment horizontal="left" vertical="distributed"/>
    </xf>
    <xf numFmtId="0" fontId="34" fillId="0" borderId="38" xfId="0" applyFont="1" applyBorder="1" applyAlignment="1">
      <alignment horizontal="left" vertical="distributed"/>
    </xf>
    <xf numFmtId="0" fontId="5" fillId="0" borderId="58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/>
    </xf>
    <xf numFmtId="0" fontId="30" fillId="0" borderId="10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distributed"/>
    </xf>
    <xf numFmtId="0" fontId="10" fillId="0" borderId="31" xfId="0" applyFont="1" applyBorder="1" applyAlignment="1">
      <alignment horizontal="left" vertical="distributed"/>
    </xf>
    <xf numFmtId="0" fontId="10" fillId="0" borderId="42" xfId="0" applyFont="1" applyBorder="1" applyAlignment="1">
      <alignment horizontal="left" vertical="distributed"/>
    </xf>
    <xf numFmtId="0" fontId="46" fillId="0" borderId="26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center" vertical="center" textRotation="90"/>
    </xf>
    <xf numFmtId="0" fontId="11" fillId="0" borderId="48" xfId="0" applyFont="1" applyFill="1" applyBorder="1" applyAlignment="1">
      <alignment horizontal="center" vertical="center" textRotation="90"/>
    </xf>
    <xf numFmtId="0" fontId="11" fillId="0" borderId="30" xfId="0" applyFont="1" applyFill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distributed"/>
    </xf>
    <xf numFmtId="0" fontId="5" fillId="0" borderId="29" xfId="0" applyFont="1" applyBorder="1" applyAlignment="1">
      <alignment horizontal="center" vertical="distributed"/>
    </xf>
    <xf numFmtId="0" fontId="5" fillId="0" borderId="4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distributed"/>
    </xf>
    <xf numFmtId="0" fontId="6" fillId="0" borderId="31" xfId="0" applyFont="1" applyBorder="1" applyAlignment="1">
      <alignment horizontal="center" vertical="distributed"/>
    </xf>
    <xf numFmtId="0" fontId="6" fillId="0" borderId="42" xfId="0" applyFont="1" applyBorder="1" applyAlignment="1">
      <alignment horizontal="center" vertical="distributed"/>
    </xf>
    <xf numFmtId="0" fontId="34" fillId="0" borderId="10" xfId="0" applyFont="1" applyBorder="1" applyAlignment="1">
      <alignment horizontal="left" vertical="distributed"/>
    </xf>
    <xf numFmtId="0" fontId="34" fillId="0" borderId="31" xfId="0" applyFont="1" applyBorder="1" applyAlignment="1">
      <alignment horizontal="left" vertical="distributed"/>
    </xf>
    <xf numFmtId="0" fontId="34" fillId="0" borderId="42" xfId="0" applyFont="1" applyBorder="1" applyAlignment="1">
      <alignment horizontal="left" vertical="distributed"/>
    </xf>
    <xf numFmtId="0" fontId="11" fillId="0" borderId="27" xfId="0" applyFont="1" applyBorder="1" applyAlignment="1">
      <alignment horizontal="left" vertical="distributed"/>
    </xf>
    <xf numFmtId="0" fontId="76" fillId="0" borderId="10" xfId="0" applyFont="1" applyBorder="1" applyAlignment="1">
      <alignment horizontal="left" vertical="distributed"/>
    </xf>
    <xf numFmtId="0" fontId="76" fillId="0" borderId="31" xfId="0" applyFont="1" applyBorder="1" applyAlignment="1">
      <alignment horizontal="left" vertical="distributed"/>
    </xf>
    <xf numFmtId="0" fontId="76" fillId="0" borderId="42" xfId="0" applyFont="1" applyBorder="1" applyAlignment="1">
      <alignment horizontal="left" vertical="distributed"/>
    </xf>
    <xf numFmtId="0" fontId="11" fillId="0" borderId="61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6" fillId="0" borderId="58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167" fontId="4" fillId="0" borderId="0" xfId="55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distributed"/>
    </xf>
    <xf numFmtId="10" fontId="5" fillId="0" borderId="37" xfId="0" applyNumberFormat="1" applyFont="1" applyFill="1" applyBorder="1" applyAlignment="1">
      <alignment horizontal="center" vertical="distributed"/>
    </xf>
    <xf numFmtId="10" fontId="4" fillId="0" borderId="37" xfId="0" applyNumberFormat="1" applyFont="1" applyFill="1" applyBorder="1" applyAlignment="1">
      <alignment horizontal="center" vertical="distributed"/>
    </xf>
    <xf numFmtId="185" fontId="19" fillId="0" borderId="0" xfId="49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'Incid 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828868"/>
        <c:axId val="18806629"/>
      </c:lineChart>
      <c:catAx>
        <c:axId val="46828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6629"/>
        <c:crosses val="autoZero"/>
        <c:auto val="1"/>
        <c:lblOffset val="100"/>
        <c:tickLblSkip val="1"/>
        <c:noMultiLvlLbl val="0"/>
      </c:catAx>
      <c:valAx>
        <c:axId val="18806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8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'Incid 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041934"/>
        <c:axId val="46941951"/>
      </c:lineChart>
      <c:catAx>
        <c:axId val="3504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41951"/>
        <c:crosses val="autoZero"/>
        <c:auto val="1"/>
        <c:lblOffset val="100"/>
        <c:tickLblSkip val="1"/>
        <c:noMultiLvlLbl val="0"/>
      </c:catAx>
      <c:valAx>
        <c:axId val="46941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41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'Incid 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824376"/>
        <c:axId val="44201657"/>
      </c:lineChart>
      <c:catAx>
        <c:axId val="1982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01657"/>
        <c:crosses val="autoZero"/>
        <c:auto val="1"/>
        <c:lblOffset val="100"/>
        <c:tickLblSkip val="1"/>
        <c:noMultiLvlLbl val="0"/>
      </c:catAx>
      <c:valAx>
        <c:axId val="44201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24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'Incid 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270594"/>
        <c:axId val="23564435"/>
      </c:lineChart>
      <c:catAx>
        <c:axId val="6227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4435"/>
        <c:crosses val="autoZero"/>
        <c:auto val="1"/>
        <c:lblOffset val="100"/>
        <c:tickLblSkip val="1"/>
        <c:noMultiLvlLbl val="0"/>
      </c:catAx>
      <c:valAx>
        <c:axId val="23564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70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0</xdr:colOff>
      <xdr:row>34</xdr:row>
      <xdr:rowOff>38100</xdr:rowOff>
    </xdr:to>
    <xdr:graphicFrame>
      <xdr:nvGraphicFramePr>
        <xdr:cNvPr id="1" name="Gráfico 10"/>
        <xdr:cNvGraphicFramePr/>
      </xdr:nvGraphicFramePr>
      <xdr:xfrm>
        <a:off x="0" y="1323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graphicFrame>
      <xdr:nvGraphicFramePr>
        <xdr:cNvPr id="2" name="Gráfico 11"/>
        <xdr:cNvGraphicFramePr/>
      </xdr:nvGraphicFramePr>
      <xdr:xfrm>
        <a:off x="0" y="1323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graphicFrame>
      <xdr:nvGraphicFramePr>
        <xdr:cNvPr id="3" name="Gráfico 12"/>
        <xdr:cNvGraphicFramePr/>
      </xdr:nvGraphicFramePr>
      <xdr:xfrm>
        <a:off x="0" y="13239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34</xdr:row>
      <xdr:rowOff>28575</xdr:rowOff>
    </xdr:to>
    <xdr:graphicFrame>
      <xdr:nvGraphicFramePr>
        <xdr:cNvPr id="4" name="Gráfico 13"/>
        <xdr:cNvGraphicFramePr/>
      </xdr:nvGraphicFramePr>
      <xdr:xfrm>
        <a:off x="0" y="13239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962025</xdr:colOff>
      <xdr:row>55</xdr:row>
      <xdr:rowOff>142875</xdr:rowOff>
    </xdr:from>
    <xdr:to>
      <xdr:col>6</xdr:col>
      <xdr:colOff>714375</xdr:colOff>
      <xdr:row>60</xdr:row>
      <xdr:rowOff>47625</xdr:rowOff>
    </xdr:to>
    <xdr:sp>
      <xdr:nvSpPr>
        <xdr:cNvPr id="5" name="Line 92"/>
        <xdr:cNvSpPr>
          <a:spLocks/>
        </xdr:cNvSpPr>
      </xdr:nvSpPr>
      <xdr:spPr>
        <a:xfrm flipH="1">
          <a:off x="6257925" y="2647950"/>
          <a:ext cx="1152525" cy="17145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1" name="Line 43"/>
        <xdr:cNvSpPr>
          <a:spLocks/>
        </xdr:cNvSpPr>
      </xdr:nvSpPr>
      <xdr:spPr>
        <a:xfrm>
          <a:off x="3209925" y="8001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49</xdr:row>
      <xdr:rowOff>133350</xdr:rowOff>
    </xdr:from>
    <xdr:to>
      <xdr:col>4</xdr:col>
      <xdr:colOff>0</xdr:colOff>
      <xdr:row>49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038475" y="12372975"/>
          <a:ext cx="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133350</xdr:rowOff>
    </xdr:from>
    <xdr:to>
      <xdr:col>4</xdr:col>
      <xdr:colOff>0</xdr:colOff>
      <xdr:row>49</xdr:row>
      <xdr:rowOff>133350</xdr:rowOff>
    </xdr:to>
    <xdr:sp>
      <xdr:nvSpPr>
        <xdr:cNvPr id="2" name="Line 2"/>
        <xdr:cNvSpPr>
          <a:spLocks/>
        </xdr:cNvSpPr>
      </xdr:nvSpPr>
      <xdr:spPr>
        <a:xfrm>
          <a:off x="3038475" y="12372975"/>
          <a:ext cx="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27</xdr:row>
      <xdr:rowOff>38100</xdr:rowOff>
    </xdr:from>
    <xdr:to>
      <xdr:col>12</xdr:col>
      <xdr:colOff>114300</xdr:colOff>
      <xdr:row>27</xdr:row>
      <xdr:rowOff>114300</xdr:rowOff>
    </xdr:to>
    <xdr:sp>
      <xdr:nvSpPr>
        <xdr:cNvPr id="1" name="Oval 1"/>
        <xdr:cNvSpPr>
          <a:spLocks/>
        </xdr:cNvSpPr>
      </xdr:nvSpPr>
      <xdr:spPr>
        <a:xfrm>
          <a:off x="2209800" y="46672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13</xdr:row>
      <xdr:rowOff>76200</xdr:rowOff>
    </xdr:from>
    <xdr:to>
      <xdr:col>21</xdr:col>
      <xdr:colOff>171450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3971925" y="2438400"/>
          <a:ext cx="0" cy="39719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152400</xdr:rowOff>
    </xdr:from>
    <xdr:to>
      <xdr:col>52</xdr:col>
      <xdr:colOff>38100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90500" y="4781550"/>
          <a:ext cx="926782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114300</xdr:rowOff>
    </xdr:from>
    <xdr:to>
      <xdr:col>14</xdr:col>
      <xdr:colOff>171450</xdr:colOff>
      <xdr:row>25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819275" y="4095750"/>
          <a:ext cx="885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Placebo</a:t>
          </a:r>
        </a:p>
      </xdr:txBody>
    </xdr:sp>
    <xdr:clientData/>
  </xdr:twoCellAnchor>
  <xdr:twoCellAnchor>
    <xdr:from>
      <xdr:col>7</xdr:col>
      <xdr:colOff>38100</xdr:colOff>
      <xdr:row>25</xdr:row>
      <xdr:rowOff>123825</xdr:rowOff>
    </xdr:from>
    <xdr:to>
      <xdr:col>10</xdr:col>
      <xdr:colOff>28575</xdr:colOff>
      <xdr:row>26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1304925" y="4429125"/>
          <a:ext cx="533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-1,23%</a:t>
          </a:r>
        </a:p>
      </xdr:txBody>
    </xdr:sp>
    <xdr:clientData/>
  </xdr:twoCellAnchor>
  <xdr:twoCellAnchor>
    <xdr:from>
      <xdr:col>10</xdr:col>
      <xdr:colOff>171450</xdr:colOff>
      <xdr:row>25</xdr:row>
      <xdr:rowOff>123825</xdr:rowOff>
    </xdr:from>
    <xdr:to>
      <xdr:col>13</xdr:col>
      <xdr:colOff>161925</xdr:colOff>
      <xdr:row>26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1981200" y="4429125"/>
          <a:ext cx="533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-0,99%</a:t>
          </a:r>
        </a:p>
      </xdr:txBody>
    </xdr:sp>
    <xdr:clientData/>
  </xdr:twoCellAnchor>
  <xdr:twoCellAnchor>
    <xdr:from>
      <xdr:col>14</xdr:col>
      <xdr:colOff>114300</xdr:colOff>
      <xdr:row>25</xdr:row>
      <xdr:rowOff>133350</xdr:rowOff>
    </xdr:from>
    <xdr:to>
      <xdr:col>17</xdr:col>
      <xdr:colOff>104775</xdr:colOff>
      <xdr:row>26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647950" y="4438650"/>
          <a:ext cx="533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-0,77%</a:t>
          </a:r>
        </a:p>
      </xdr:txBody>
    </xdr:sp>
    <xdr:clientData/>
  </xdr:twoCellAnchor>
  <xdr:twoCellAnchor>
    <xdr:from>
      <xdr:col>21</xdr:col>
      <xdr:colOff>152400</xdr:colOff>
      <xdr:row>27</xdr:row>
      <xdr:rowOff>152400</xdr:rowOff>
    </xdr:from>
    <xdr:to>
      <xdr:col>22</xdr:col>
      <xdr:colOff>9525</xdr:colOff>
      <xdr:row>28</xdr:row>
      <xdr:rowOff>19050</xdr:rowOff>
    </xdr:to>
    <xdr:sp>
      <xdr:nvSpPr>
        <xdr:cNvPr id="8" name="Oval 8"/>
        <xdr:cNvSpPr>
          <a:spLocks/>
        </xdr:cNvSpPr>
      </xdr:nvSpPr>
      <xdr:spPr>
        <a:xfrm>
          <a:off x="3952875" y="4781550"/>
          <a:ext cx="38100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31</xdr:row>
      <xdr:rowOff>114300</xdr:rowOff>
    </xdr:from>
    <xdr:to>
      <xdr:col>24</xdr:col>
      <xdr:colOff>57150</xdr:colOff>
      <xdr:row>33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3514725" y="5391150"/>
          <a:ext cx="885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Warfarina</a:t>
          </a:r>
        </a:p>
      </xdr:txBody>
    </xdr:sp>
    <xdr:clientData/>
  </xdr:twoCellAnchor>
  <xdr:twoCellAnchor>
    <xdr:from>
      <xdr:col>18</xdr:col>
      <xdr:colOff>57150</xdr:colOff>
      <xdr:row>16</xdr:row>
      <xdr:rowOff>95250</xdr:rowOff>
    </xdr:from>
    <xdr:to>
      <xdr:col>18</xdr:col>
      <xdr:colOff>57150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>
          <a:off x="3314700" y="2943225"/>
          <a:ext cx="0" cy="3467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21</xdr:row>
      <xdr:rowOff>133350</xdr:rowOff>
    </xdr:from>
    <xdr:to>
      <xdr:col>21</xdr:col>
      <xdr:colOff>19050</xdr:colOff>
      <xdr:row>23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2695575" y="3790950"/>
          <a:ext cx="1123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MNI = -0,385 %</a:t>
          </a:r>
        </a:p>
      </xdr:txBody>
    </xdr:sp>
    <xdr:clientData/>
  </xdr:twoCellAnchor>
  <xdr:twoCellAnchor>
    <xdr:from>
      <xdr:col>20</xdr:col>
      <xdr:colOff>85725</xdr:colOff>
      <xdr:row>29</xdr:row>
      <xdr:rowOff>76200</xdr:rowOff>
    </xdr:from>
    <xdr:to>
      <xdr:col>23</xdr:col>
      <xdr:colOff>76200</xdr:colOff>
      <xdr:row>30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3705225" y="5029200"/>
          <a:ext cx="533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0</a:t>
          </a:r>
        </a:p>
      </xdr:txBody>
    </xdr:sp>
    <xdr:clientData/>
  </xdr:twoCellAnchor>
  <xdr:twoCellAnchor>
    <xdr:from>
      <xdr:col>18</xdr:col>
      <xdr:colOff>142875</xdr:colOff>
      <xdr:row>18</xdr:row>
      <xdr:rowOff>152400</xdr:rowOff>
    </xdr:from>
    <xdr:to>
      <xdr:col>31</xdr:col>
      <xdr:colOff>38100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3400425" y="3324225"/>
          <a:ext cx="2247900" cy="9525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18</xdr:row>
      <xdr:rowOff>152400</xdr:rowOff>
    </xdr:from>
    <xdr:to>
      <xdr:col>25</xdr:col>
      <xdr:colOff>38100</xdr:colOff>
      <xdr:row>19</xdr:row>
      <xdr:rowOff>19050</xdr:rowOff>
    </xdr:to>
    <xdr:sp>
      <xdr:nvSpPr>
        <xdr:cNvPr id="14" name="Oval 14"/>
        <xdr:cNvSpPr>
          <a:spLocks/>
        </xdr:cNvSpPr>
      </xdr:nvSpPr>
      <xdr:spPr>
        <a:xfrm>
          <a:off x="4533900" y="3324225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16</xdr:row>
      <xdr:rowOff>152400</xdr:rowOff>
    </xdr:from>
    <xdr:to>
      <xdr:col>29</xdr:col>
      <xdr:colOff>123825</xdr:colOff>
      <xdr:row>18</xdr:row>
      <xdr:rowOff>38100</xdr:rowOff>
    </xdr:to>
    <xdr:sp>
      <xdr:nvSpPr>
        <xdr:cNvPr id="15" name="Rectangle 15"/>
        <xdr:cNvSpPr>
          <a:spLocks/>
        </xdr:cNvSpPr>
      </xdr:nvSpPr>
      <xdr:spPr>
        <a:xfrm>
          <a:off x="3724275" y="3000375"/>
          <a:ext cx="1647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FF6600"/>
              </a:solidFill>
            </a:rPr>
            <a:t>0,31% (-0,32% a 0,94%)
</a:t>
          </a:r>
        </a:p>
      </xdr:txBody>
    </xdr:sp>
    <xdr:clientData/>
  </xdr:twoCellAnchor>
  <xdr:twoCellAnchor>
    <xdr:from>
      <xdr:col>22</xdr:col>
      <xdr:colOff>142875</xdr:colOff>
      <xdr:row>19</xdr:row>
      <xdr:rowOff>114300</xdr:rowOff>
    </xdr:from>
    <xdr:to>
      <xdr:col>27</xdr:col>
      <xdr:colOff>123825</xdr:colOff>
      <xdr:row>21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124325" y="3448050"/>
          <a:ext cx="885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</a:rPr>
            <a:t>DAB 220</a:t>
          </a:r>
        </a:p>
      </xdr:txBody>
    </xdr:sp>
    <xdr:clientData/>
  </xdr:twoCellAnchor>
  <xdr:twoCellAnchor>
    <xdr:from>
      <xdr:col>27</xdr:col>
      <xdr:colOff>95250</xdr:colOff>
      <xdr:row>24</xdr:row>
      <xdr:rowOff>0</xdr:rowOff>
    </xdr:from>
    <xdr:to>
      <xdr:col>39</xdr:col>
      <xdr:colOff>19050</xdr:colOff>
      <xdr:row>24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4981575" y="4143375"/>
          <a:ext cx="2095500" cy="1905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24</xdr:row>
      <xdr:rowOff>0</xdr:rowOff>
    </xdr:from>
    <xdr:to>
      <xdr:col>33</xdr:col>
      <xdr:colOff>95250</xdr:colOff>
      <xdr:row>24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6038850" y="4143375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161925</xdr:colOff>
      <xdr:row>22</xdr:row>
      <xdr:rowOff>9525</xdr:rowOff>
    </xdr:from>
    <xdr:to>
      <xdr:col>37</xdr:col>
      <xdr:colOff>161925</xdr:colOff>
      <xdr:row>23</xdr:row>
      <xdr:rowOff>57150</xdr:rowOff>
    </xdr:to>
    <xdr:sp>
      <xdr:nvSpPr>
        <xdr:cNvPr id="19" name="Rectangle 19"/>
        <xdr:cNvSpPr>
          <a:spLocks/>
        </xdr:cNvSpPr>
      </xdr:nvSpPr>
      <xdr:spPr>
        <a:xfrm>
          <a:off x="5229225" y="3829050"/>
          <a:ext cx="1628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</a:rPr>
            <a:t>0,65% (0,52% a 0,81%)
</a:t>
          </a:r>
        </a:p>
      </xdr:txBody>
    </xdr:sp>
    <xdr:clientData/>
  </xdr:twoCellAnchor>
  <xdr:twoCellAnchor>
    <xdr:from>
      <xdr:col>31</xdr:col>
      <xdr:colOff>9525</xdr:colOff>
      <xdr:row>24</xdr:row>
      <xdr:rowOff>104775</xdr:rowOff>
    </xdr:from>
    <xdr:to>
      <xdr:col>35</xdr:col>
      <xdr:colOff>180975</xdr:colOff>
      <xdr:row>26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619750" y="4248150"/>
          <a:ext cx="895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DAB 300</a:t>
          </a:r>
        </a:p>
      </xdr:txBody>
    </xdr:sp>
    <xdr:clientData/>
  </xdr:twoCellAnchor>
  <xdr:twoCellAnchor>
    <xdr:from>
      <xdr:col>10</xdr:col>
      <xdr:colOff>9525</xdr:colOff>
      <xdr:row>27</xdr:row>
      <xdr:rowOff>76200</xdr:rowOff>
    </xdr:from>
    <xdr:to>
      <xdr:col>14</xdr:col>
      <xdr:colOff>104775</xdr:colOff>
      <xdr:row>27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1819275" y="47053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66</xdr:row>
      <xdr:rowOff>104775</xdr:rowOff>
    </xdr:from>
    <xdr:to>
      <xdr:col>45</xdr:col>
      <xdr:colOff>28575</xdr:colOff>
      <xdr:row>66</xdr:row>
      <xdr:rowOff>104775</xdr:rowOff>
    </xdr:to>
    <xdr:sp>
      <xdr:nvSpPr>
        <xdr:cNvPr id="22" name="Line 22"/>
        <xdr:cNvSpPr>
          <a:spLocks/>
        </xdr:cNvSpPr>
      </xdr:nvSpPr>
      <xdr:spPr>
        <a:xfrm flipH="1">
          <a:off x="4981575" y="11049000"/>
          <a:ext cx="31813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35</xdr:row>
      <xdr:rowOff>9525</xdr:rowOff>
    </xdr:from>
    <xdr:to>
      <xdr:col>37</xdr:col>
      <xdr:colOff>28575</xdr:colOff>
      <xdr:row>35</xdr:row>
      <xdr:rowOff>19050</xdr:rowOff>
    </xdr:to>
    <xdr:sp>
      <xdr:nvSpPr>
        <xdr:cNvPr id="23" name="Line 23"/>
        <xdr:cNvSpPr>
          <a:spLocks/>
        </xdr:cNvSpPr>
      </xdr:nvSpPr>
      <xdr:spPr>
        <a:xfrm flipV="1">
          <a:off x="3324225" y="5934075"/>
          <a:ext cx="34004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36</xdr:row>
      <xdr:rowOff>28575</xdr:rowOff>
    </xdr:from>
    <xdr:to>
      <xdr:col>39</xdr:col>
      <xdr:colOff>76200</xdr:colOff>
      <xdr:row>39</xdr:row>
      <xdr:rowOff>95250</xdr:rowOff>
    </xdr:to>
    <xdr:sp>
      <xdr:nvSpPr>
        <xdr:cNvPr id="24" name="Rectangle 24"/>
        <xdr:cNvSpPr>
          <a:spLocks/>
        </xdr:cNvSpPr>
      </xdr:nvSpPr>
      <xdr:spPr>
        <a:xfrm>
          <a:off x="3390900" y="6115050"/>
          <a:ext cx="3743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Todo lo que esté por encima del MNI -0,385% en la RAR se considera NO inferior a WARF.</a:t>
          </a:r>
        </a:p>
      </xdr:txBody>
    </xdr:sp>
    <xdr:clientData/>
  </xdr:twoCellAnchor>
  <xdr:twoCellAnchor>
    <xdr:from>
      <xdr:col>25</xdr:col>
      <xdr:colOff>171450</xdr:colOff>
      <xdr:row>17</xdr:row>
      <xdr:rowOff>152400</xdr:rowOff>
    </xdr:from>
    <xdr:to>
      <xdr:col>41</xdr:col>
      <xdr:colOff>0</xdr:colOff>
      <xdr:row>23</xdr:row>
      <xdr:rowOff>152400</xdr:rowOff>
    </xdr:to>
    <xdr:sp>
      <xdr:nvSpPr>
        <xdr:cNvPr id="25" name="Forma libre 25"/>
        <xdr:cNvSpPr>
          <a:spLocks/>
        </xdr:cNvSpPr>
      </xdr:nvSpPr>
      <xdr:spPr>
        <a:xfrm>
          <a:off x="4695825" y="3162300"/>
          <a:ext cx="2724150" cy="971550"/>
        </a:xfrm>
        <a:custGeom>
          <a:pathLst>
            <a:path h="1088259" w="3323896">
              <a:moveTo>
                <a:pt x="0" y="1051036"/>
              </a:moveTo>
              <a:cubicBezTo>
                <a:pt x="160392" y="1069647"/>
                <a:pt x="320785" y="1088259"/>
                <a:pt x="584638" y="913087"/>
              </a:cubicBezTo>
              <a:cubicBezTo>
                <a:pt x="848491" y="737915"/>
                <a:pt x="1243724" y="1096"/>
                <a:pt x="1583120" y="1"/>
              </a:cubicBezTo>
              <a:cubicBezTo>
                <a:pt x="1922516" y="-1094"/>
                <a:pt x="2347310" y="730251"/>
                <a:pt x="2621017" y="906518"/>
              </a:cubicBezTo>
              <a:cubicBezTo>
                <a:pt x="2894724" y="1082785"/>
                <a:pt x="3225362" y="1057605"/>
                <a:pt x="3225362" y="1057605"/>
              </a:cubicBezTo>
              <a:cubicBezTo>
                <a:pt x="3323896" y="1081691"/>
                <a:pt x="3212224" y="1051036"/>
                <a:pt x="3212224" y="1051036"/>
              </a:cubicBezTo>
              <a:lnTo>
                <a:pt x="3212224" y="1051036"/>
              </a:lnTo>
              <a:lnTo>
                <a:pt x="3212224" y="1070743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142875</xdr:colOff>
      <xdr:row>28</xdr:row>
      <xdr:rowOff>114300</xdr:rowOff>
    </xdr:from>
    <xdr:to>
      <xdr:col>50</xdr:col>
      <xdr:colOff>9525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667250" y="4933950"/>
          <a:ext cx="4391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171450</xdr:colOff>
      <xdr:row>28</xdr:row>
      <xdr:rowOff>85725</xdr:rowOff>
    </xdr:from>
    <xdr:to>
      <xdr:col>35</xdr:col>
      <xdr:colOff>66675</xdr:colOff>
      <xdr:row>29</xdr:row>
      <xdr:rowOff>0</xdr:rowOff>
    </xdr:to>
    <xdr:sp>
      <xdr:nvSpPr>
        <xdr:cNvPr id="2" name="Oval 2"/>
        <xdr:cNvSpPr>
          <a:spLocks/>
        </xdr:cNvSpPr>
      </xdr:nvSpPr>
      <xdr:spPr>
        <a:xfrm>
          <a:off x="6324600" y="4905375"/>
          <a:ext cx="76200" cy="76200"/>
        </a:xfrm>
        <a:prstGeom prst="ellipse">
          <a:avLst/>
        </a:prstGeom>
        <a:solidFill>
          <a:srgbClr val="0000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14</xdr:row>
      <xdr:rowOff>66675</xdr:rowOff>
    </xdr:from>
    <xdr:to>
      <xdr:col>16</xdr:col>
      <xdr:colOff>95250</xdr:colOff>
      <xdr:row>38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990850" y="2619375"/>
          <a:ext cx="0" cy="39719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29</xdr:row>
      <xdr:rowOff>0</xdr:rowOff>
    </xdr:from>
    <xdr:to>
      <xdr:col>54</xdr:col>
      <xdr:colOff>171450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42875" y="4981575"/>
          <a:ext cx="98012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123825</xdr:colOff>
      <xdr:row>25</xdr:row>
      <xdr:rowOff>28575</xdr:rowOff>
    </xdr:from>
    <xdr:to>
      <xdr:col>37</xdr:col>
      <xdr:colOff>104775</xdr:colOff>
      <xdr:row>26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5915025" y="4362450"/>
          <a:ext cx="885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Placebo</a:t>
          </a:r>
        </a:p>
      </xdr:txBody>
    </xdr:sp>
    <xdr:clientData/>
  </xdr:twoCellAnchor>
  <xdr:twoCellAnchor>
    <xdr:from>
      <xdr:col>24</xdr:col>
      <xdr:colOff>85725</xdr:colOff>
      <xdr:row>27</xdr:row>
      <xdr:rowOff>19050</xdr:rowOff>
    </xdr:from>
    <xdr:to>
      <xdr:col>27</xdr:col>
      <xdr:colOff>76200</xdr:colOff>
      <xdr:row>28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4429125" y="4676775"/>
          <a:ext cx="533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1,92</a:t>
          </a:r>
        </a:p>
      </xdr:txBody>
    </xdr:sp>
    <xdr:clientData/>
  </xdr:twoCellAnchor>
  <xdr:twoCellAnchor>
    <xdr:from>
      <xdr:col>33</xdr:col>
      <xdr:colOff>104775</xdr:colOff>
      <xdr:row>27</xdr:row>
      <xdr:rowOff>19050</xdr:rowOff>
    </xdr:from>
    <xdr:to>
      <xdr:col>36</xdr:col>
      <xdr:colOff>95250</xdr:colOff>
      <xdr:row>28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6076950" y="4676775"/>
          <a:ext cx="533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2,86</a:t>
          </a:r>
        </a:p>
      </xdr:txBody>
    </xdr:sp>
    <xdr:clientData/>
  </xdr:twoCellAnchor>
  <xdr:twoCellAnchor>
    <xdr:from>
      <xdr:col>48</xdr:col>
      <xdr:colOff>76200</xdr:colOff>
      <xdr:row>27</xdr:row>
      <xdr:rowOff>19050</xdr:rowOff>
    </xdr:from>
    <xdr:to>
      <xdr:col>51</xdr:col>
      <xdr:colOff>66675</xdr:colOff>
      <xdr:row>28</xdr:row>
      <xdr:rowOff>38100</xdr:rowOff>
    </xdr:to>
    <xdr:sp>
      <xdr:nvSpPr>
        <xdr:cNvPr id="8" name="Rectangle 8"/>
        <xdr:cNvSpPr>
          <a:spLocks/>
        </xdr:cNvSpPr>
      </xdr:nvSpPr>
      <xdr:spPr>
        <a:xfrm>
          <a:off x="8763000" y="4676775"/>
          <a:ext cx="533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4,35</a:t>
          </a:r>
        </a:p>
      </xdr:txBody>
    </xdr:sp>
    <xdr:clientData/>
  </xdr:twoCellAnchor>
  <xdr:twoCellAnchor>
    <xdr:from>
      <xdr:col>16</xdr:col>
      <xdr:colOff>66675</xdr:colOff>
      <xdr:row>28</xdr:row>
      <xdr:rowOff>152400</xdr:rowOff>
    </xdr:from>
    <xdr:to>
      <xdr:col>16</xdr:col>
      <xdr:colOff>104775</xdr:colOff>
      <xdr:row>29</xdr:row>
      <xdr:rowOff>19050</xdr:rowOff>
    </xdr:to>
    <xdr:sp>
      <xdr:nvSpPr>
        <xdr:cNvPr id="9" name="Oval 9"/>
        <xdr:cNvSpPr>
          <a:spLocks/>
        </xdr:cNvSpPr>
      </xdr:nvSpPr>
      <xdr:spPr>
        <a:xfrm>
          <a:off x="2962275" y="4972050"/>
          <a:ext cx="38100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38100</xdr:rowOff>
    </xdr:from>
    <xdr:to>
      <xdr:col>18</xdr:col>
      <xdr:colOff>161925</xdr:colOff>
      <xdr:row>33</xdr:row>
      <xdr:rowOff>95250</xdr:rowOff>
    </xdr:to>
    <xdr:sp>
      <xdr:nvSpPr>
        <xdr:cNvPr id="10" name="Rectangle 10"/>
        <xdr:cNvSpPr>
          <a:spLocks/>
        </xdr:cNvSpPr>
      </xdr:nvSpPr>
      <xdr:spPr>
        <a:xfrm>
          <a:off x="2533650" y="5505450"/>
          <a:ext cx="885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Warfarina</a:t>
          </a:r>
        </a:p>
      </xdr:txBody>
    </xdr:sp>
    <xdr:clientData/>
  </xdr:twoCellAnchor>
  <xdr:twoCellAnchor>
    <xdr:from>
      <xdr:col>20</xdr:col>
      <xdr:colOff>85725</xdr:colOff>
      <xdr:row>16</xdr:row>
      <xdr:rowOff>38100</xdr:rowOff>
    </xdr:from>
    <xdr:to>
      <xdr:col>20</xdr:col>
      <xdr:colOff>85725</xdr:colOff>
      <xdr:row>37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3705225" y="2914650"/>
          <a:ext cx="0" cy="3467100"/>
        </a:xfrm>
        <a:prstGeom prst="line">
          <a:avLst/>
        </a:prstGeom>
        <a:noFill/>
        <a:ln w="63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22</xdr:col>
      <xdr:colOff>171450</xdr:colOff>
      <xdr:row>28</xdr:row>
      <xdr:rowOff>57150</xdr:rowOff>
    </xdr:to>
    <xdr:sp>
      <xdr:nvSpPr>
        <xdr:cNvPr id="12" name="Rectangle 12"/>
        <xdr:cNvSpPr>
          <a:spLocks/>
        </xdr:cNvSpPr>
      </xdr:nvSpPr>
      <xdr:spPr>
        <a:xfrm>
          <a:off x="3267075" y="4657725"/>
          <a:ext cx="885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MNI = 1,38</a:t>
          </a:r>
        </a:p>
      </xdr:txBody>
    </xdr:sp>
    <xdr:clientData/>
  </xdr:twoCellAnchor>
  <xdr:twoCellAnchor>
    <xdr:from>
      <xdr:col>15</xdr:col>
      <xdr:colOff>9525</xdr:colOff>
      <xdr:row>30</xdr:row>
      <xdr:rowOff>66675</xdr:rowOff>
    </xdr:from>
    <xdr:to>
      <xdr:col>18</xdr:col>
      <xdr:colOff>0</xdr:colOff>
      <xdr:row>31</xdr:row>
      <xdr:rowOff>114300</xdr:rowOff>
    </xdr:to>
    <xdr:sp>
      <xdr:nvSpPr>
        <xdr:cNvPr id="13" name="Rectangle 13"/>
        <xdr:cNvSpPr>
          <a:spLocks/>
        </xdr:cNvSpPr>
      </xdr:nvSpPr>
      <xdr:spPr>
        <a:xfrm>
          <a:off x="2724150" y="5210175"/>
          <a:ext cx="533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1</a:t>
          </a:r>
        </a:p>
      </xdr:txBody>
    </xdr:sp>
    <xdr:clientData/>
  </xdr:twoCellAnchor>
  <xdr:twoCellAnchor>
    <xdr:from>
      <xdr:col>13</xdr:col>
      <xdr:colOff>152400</xdr:colOff>
      <xdr:row>23</xdr:row>
      <xdr:rowOff>104775</xdr:rowOff>
    </xdr:from>
    <xdr:to>
      <xdr:col>17</xdr:col>
      <xdr:colOff>66675</xdr:colOff>
      <xdr:row>23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2505075" y="4114800"/>
          <a:ext cx="638175" cy="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23</xdr:row>
      <xdr:rowOff>95250</xdr:rowOff>
    </xdr:from>
    <xdr:to>
      <xdr:col>15</xdr:col>
      <xdr:colOff>114300</xdr:colOff>
      <xdr:row>23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2800350" y="4105275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21</xdr:row>
      <xdr:rowOff>95250</xdr:rowOff>
    </xdr:from>
    <xdr:to>
      <xdr:col>18</xdr:col>
      <xdr:colOff>76200</xdr:colOff>
      <xdr:row>22</xdr:row>
      <xdr:rowOff>142875</xdr:rowOff>
    </xdr:to>
    <xdr:sp>
      <xdr:nvSpPr>
        <xdr:cNvPr id="16" name="Rectangle 16"/>
        <xdr:cNvSpPr>
          <a:spLocks/>
        </xdr:cNvSpPr>
      </xdr:nvSpPr>
      <xdr:spPr>
        <a:xfrm>
          <a:off x="2276475" y="3781425"/>
          <a:ext cx="1057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FF6600"/>
              </a:solidFill>
            </a:rPr>
            <a:t>0,90 (0,74-1,10)</a:t>
          </a:r>
        </a:p>
      </xdr:txBody>
    </xdr:sp>
    <xdr:clientData/>
  </xdr:twoCellAnchor>
  <xdr:twoCellAnchor>
    <xdr:from>
      <xdr:col>13</xdr:col>
      <xdr:colOff>28575</xdr:colOff>
      <xdr:row>24</xdr:row>
      <xdr:rowOff>38100</xdr:rowOff>
    </xdr:from>
    <xdr:to>
      <xdr:col>18</xdr:col>
      <xdr:colOff>9525</xdr:colOff>
      <xdr:row>25</xdr:row>
      <xdr:rowOff>95250</xdr:rowOff>
    </xdr:to>
    <xdr:sp>
      <xdr:nvSpPr>
        <xdr:cNvPr id="17" name="Rectangle 17"/>
        <xdr:cNvSpPr>
          <a:spLocks/>
        </xdr:cNvSpPr>
      </xdr:nvSpPr>
      <xdr:spPr>
        <a:xfrm>
          <a:off x="2381250" y="4210050"/>
          <a:ext cx="885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6600"/>
              </a:solidFill>
            </a:rPr>
            <a:t>DAB 220</a:t>
          </a:r>
        </a:p>
      </xdr:txBody>
    </xdr:sp>
    <xdr:clientData/>
  </xdr:twoCellAnchor>
  <xdr:twoCellAnchor>
    <xdr:from>
      <xdr:col>11</xdr:col>
      <xdr:colOff>104775</xdr:colOff>
      <xdr:row>18</xdr:row>
      <xdr:rowOff>47625</xdr:rowOff>
    </xdr:from>
    <xdr:to>
      <xdr:col>14</xdr:col>
      <xdr:colOff>95250</xdr:colOff>
      <xdr:row>18</xdr:row>
      <xdr:rowOff>47625</xdr:rowOff>
    </xdr:to>
    <xdr:sp>
      <xdr:nvSpPr>
        <xdr:cNvPr id="18" name="Line 18"/>
        <xdr:cNvSpPr>
          <a:spLocks/>
        </xdr:cNvSpPr>
      </xdr:nvSpPr>
      <xdr:spPr>
        <a:xfrm>
          <a:off x="2095500" y="3248025"/>
          <a:ext cx="533400" cy="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18</xdr:row>
      <xdr:rowOff>38100</xdr:rowOff>
    </xdr:from>
    <xdr:to>
      <xdr:col>13</xdr:col>
      <xdr:colOff>19050</xdr:colOff>
      <xdr:row>18</xdr:row>
      <xdr:rowOff>66675</xdr:rowOff>
    </xdr:to>
    <xdr:sp>
      <xdr:nvSpPr>
        <xdr:cNvPr id="19" name="Oval 19"/>
        <xdr:cNvSpPr>
          <a:spLocks/>
        </xdr:cNvSpPr>
      </xdr:nvSpPr>
      <xdr:spPr>
        <a:xfrm>
          <a:off x="2343150" y="3238500"/>
          <a:ext cx="28575" cy="28575"/>
        </a:xfrm>
        <a:prstGeom prst="ellipse">
          <a:avLst/>
        </a:prstGeom>
        <a:solidFill>
          <a:srgbClr val="FFFFFF"/>
        </a:solidFill>
        <a:ln w="571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16</xdr:row>
      <xdr:rowOff>47625</xdr:rowOff>
    </xdr:from>
    <xdr:to>
      <xdr:col>15</xdr:col>
      <xdr:colOff>161925</xdr:colOff>
      <xdr:row>17</xdr:row>
      <xdr:rowOff>85725</xdr:rowOff>
    </xdr:to>
    <xdr:sp>
      <xdr:nvSpPr>
        <xdr:cNvPr id="20" name="Rectangle 20"/>
        <xdr:cNvSpPr>
          <a:spLocks/>
        </xdr:cNvSpPr>
      </xdr:nvSpPr>
      <xdr:spPr>
        <a:xfrm>
          <a:off x="1847850" y="2924175"/>
          <a:ext cx="1028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</a:rPr>
            <a:t>0,65 (0,52-0,81)</a:t>
          </a:r>
        </a:p>
      </xdr:txBody>
    </xdr:sp>
    <xdr:clientData/>
  </xdr:twoCellAnchor>
  <xdr:twoCellAnchor>
    <xdr:from>
      <xdr:col>10</xdr:col>
      <xdr:colOff>104775</xdr:colOff>
      <xdr:row>19</xdr:row>
      <xdr:rowOff>19050</xdr:rowOff>
    </xdr:from>
    <xdr:to>
      <xdr:col>15</xdr:col>
      <xdr:colOff>85725</xdr:colOff>
      <xdr:row>20</xdr:row>
      <xdr:rowOff>76200</xdr:rowOff>
    </xdr:to>
    <xdr:sp>
      <xdr:nvSpPr>
        <xdr:cNvPr id="21" name="Rectangle 21"/>
        <xdr:cNvSpPr>
          <a:spLocks/>
        </xdr:cNvSpPr>
      </xdr:nvSpPr>
      <xdr:spPr>
        <a:xfrm>
          <a:off x="1914525" y="3381375"/>
          <a:ext cx="885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DAB 300</a:t>
          </a:r>
        </a:p>
      </xdr:txBody>
    </xdr:sp>
    <xdr:clientData/>
  </xdr:twoCellAnchor>
  <xdr:twoCellAnchor>
    <xdr:from>
      <xdr:col>1</xdr:col>
      <xdr:colOff>57150</xdr:colOff>
      <xdr:row>35</xdr:row>
      <xdr:rowOff>114300</xdr:rowOff>
    </xdr:from>
    <xdr:to>
      <xdr:col>20</xdr:col>
      <xdr:colOff>28575</xdr:colOff>
      <xdr:row>35</xdr:row>
      <xdr:rowOff>114300</xdr:rowOff>
    </xdr:to>
    <xdr:sp>
      <xdr:nvSpPr>
        <xdr:cNvPr id="22" name="Line 22"/>
        <xdr:cNvSpPr>
          <a:spLocks/>
        </xdr:cNvSpPr>
      </xdr:nvSpPr>
      <xdr:spPr>
        <a:xfrm flipH="1">
          <a:off x="238125" y="6067425"/>
          <a:ext cx="3409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36</xdr:row>
      <xdr:rowOff>133350</xdr:rowOff>
    </xdr:from>
    <xdr:to>
      <xdr:col>20</xdr:col>
      <xdr:colOff>38100</xdr:colOff>
      <xdr:row>40</xdr:row>
      <xdr:rowOff>66675</xdr:rowOff>
    </xdr:to>
    <xdr:sp>
      <xdr:nvSpPr>
        <xdr:cNvPr id="23" name="Rectangle 23"/>
        <xdr:cNvSpPr>
          <a:spLocks/>
        </xdr:cNvSpPr>
      </xdr:nvSpPr>
      <xdr:spPr>
        <a:xfrm>
          <a:off x="209550" y="6248400"/>
          <a:ext cx="3448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Todo esto es considerado como NO INFERIOR a warfarina, porque está por debajo del MNI "que se ha dado por bueno".</a:t>
          </a:r>
        </a:p>
      </xdr:txBody>
    </xdr:sp>
    <xdr:clientData/>
  </xdr:twoCellAnchor>
  <xdr:twoCellAnchor>
    <xdr:from>
      <xdr:col>11</xdr:col>
      <xdr:colOff>47625</xdr:colOff>
      <xdr:row>14</xdr:row>
      <xdr:rowOff>104775</xdr:rowOff>
    </xdr:from>
    <xdr:to>
      <xdr:col>14</xdr:col>
      <xdr:colOff>161925</xdr:colOff>
      <xdr:row>18</xdr:row>
      <xdr:rowOff>47625</xdr:rowOff>
    </xdr:to>
    <xdr:sp>
      <xdr:nvSpPr>
        <xdr:cNvPr id="24" name="Forma libre 27"/>
        <xdr:cNvSpPr>
          <a:spLocks/>
        </xdr:cNvSpPr>
      </xdr:nvSpPr>
      <xdr:spPr>
        <a:xfrm>
          <a:off x="2038350" y="2657475"/>
          <a:ext cx="657225" cy="590550"/>
        </a:xfrm>
        <a:custGeom>
          <a:pathLst>
            <a:path h="1088259" w="3323896">
              <a:moveTo>
                <a:pt x="0" y="1051036"/>
              </a:moveTo>
              <a:cubicBezTo>
                <a:pt x="160392" y="1069647"/>
                <a:pt x="320785" y="1088259"/>
                <a:pt x="584638" y="913087"/>
              </a:cubicBezTo>
              <a:cubicBezTo>
                <a:pt x="848491" y="737915"/>
                <a:pt x="1243724" y="1096"/>
                <a:pt x="1583120" y="1"/>
              </a:cubicBezTo>
              <a:cubicBezTo>
                <a:pt x="1922516" y="-1094"/>
                <a:pt x="2347310" y="730251"/>
                <a:pt x="2621017" y="906518"/>
              </a:cubicBezTo>
              <a:cubicBezTo>
                <a:pt x="2894724" y="1082785"/>
                <a:pt x="3225362" y="1057605"/>
                <a:pt x="3225362" y="1057605"/>
              </a:cubicBezTo>
              <a:cubicBezTo>
                <a:pt x="3323896" y="1081691"/>
                <a:pt x="3212224" y="1051036"/>
                <a:pt x="3212224" y="1051036"/>
              </a:cubicBezTo>
              <a:lnTo>
                <a:pt x="3212224" y="1070743"/>
              </a:lnTo>
            </a:path>
          </a:pathLst>
        </a:custGeom>
        <a:noFill/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29</xdr:row>
      <xdr:rowOff>180975</xdr:rowOff>
    </xdr:from>
    <xdr:to>
      <xdr:col>3</xdr:col>
      <xdr:colOff>161925</xdr:colOff>
      <xdr:row>35</xdr:row>
      <xdr:rowOff>38100</xdr:rowOff>
    </xdr:to>
    <xdr:sp>
      <xdr:nvSpPr>
        <xdr:cNvPr id="1" name="Line 9"/>
        <xdr:cNvSpPr>
          <a:spLocks/>
        </xdr:cNvSpPr>
      </xdr:nvSpPr>
      <xdr:spPr>
        <a:xfrm flipH="1" flipV="1">
          <a:off x="2838450" y="2314575"/>
          <a:ext cx="942975" cy="1028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28</xdr:row>
      <xdr:rowOff>123825</xdr:rowOff>
    </xdr:from>
    <xdr:to>
      <xdr:col>1</xdr:col>
      <xdr:colOff>590550</xdr:colOff>
      <xdr:row>37</xdr:row>
      <xdr:rowOff>9525</xdr:rowOff>
    </xdr:to>
    <xdr:sp>
      <xdr:nvSpPr>
        <xdr:cNvPr id="2" name="Line 10"/>
        <xdr:cNvSpPr>
          <a:spLocks/>
        </xdr:cNvSpPr>
      </xdr:nvSpPr>
      <xdr:spPr>
        <a:xfrm flipV="1">
          <a:off x="628650" y="2057400"/>
          <a:ext cx="1943100" cy="1638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25</xdr:row>
      <xdr:rowOff>38100</xdr:rowOff>
    </xdr:from>
    <xdr:to>
      <xdr:col>4</xdr:col>
      <xdr:colOff>104775</xdr:colOff>
      <xdr:row>25</xdr:row>
      <xdr:rowOff>57150</xdr:rowOff>
    </xdr:to>
    <xdr:sp>
      <xdr:nvSpPr>
        <xdr:cNvPr id="3" name="Line 11"/>
        <xdr:cNvSpPr>
          <a:spLocks/>
        </xdr:cNvSpPr>
      </xdr:nvSpPr>
      <xdr:spPr>
        <a:xfrm flipH="1" flipV="1">
          <a:off x="2828925" y="1371600"/>
          <a:ext cx="1657350" cy="1905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26</xdr:row>
      <xdr:rowOff>66675</xdr:rowOff>
    </xdr:from>
    <xdr:to>
      <xdr:col>5</xdr:col>
      <xdr:colOff>0</xdr:colOff>
      <xdr:row>27</xdr:row>
      <xdr:rowOff>123825</xdr:rowOff>
    </xdr:to>
    <xdr:sp>
      <xdr:nvSpPr>
        <xdr:cNvPr id="4" name="Line 12"/>
        <xdr:cNvSpPr>
          <a:spLocks/>
        </xdr:cNvSpPr>
      </xdr:nvSpPr>
      <xdr:spPr>
        <a:xfrm flipH="1" flipV="1">
          <a:off x="2828925" y="1600200"/>
          <a:ext cx="1657350" cy="257175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6"/>
  <sheetViews>
    <sheetView tabSelected="1" zoomScalePageLayoutView="0" workbookViewId="0" topLeftCell="A1">
      <selection activeCell="B93" sqref="B93"/>
    </sheetView>
  </sheetViews>
  <sheetFormatPr defaultColWidth="11.421875" defaultRowHeight="15" customHeight="1"/>
  <cols>
    <col min="1" max="1" width="0.85546875" style="1" customWidth="1"/>
    <col min="2" max="2" width="29.57421875" style="1" customWidth="1"/>
    <col min="3" max="4" width="17.00390625" style="1" customWidth="1"/>
    <col min="5" max="5" width="15.00390625" style="1" customWidth="1"/>
    <col min="6" max="6" width="21.00390625" style="1" customWidth="1"/>
    <col min="7" max="7" width="20.140625" style="1" customWidth="1"/>
    <col min="8" max="8" width="16.421875" style="1" customWidth="1"/>
    <col min="9" max="9" width="12.8515625" style="1" customWidth="1"/>
    <col min="10" max="10" width="13.00390625" style="1" bestFit="1" customWidth="1"/>
    <col min="11" max="11" width="3.421875" style="1" customWidth="1"/>
    <col min="12" max="12" width="16.140625" style="1" customWidth="1"/>
    <col min="13" max="13" width="11.7109375" style="1" bestFit="1" customWidth="1"/>
    <col min="14" max="14" width="14.57421875" style="1" bestFit="1" customWidth="1"/>
    <col min="15" max="15" width="14.140625" style="5" bestFit="1" customWidth="1"/>
    <col min="16" max="16" width="11.421875" style="5" customWidth="1"/>
    <col min="17" max="17" width="13.8515625" style="1" bestFit="1" customWidth="1"/>
    <col min="18" max="18" width="11.421875" style="1" customWidth="1"/>
    <col min="19" max="19" width="13.8515625" style="1" bestFit="1" customWidth="1"/>
    <col min="20" max="20" width="11.421875" style="1" customWidth="1"/>
    <col min="21" max="22" width="11.421875" style="5" customWidth="1"/>
    <col min="23" max="16384" width="11.421875" style="1" customWidth="1"/>
  </cols>
  <sheetData>
    <row r="1" spans="3:8" ht="8.25" customHeight="1" thickBot="1">
      <c r="C1" s="2"/>
      <c r="D1" s="2"/>
      <c r="E1" s="2"/>
      <c r="G1" s="3"/>
      <c r="H1" s="4"/>
    </row>
    <row r="2" spans="2:10" ht="21" customHeight="1" thickBot="1">
      <c r="B2" s="526" t="s">
        <v>382</v>
      </c>
      <c r="C2" s="527"/>
      <c r="D2" s="527"/>
      <c r="E2" s="527"/>
      <c r="F2" s="527"/>
      <c r="G2" s="527"/>
      <c r="H2" s="527"/>
      <c r="I2" s="527"/>
      <c r="J2" s="528"/>
    </row>
    <row r="3" spans="2:30" ht="15" customHeight="1" thickBot="1">
      <c r="B3" s="6"/>
      <c r="C3" s="7"/>
      <c r="D3" s="6"/>
      <c r="E3" s="6"/>
      <c r="F3" s="8"/>
      <c r="G3" s="9"/>
      <c r="H3" s="9"/>
      <c r="I3" s="10"/>
      <c r="J3" s="10"/>
      <c r="K3" s="11"/>
      <c r="L3" s="12"/>
      <c r="M3" s="13"/>
      <c r="N3" s="14"/>
      <c r="P3" s="13"/>
      <c r="Q3" s="13"/>
      <c r="R3" s="5"/>
      <c r="S3" s="5"/>
      <c r="T3" s="15"/>
      <c r="V3" s="15"/>
      <c r="W3" s="15"/>
      <c r="X3" s="5"/>
      <c r="Y3" s="15"/>
      <c r="Z3" s="16"/>
      <c r="AA3" s="5"/>
      <c r="AB3" s="5"/>
      <c r="AC3" s="5"/>
      <c r="AD3" s="5"/>
    </row>
    <row r="4" spans="3:30" ht="15" customHeight="1" thickBot="1">
      <c r="C4" s="17"/>
      <c r="D4" s="18" t="s">
        <v>183</v>
      </c>
      <c r="E4" s="18" t="s">
        <v>184</v>
      </c>
      <c r="F4" s="18" t="s">
        <v>32</v>
      </c>
      <c r="G4" s="9"/>
      <c r="H4" s="19"/>
      <c r="I4" s="6"/>
      <c r="J4" s="6"/>
      <c r="K4" s="6"/>
      <c r="M4" s="20"/>
      <c r="Q4" s="5"/>
      <c r="R4" s="5"/>
      <c r="S4" s="5"/>
      <c r="T4" s="15"/>
      <c r="V4" s="15"/>
      <c r="W4" s="15"/>
      <c r="X4" s="5"/>
      <c r="Y4" s="15"/>
      <c r="Z4" s="5"/>
      <c r="AA4" s="5"/>
      <c r="AB4" s="5"/>
      <c r="AC4" s="5"/>
      <c r="AD4" s="5"/>
    </row>
    <row r="5" spans="3:30" ht="15" customHeight="1" thickBot="1">
      <c r="C5" s="297" t="s">
        <v>287</v>
      </c>
      <c r="D5" s="298">
        <v>109</v>
      </c>
      <c r="E5" s="299">
        <f>F5-D5</f>
        <v>5966</v>
      </c>
      <c r="F5" s="300">
        <v>6075</v>
      </c>
      <c r="G5" s="21"/>
      <c r="H5" s="22"/>
      <c r="I5" s="23"/>
      <c r="J5" s="23"/>
      <c r="K5" s="23"/>
      <c r="M5" s="24"/>
      <c r="N5" s="5"/>
      <c r="Q5" s="5"/>
      <c r="R5" s="5"/>
      <c r="S5" s="5"/>
      <c r="T5" s="15"/>
      <c r="V5" s="15"/>
      <c r="W5" s="15"/>
      <c r="X5" s="5"/>
      <c r="Y5" s="15"/>
      <c r="Z5" s="5"/>
      <c r="AA5" s="5"/>
      <c r="AB5" s="5"/>
      <c r="AC5" s="5"/>
      <c r="AD5" s="5"/>
    </row>
    <row r="6" spans="3:30" ht="15" customHeight="1" thickBot="1">
      <c r="C6" s="297" t="s">
        <v>288</v>
      </c>
      <c r="D6" s="298">
        <v>112</v>
      </c>
      <c r="E6" s="299">
        <f>F6-D6</f>
        <v>5905</v>
      </c>
      <c r="F6" s="300">
        <v>6017</v>
      </c>
      <c r="G6" s="25"/>
      <c r="H6" s="26"/>
      <c r="I6" s="27"/>
      <c r="J6" s="27"/>
      <c r="K6" s="27"/>
      <c r="M6" s="28"/>
      <c r="N6" s="29"/>
      <c r="Q6" s="5"/>
      <c r="R6" s="5"/>
      <c r="S6" s="5"/>
      <c r="T6" s="15"/>
      <c r="V6" s="15"/>
      <c r="W6" s="15"/>
      <c r="X6" s="5"/>
      <c r="Y6" s="15"/>
      <c r="Z6" s="5"/>
      <c r="AA6" s="5"/>
      <c r="AB6" s="5"/>
      <c r="AC6" s="5"/>
      <c r="AD6" s="5"/>
    </row>
    <row r="7" spans="3:30" ht="15" customHeight="1" thickBot="1">
      <c r="C7" s="30" t="s">
        <v>32</v>
      </c>
      <c r="D7" s="301">
        <f>SUM(D5:D6)</f>
        <v>221</v>
      </c>
      <c r="E7" s="301">
        <f>SUM(E5:E6)</f>
        <v>11871</v>
      </c>
      <c r="F7" s="301">
        <f>SUM(F5:F6)</f>
        <v>12092</v>
      </c>
      <c r="H7" s="31"/>
      <c r="I7" s="6"/>
      <c r="J7" s="6"/>
      <c r="K7" s="6"/>
      <c r="M7" s="28"/>
      <c r="P7" s="29"/>
      <c r="Q7" s="32"/>
      <c r="R7" s="32"/>
      <c r="S7" s="32"/>
      <c r="T7" s="15"/>
      <c r="V7" s="15"/>
      <c r="W7" s="15"/>
      <c r="X7" s="5"/>
      <c r="Y7" s="15"/>
      <c r="Z7" s="5"/>
      <c r="AA7" s="5"/>
      <c r="AB7" s="5"/>
      <c r="AC7" s="5"/>
      <c r="AD7" s="5"/>
    </row>
    <row r="8" spans="3:30" ht="15" customHeight="1" hidden="1">
      <c r="C8" s="33"/>
      <c r="D8" s="34"/>
      <c r="E8" s="31"/>
      <c r="F8" s="31"/>
      <c r="H8" s="35"/>
      <c r="I8" s="6"/>
      <c r="J8" s="6"/>
      <c r="K8" s="6"/>
      <c r="M8" s="28"/>
      <c r="P8" s="29"/>
      <c r="Q8" s="32"/>
      <c r="R8" s="32"/>
      <c r="S8" s="32"/>
      <c r="T8" s="15"/>
      <c r="V8" s="15"/>
      <c r="W8" s="15"/>
      <c r="X8" s="5"/>
      <c r="Y8" s="15"/>
      <c r="Z8" s="5"/>
      <c r="AA8" s="5"/>
      <c r="AB8" s="5"/>
      <c r="AC8" s="5"/>
      <c r="AD8" s="5"/>
    </row>
    <row r="9" spans="2:23" s="41" customFormat="1" ht="15" customHeight="1" hidden="1">
      <c r="B9" s="36" t="s">
        <v>9</v>
      </c>
      <c r="C9" s="37"/>
      <c r="D9" s="38"/>
      <c r="E9" s="20"/>
      <c r="F9" s="28"/>
      <c r="G9" s="39"/>
      <c r="H9" s="28"/>
      <c r="I9" s="40"/>
      <c r="J9" s="28"/>
      <c r="M9" s="39"/>
      <c r="P9" s="20"/>
      <c r="Q9" s="42"/>
      <c r="R9" s="42"/>
      <c r="S9" s="42"/>
      <c r="T9" s="20"/>
      <c r="U9" s="20"/>
      <c r="V9" s="20"/>
      <c r="W9" s="20"/>
    </row>
    <row r="10" spans="2:23" s="41" customFormat="1" ht="15" customHeight="1" hidden="1">
      <c r="B10" s="1" t="s">
        <v>19</v>
      </c>
      <c r="C10" s="37"/>
      <c r="D10" s="38"/>
      <c r="E10" s="20"/>
      <c r="F10" s="28"/>
      <c r="G10" s="39"/>
      <c r="H10" s="28"/>
      <c r="I10" s="40"/>
      <c r="J10" s="28"/>
      <c r="K10" s="43"/>
      <c r="P10" s="20"/>
      <c r="Q10" s="44"/>
      <c r="R10" s="44"/>
      <c r="S10" s="44"/>
      <c r="T10" s="20"/>
      <c r="U10" s="20"/>
      <c r="V10" s="20"/>
      <c r="W10" s="20"/>
    </row>
    <row r="11" spans="2:23" s="41" customFormat="1" ht="15" customHeight="1" hidden="1">
      <c r="B11" s="45" t="s">
        <v>35</v>
      </c>
      <c r="C11" s="45" t="s">
        <v>5</v>
      </c>
      <c r="D11" s="46" t="s">
        <v>7</v>
      </c>
      <c r="E11" s="45" t="s">
        <v>28</v>
      </c>
      <c r="F11" s="45" t="s">
        <v>27</v>
      </c>
      <c r="G11" s="46" t="s">
        <v>6</v>
      </c>
      <c r="H11" s="47" t="s">
        <v>0</v>
      </c>
      <c r="I11" s="47" t="s">
        <v>1</v>
      </c>
      <c r="J11" s="28"/>
      <c r="K11" s="48" t="s">
        <v>61</v>
      </c>
      <c r="L11" s="49" t="s">
        <v>0</v>
      </c>
      <c r="M11" s="49" t="s">
        <v>1</v>
      </c>
      <c r="P11" s="20"/>
      <c r="Q11" s="20"/>
      <c r="R11" s="20"/>
      <c r="S11" s="20"/>
      <c r="T11" s="20"/>
      <c r="U11" s="20"/>
      <c r="V11" s="20"/>
      <c r="W11" s="20"/>
    </row>
    <row r="12" spans="2:23" s="41" customFormat="1" ht="15" customHeight="1" hidden="1">
      <c r="B12" s="50">
        <f>LN((D5/F5)/(D6/F6))</f>
        <v>-0.036744182054348366</v>
      </c>
      <c r="C12" s="50">
        <f>SQRT((E5/(D5*F5)+(E6/(D6*F6))))</f>
        <v>0.13331195941494434</v>
      </c>
      <c r="D12" s="51">
        <f>-NORMSINV(2.5/100)</f>
        <v>1.9599639845400538</v>
      </c>
      <c r="E12" s="51">
        <f>B12-(D12*C12)</f>
        <v>-0.29803082121610464</v>
      </c>
      <c r="F12" s="52">
        <f>B12+(D12*C12)</f>
        <v>0.2245424571074079</v>
      </c>
      <c r="G12" s="53">
        <f>(D5/F5)/(D6/F6)</f>
        <v>0.9639226925338036</v>
      </c>
      <c r="H12" s="54">
        <f>EXP(E12)</f>
        <v>0.7422784614703373</v>
      </c>
      <c r="I12" s="55">
        <f>EXP(F12)</f>
        <v>1.251749855897911</v>
      </c>
      <c r="J12" s="28"/>
      <c r="K12" s="56">
        <f>1-G12</f>
        <v>0.03607730746619642</v>
      </c>
      <c r="L12" s="56">
        <f>1-H12</f>
        <v>0.25772153852966273</v>
      </c>
      <c r="M12" s="56">
        <f>1-I12</f>
        <v>-0.251749855897911</v>
      </c>
      <c r="N12" s="57"/>
      <c r="P12" s="20"/>
      <c r="Q12" s="20"/>
      <c r="R12" s="20"/>
      <c r="S12" s="20"/>
      <c r="T12" s="20"/>
      <c r="U12" s="20"/>
      <c r="V12" s="20"/>
      <c r="W12" s="20"/>
    </row>
    <row r="13" spans="3:23" s="41" customFormat="1" ht="15" customHeight="1" hidden="1">
      <c r="C13" s="37"/>
      <c r="D13" s="58" t="s">
        <v>190</v>
      </c>
      <c r="E13" s="59">
        <f>LN(H13)</f>
        <v>0.6348782724359694</v>
      </c>
      <c r="F13" s="60"/>
      <c r="G13" s="61" t="s">
        <v>189</v>
      </c>
      <c r="H13" s="62">
        <f>1/0.53</f>
        <v>1.8867924528301885</v>
      </c>
      <c r="I13" s="63"/>
      <c r="J13" s="28"/>
      <c r="K13" s="39"/>
      <c r="L13" s="39"/>
      <c r="M13" s="39"/>
      <c r="P13" s="20"/>
      <c r="Q13" s="20"/>
      <c r="R13" s="20"/>
      <c r="S13" s="20"/>
      <c r="T13" s="20"/>
      <c r="U13" s="20"/>
      <c r="V13" s="20"/>
      <c r="W13" s="20"/>
    </row>
    <row r="14" spans="3:14" s="5" customFormat="1" ht="15" customHeight="1" hidden="1">
      <c r="C14" s="64"/>
      <c r="D14" s="65" t="s">
        <v>191</v>
      </c>
      <c r="E14" s="66">
        <f>E13/2</f>
        <v>0.3174391362179847</v>
      </c>
      <c r="F14" s="67"/>
      <c r="G14" s="68" t="s">
        <v>192</v>
      </c>
      <c r="H14" s="69">
        <f>EXP(E14)</f>
        <v>1.37360563948689</v>
      </c>
      <c r="I14" s="70" t="s">
        <v>193</v>
      </c>
      <c r="J14" s="71"/>
      <c r="M14" s="72"/>
      <c r="N14" s="72"/>
    </row>
    <row r="15" spans="2:29" ht="15" customHeight="1" hidden="1">
      <c r="B15" s="73" t="s">
        <v>45</v>
      </c>
      <c r="C15" s="74"/>
      <c r="D15" s="75"/>
      <c r="E15" s="76"/>
      <c r="F15" s="71"/>
      <c r="G15" s="71"/>
      <c r="H15" s="71"/>
      <c r="I15" s="77"/>
      <c r="J15" s="71"/>
      <c r="K15" s="5"/>
      <c r="L15" s="78"/>
      <c r="M15" s="20"/>
      <c r="N15" s="79"/>
      <c r="O15" s="79"/>
      <c r="P15" s="20"/>
      <c r="Q15" s="20"/>
      <c r="R15" s="80"/>
      <c r="S15" s="79"/>
      <c r="T15" s="81"/>
      <c r="U15" s="81"/>
      <c r="V15" s="81"/>
      <c r="W15" s="5"/>
      <c r="X15" s="5"/>
      <c r="Y15" s="5"/>
      <c r="Z15" s="5"/>
      <c r="AA15" s="5"/>
      <c r="AB15" s="5"/>
      <c r="AC15" s="5"/>
    </row>
    <row r="16" spans="2:29" ht="15" customHeight="1" hidden="1">
      <c r="B16" s="82" t="s">
        <v>16</v>
      </c>
      <c r="C16" s="83" t="s">
        <v>15</v>
      </c>
      <c r="D16" s="84"/>
      <c r="E16" s="85"/>
      <c r="F16" s="86"/>
      <c r="G16" s="86"/>
      <c r="H16" s="86"/>
      <c r="I16" s="87"/>
      <c r="J16" s="86"/>
      <c r="K16" s="88"/>
      <c r="L16" s="89"/>
      <c r="M16" s="90"/>
      <c r="N16" s="79"/>
      <c r="O16" s="79"/>
      <c r="P16" s="20"/>
      <c r="Q16" s="20"/>
      <c r="R16" s="80"/>
      <c r="S16" s="79"/>
      <c r="T16" s="81"/>
      <c r="U16" s="81"/>
      <c r="V16" s="81"/>
      <c r="W16" s="5"/>
      <c r="X16" s="5" t="s">
        <v>43</v>
      </c>
      <c r="Y16" s="5"/>
      <c r="Z16" s="5"/>
      <c r="AA16" s="5"/>
      <c r="AB16" s="5"/>
      <c r="AC16" s="5"/>
    </row>
    <row r="17" spans="2:31" ht="15" customHeight="1" hidden="1" thickBot="1">
      <c r="B17" s="91" t="s">
        <v>270</v>
      </c>
      <c r="C17" s="92" t="s">
        <v>12</v>
      </c>
      <c r="D17" s="93"/>
      <c r="E17" s="92" t="s">
        <v>271</v>
      </c>
      <c r="F17" s="92"/>
      <c r="G17" s="92" t="s">
        <v>10</v>
      </c>
      <c r="H17" s="92"/>
      <c r="I17" s="92" t="s">
        <v>11</v>
      </c>
      <c r="J17" s="94"/>
      <c r="K17" s="94"/>
      <c r="L17" s="94"/>
      <c r="M17" s="90"/>
      <c r="N17" s="79"/>
      <c r="X17" s="1" t="s">
        <v>44</v>
      </c>
      <c r="Z17" s="95"/>
      <c r="AA17" s="95"/>
      <c r="AB17" s="95"/>
      <c r="AC17" s="95"/>
      <c r="AD17" s="95"/>
      <c r="AE17" s="95"/>
    </row>
    <row r="18" spans="2:31" ht="15" customHeight="1" hidden="1">
      <c r="B18" s="96" t="s">
        <v>4</v>
      </c>
      <c r="C18" s="96" t="s">
        <v>36</v>
      </c>
      <c r="D18" s="97" t="s">
        <v>13</v>
      </c>
      <c r="E18" s="97" t="s">
        <v>12</v>
      </c>
      <c r="F18" s="97" t="s">
        <v>271</v>
      </c>
      <c r="G18" s="97" t="s">
        <v>10</v>
      </c>
      <c r="H18" s="97" t="s">
        <v>11</v>
      </c>
      <c r="I18" s="98" t="s">
        <v>7</v>
      </c>
      <c r="J18" s="99" t="s">
        <v>38</v>
      </c>
      <c r="K18" s="99" t="s">
        <v>0</v>
      </c>
      <c r="L18" s="100" t="s">
        <v>1</v>
      </c>
      <c r="M18" s="541" t="s">
        <v>18</v>
      </c>
      <c r="N18" s="79"/>
      <c r="O18" s="101"/>
      <c r="P18" s="102" t="s">
        <v>20</v>
      </c>
      <c r="Q18" s="103" t="s">
        <v>272</v>
      </c>
      <c r="R18" s="104"/>
      <c r="S18" s="105"/>
      <c r="T18" s="106"/>
      <c r="U18" s="106"/>
      <c r="V18" s="107"/>
      <c r="W18" s="5"/>
      <c r="X18" s="108"/>
      <c r="Y18" s="102" t="s">
        <v>273</v>
      </c>
      <c r="Z18" s="103" t="s">
        <v>40</v>
      </c>
      <c r="AA18" s="109"/>
      <c r="AB18" s="109"/>
      <c r="AC18" s="109"/>
      <c r="AD18" s="109"/>
      <c r="AE18" s="110"/>
    </row>
    <row r="19" spans="2:31" ht="15" customHeight="1" hidden="1">
      <c r="B19" s="111">
        <f>D5</f>
        <v>109</v>
      </c>
      <c r="C19" s="111">
        <f>F5</f>
        <v>6075</v>
      </c>
      <c r="D19" s="112">
        <f>B19/C19</f>
        <v>0.01794238683127572</v>
      </c>
      <c r="E19" s="113">
        <f>2*B19+I19^2</f>
        <v>221.84145882069413</v>
      </c>
      <c r="F19" s="113">
        <f>I19*SQRT((I19^2)+(4*B19*(1-D19)))</f>
        <v>40.73796236663218</v>
      </c>
      <c r="G19" s="114">
        <f>2*(C19+I19^2)</f>
        <v>12157.682917641388</v>
      </c>
      <c r="H19" s="115" t="s">
        <v>14</v>
      </c>
      <c r="I19" s="116">
        <f>-NORMSINV(2.5/100)</f>
        <v>1.9599639845400538</v>
      </c>
      <c r="J19" s="117">
        <f>D19</f>
        <v>0.01794238683127572</v>
      </c>
      <c r="K19" s="118">
        <f>(E19-F19)/G19</f>
        <v>0.014896218110053847</v>
      </c>
      <c r="L19" s="119">
        <f>(E19+F19)/G19</f>
        <v>0.021597817854445835</v>
      </c>
      <c r="M19" s="542"/>
      <c r="N19" s="79"/>
      <c r="O19" s="120">
        <f>C19</f>
        <v>6075</v>
      </c>
      <c r="P19" s="121" t="s">
        <v>21</v>
      </c>
      <c r="Q19" s="20"/>
      <c r="R19" s="80"/>
      <c r="S19" s="79"/>
      <c r="T19" s="81"/>
      <c r="U19" s="81"/>
      <c r="V19" s="122"/>
      <c r="W19" s="5"/>
      <c r="X19" s="123">
        <f>ABS(D19-D20)</f>
        <v>0.0006715403749732417</v>
      </c>
      <c r="Y19" s="121" t="s">
        <v>41</v>
      </c>
      <c r="Z19" s="20"/>
      <c r="AA19" s="121"/>
      <c r="AB19" s="121"/>
      <c r="AC19" s="121"/>
      <c r="AD19" s="121"/>
      <c r="AE19" s="124"/>
    </row>
    <row r="20" spans="2:31" ht="15" customHeight="1" hidden="1">
      <c r="B20" s="111">
        <f>D6</f>
        <v>112</v>
      </c>
      <c r="C20" s="111">
        <f>F6</f>
        <v>6017</v>
      </c>
      <c r="D20" s="112">
        <f>B20/C20</f>
        <v>0.01861392720624896</v>
      </c>
      <c r="E20" s="113">
        <f>2*B20+I20^2</f>
        <v>227.84145882069413</v>
      </c>
      <c r="F20" s="113">
        <f>I20*SQRT((I20^2)+(4*B20*(1-D20)))</f>
        <v>41.275855910294254</v>
      </c>
      <c r="G20" s="114">
        <f>2*(C20+I20^2)</f>
        <v>12041.682917641388</v>
      </c>
      <c r="H20" s="115" t="s">
        <v>14</v>
      </c>
      <c r="I20" s="116">
        <f>-NORMSINV(2.5/100)</f>
        <v>1.9599639845400538</v>
      </c>
      <c r="J20" s="117">
        <f>D20</f>
        <v>0.01861392720624896</v>
      </c>
      <c r="K20" s="118">
        <f>(E20-F20)/G20</f>
        <v>0.015493316356725876</v>
      </c>
      <c r="L20" s="119">
        <f>(E20+F20)/G20</f>
        <v>0.022348812584719723</v>
      </c>
      <c r="M20" s="542"/>
      <c r="O20" s="125">
        <f>J24</f>
        <v>0.0006715403749732417</v>
      </c>
      <c r="P20" s="121" t="s">
        <v>22</v>
      </c>
      <c r="Q20" s="121"/>
      <c r="R20" s="121"/>
      <c r="S20" s="121"/>
      <c r="T20" s="121"/>
      <c r="U20" s="121"/>
      <c r="V20" s="126"/>
      <c r="W20" s="5"/>
      <c r="X20" s="127">
        <f>SQRT((D21*(1-D21)/C19)+(D21*(1-D21)/C20))</f>
        <v>0.0024362820935756183</v>
      </c>
      <c r="Y20" s="128" t="s">
        <v>42</v>
      </c>
      <c r="Z20" s="121"/>
      <c r="AA20" s="121"/>
      <c r="AB20" s="121"/>
      <c r="AC20" s="121"/>
      <c r="AD20" s="121"/>
      <c r="AE20" s="124"/>
    </row>
    <row r="21" spans="2:31" ht="15" customHeight="1" hidden="1">
      <c r="B21" s="129">
        <f>B19+B20</f>
        <v>221</v>
      </c>
      <c r="C21" s="129">
        <f>C19+C20</f>
        <v>12092</v>
      </c>
      <c r="D21" s="130">
        <f>B21/C21</f>
        <v>0.018276546477009593</v>
      </c>
      <c r="E21" s="131"/>
      <c r="F21" s="131"/>
      <c r="G21" s="132"/>
      <c r="H21" s="23"/>
      <c r="I21" s="133"/>
      <c r="J21" s="134"/>
      <c r="K21" s="134"/>
      <c r="L21" s="134"/>
      <c r="M21" s="542"/>
      <c r="O21" s="135">
        <f>(B19+B20)/(C19+C20)</f>
        <v>0.018276546477009593</v>
      </c>
      <c r="P21" s="121" t="s">
        <v>8</v>
      </c>
      <c r="Q21" s="20"/>
      <c r="R21" s="80"/>
      <c r="S21" s="79"/>
      <c r="T21" s="81"/>
      <c r="U21" s="81"/>
      <c r="V21" s="124"/>
      <c r="W21" s="5"/>
      <c r="X21" s="136">
        <f>X19/X20</f>
        <v>0.2756414689185902</v>
      </c>
      <c r="Y21" s="121" t="s">
        <v>60</v>
      </c>
      <c r="Z21" s="20"/>
      <c r="AA21" s="121"/>
      <c r="AB21" s="121"/>
      <c r="AC21" s="121"/>
      <c r="AD21" s="121"/>
      <c r="AE21" s="124"/>
    </row>
    <row r="22" spans="2:31" ht="15" customHeight="1" hidden="1">
      <c r="B22" s="92"/>
      <c r="C22" s="83" t="s">
        <v>17</v>
      </c>
      <c r="D22" s="92"/>
      <c r="E22" s="92"/>
      <c r="F22" s="86"/>
      <c r="G22" s="86"/>
      <c r="H22" s="86"/>
      <c r="I22" s="87"/>
      <c r="J22" s="86"/>
      <c r="K22" s="88"/>
      <c r="L22" s="92"/>
      <c r="M22" s="542"/>
      <c r="O22" s="137">
        <f>SQRT(O19*O20^2/(2*O21*(1-O21)))-I19</f>
        <v>-1.6836590625640542</v>
      </c>
      <c r="P22" s="121" t="s">
        <v>274</v>
      </c>
      <c r="Q22" s="121"/>
      <c r="R22" s="121"/>
      <c r="S22" s="121"/>
      <c r="T22" s="121"/>
      <c r="U22" s="41"/>
      <c r="V22" s="122"/>
      <c r="W22" s="5"/>
      <c r="X22" s="138">
        <f>NORMSDIST(-X21)</f>
        <v>0.39141172772876354</v>
      </c>
      <c r="Y22" s="78" t="s">
        <v>67</v>
      </c>
      <c r="Z22" s="121"/>
      <c r="AA22" s="41"/>
      <c r="AB22" s="41"/>
      <c r="AC22" s="41"/>
      <c r="AD22" s="41"/>
      <c r="AE22" s="126"/>
    </row>
    <row r="23" spans="2:31" ht="15" customHeight="1" hidden="1" thickBot="1">
      <c r="B23" s="92"/>
      <c r="C23" s="83" t="s">
        <v>275</v>
      </c>
      <c r="D23" s="84"/>
      <c r="E23" s="85"/>
      <c r="F23" s="86"/>
      <c r="G23" s="86"/>
      <c r="J23" s="139"/>
      <c r="K23" s="139"/>
      <c r="L23" s="139"/>
      <c r="M23" s="542"/>
      <c r="O23" s="140">
        <f>NORMSDIST(O22)</f>
        <v>0.04612378859508728</v>
      </c>
      <c r="P23" s="78" t="s">
        <v>24</v>
      </c>
      <c r="Q23" s="141"/>
      <c r="R23" s="121"/>
      <c r="S23" s="121"/>
      <c r="T23" s="121"/>
      <c r="U23" s="121"/>
      <c r="V23" s="124"/>
      <c r="W23" s="5"/>
      <c r="X23" s="142">
        <f>1-X22</f>
        <v>0.6085882722712365</v>
      </c>
      <c r="Y23" s="143" t="s">
        <v>39</v>
      </c>
      <c r="Z23" s="141"/>
      <c r="AA23" s="41"/>
      <c r="AB23" s="41"/>
      <c r="AC23" s="41"/>
      <c r="AD23" s="41"/>
      <c r="AE23" s="126"/>
    </row>
    <row r="24" spans="2:31" ht="15" customHeight="1" hidden="1" thickBot="1">
      <c r="B24" s="144" t="s">
        <v>37</v>
      </c>
      <c r="C24" s="145"/>
      <c r="D24" s="84"/>
      <c r="E24" s="92"/>
      <c r="F24" s="146" t="s">
        <v>63</v>
      </c>
      <c r="G24" s="92"/>
      <c r="H24" s="84"/>
      <c r="I24" s="147" t="s">
        <v>33</v>
      </c>
      <c r="J24" s="148">
        <f>D20-D19</f>
        <v>0.0006715403749732417</v>
      </c>
      <c r="K24" s="149">
        <f>J24-SQRT((D19-K19)^2+(L20-D20)^2)</f>
        <v>-0.004148056357997805</v>
      </c>
      <c r="L24" s="150">
        <f>J24+SQRT((D20-K20)^2+(L19-D19)^2)</f>
        <v>0.005477826679316305</v>
      </c>
      <c r="M24" s="542"/>
      <c r="O24" s="151">
        <f>1-O23</f>
        <v>0.9538762114049127</v>
      </c>
      <c r="P24" s="152" t="s">
        <v>23</v>
      </c>
      <c r="Q24" s="153"/>
      <c r="R24" s="154"/>
      <c r="S24" s="153"/>
      <c r="T24" s="153"/>
      <c r="U24" s="153"/>
      <c r="V24" s="155"/>
      <c r="W24" s="5"/>
      <c r="X24" s="156"/>
      <c r="Y24" s="157"/>
      <c r="Z24" s="153"/>
      <c r="AA24" s="157"/>
      <c r="AB24" s="157"/>
      <c r="AC24" s="157"/>
      <c r="AD24" s="157"/>
      <c r="AE24" s="158"/>
    </row>
    <row r="25" spans="6:29" ht="15" customHeight="1" hidden="1" thickBot="1">
      <c r="F25" s="159"/>
      <c r="I25" s="160" t="s">
        <v>34</v>
      </c>
      <c r="J25" s="161">
        <f>1/J24</f>
        <v>1489.1137409866774</v>
      </c>
      <c r="K25" s="162">
        <f>1/K24</f>
        <v>-241.07676311386538</v>
      </c>
      <c r="L25" s="163">
        <f>1/L24</f>
        <v>182.55415122495467</v>
      </c>
      <c r="M25" s="543"/>
      <c r="O25" s="1"/>
      <c r="P25" s="1"/>
      <c r="U25" s="1"/>
      <c r="V25" s="1"/>
      <c r="W25" s="5"/>
      <c r="X25" s="5"/>
      <c r="Y25" s="5"/>
      <c r="Z25" s="5"/>
      <c r="AA25" s="5"/>
      <c r="AB25" s="5"/>
      <c r="AC25" s="5"/>
    </row>
    <row r="26" spans="6:13" s="5" customFormat="1" ht="15" customHeight="1" hidden="1">
      <c r="F26" s="32"/>
      <c r="I26" s="164"/>
      <c r="J26" s="165"/>
      <c r="K26" s="165"/>
      <c r="L26" s="165"/>
      <c r="M26" s="166"/>
    </row>
    <row r="27" s="41" customFormat="1" ht="15" customHeight="1" hidden="1"/>
    <row r="28" spans="2:22" ht="15" customHeight="1" hidden="1">
      <c r="B28" s="167" t="s">
        <v>93</v>
      </c>
      <c r="C28" s="41"/>
      <c r="D28" s="41"/>
      <c r="E28" s="41"/>
      <c r="N28" s="41"/>
      <c r="O28" s="41"/>
      <c r="P28" s="41"/>
      <c r="Q28" s="41"/>
      <c r="R28" s="41"/>
      <c r="U28" s="1"/>
      <c r="V28" s="1"/>
    </row>
    <row r="29" spans="2:18" s="5" customFormat="1" ht="15" customHeight="1" hidden="1">
      <c r="B29" s="1"/>
      <c r="C29" s="168" t="s">
        <v>30</v>
      </c>
      <c r="D29" s="169" t="s">
        <v>31</v>
      </c>
      <c r="E29" s="121"/>
      <c r="F29" s="170"/>
      <c r="G29" s="170"/>
      <c r="H29" s="13"/>
      <c r="I29" s="171"/>
      <c r="J29" s="172"/>
      <c r="K29" s="172"/>
      <c r="L29" s="172"/>
      <c r="N29" s="41"/>
      <c r="O29" s="41"/>
      <c r="P29" s="41"/>
      <c r="Q29" s="41"/>
      <c r="R29" s="41"/>
    </row>
    <row r="30" spans="2:22" ht="15" customHeight="1" hidden="1">
      <c r="B30" s="173" t="s">
        <v>49</v>
      </c>
      <c r="C30" s="174" t="s">
        <v>3</v>
      </c>
      <c r="D30" s="175" t="s">
        <v>2</v>
      </c>
      <c r="E30" s="2" t="s">
        <v>32</v>
      </c>
      <c r="N30" s="41"/>
      <c r="O30" s="41"/>
      <c r="P30" s="41"/>
      <c r="Q30" s="41"/>
      <c r="R30" s="41"/>
      <c r="U30" s="1"/>
      <c r="V30" s="1"/>
    </row>
    <row r="31" spans="2:22" ht="15" customHeight="1" hidden="1">
      <c r="B31" s="176" t="s">
        <v>25</v>
      </c>
      <c r="C31" s="177">
        <f>F5*D7/F7</f>
        <v>111.03001984783327</v>
      </c>
      <c r="D31" s="177">
        <f>F5*E7/F7</f>
        <v>5963.9699801521665</v>
      </c>
      <c r="E31" s="177">
        <f>SUM(C31:D31)</f>
        <v>6075</v>
      </c>
      <c r="G31" s="178"/>
      <c r="H31" s="179" t="s">
        <v>47</v>
      </c>
      <c r="I31" s="180">
        <f>CHIINV(0.05,K32)</f>
        <v>3.8414588206941236</v>
      </c>
      <c r="N31" s="41"/>
      <c r="O31" s="181"/>
      <c r="P31" s="181"/>
      <c r="Q31" s="181"/>
      <c r="R31" s="41"/>
      <c r="U31" s="1"/>
      <c r="V31" s="1"/>
    </row>
    <row r="32" spans="2:22" ht="15" customHeight="1" hidden="1">
      <c r="B32" s="182" t="s">
        <v>26</v>
      </c>
      <c r="C32" s="177">
        <f>D7*F6/F7</f>
        <v>109.96998015216673</v>
      </c>
      <c r="D32" s="177">
        <f>F6*E7/F7</f>
        <v>5907.0300198478335</v>
      </c>
      <c r="E32" s="177">
        <f>SUM(C32:D32)</f>
        <v>6017</v>
      </c>
      <c r="F32" s="5"/>
      <c r="G32" s="183"/>
      <c r="H32" s="183"/>
      <c r="I32" s="184"/>
      <c r="J32" s="185" t="s">
        <v>48</v>
      </c>
      <c r="K32" s="186">
        <f>(COUNT(C31:D31)-1)*(COUNT(C31:C32)-1)</f>
        <v>1</v>
      </c>
      <c r="O32" s="181"/>
      <c r="P32" s="181"/>
      <c r="Q32" s="181"/>
      <c r="R32" s="41"/>
      <c r="U32" s="1"/>
      <c r="V32" s="1"/>
    </row>
    <row r="33" spans="2:22" ht="15" customHeight="1" hidden="1">
      <c r="B33" s="84" t="s">
        <v>46</v>
      </c>
      <c r="C33" s="177">
        <f>SUM(C31:C32)</f>
        <v>221</v>
      </c>
      <c r="D33" s="177">
        <f>SUM(D31:D32)</f>
        <v>11871</v>
      </c>
      <c r="E33" s="187">
        <f>SUM(E31:E32)</f>
        <v>12092</v>
      </c>
      <c r="F33" s="5"/>
      <c r="G33" s="5"/>
      <c r="H33" s="188" t="s">
        <v>50</v>
      </c>
      <c r="I33" s="121" t="s">
        <v>51</v>
      </c>
      <c r="O33" s="181"/>
      <c r="P33" s="189"/>
      <c r="Q33" s="181"/>
      <c r="R33" s="41"/>
      <c r="U33" s="1"/>
      <c r="V33" s="1"/>
    </row>
    <row r="34" spans="2:22" ht="15" customHeight="1" hidden="1">
      <c r="B34" s="84"/>
      <c r="C34" s="190"/>
      <c r="D34" s="190"/>
      <c r="E34" s="191"/>
      <c r="F34" s="5"/>
      <c r="G34" s="5"/>
      <c r="H34" s="188" t="s">
        <v>52</v>
      </c>
      <c r="I34" s="121" t="s">
        <v>53</v>
      </c>
      <c r="O34" s="192"/>
      <c r="P34" s="192"/>
      <c r="Q34" s="192"/>
      <c r="R34" s="41"/>
      <c r="U34" s="1"/>
      <c r="V34" s="1"/>
    </row>
    <row r="35" spans="1:22" ht="31.5" customHeight="1" hidden="1">
      <c r="A35" s="121"/>
      <c r="B35" s="303"/>
      <c r="C35" s="544" t="s">
        <v>59</v>
      </c>
      <c r="D35" s="545"/>
      <c r="G35" s="84"/>
      <c r="H35" s="193"/>
      <c r="I35" s="92"/>
      <c r="K35" s="194"/>
      <c r="L35" s="194"/>
      <c r="M35" s="194"/>
      <c r="O35" s="1"/>
      <c r="P35" s="1"/>
      <c r="U35" s="1"/>
      <c r="V35" s="1"/>
    </row>
    <row r="36" spans="1:22" ht="15" customHeight="1" hidden="1">
      <c r="A36" s="121"/>
      <c r="B36" s="303"/>
      <c r="C36" s="195">
        <f>(D5-C31)^2/C31</f>
        <v>0.03711591322999701</v>
      </c>
      <c r="D36" s="195">
        <f>(E5-D31)^2/D31</f>
        <v>0.0006909794308677599</v>
      </c>
      <c r="F36" s="173"/>
      <c r="G36" s="196"/>
      <c r="J36" s="41"/>
      <c r="K36" s="41"/>
      <c r="L36" s="10"/>
      <c r="O36" s="1"/>
      <c r="P36" s="1"/>
      <c r="U36" s="1"/>
      <c r="V36" s="1"/>
    </row>
    <row r="37" spans="1:22" ht="15" customHeight="1" hidden="1">
      <c r="A37" s="121"/>
      <c r="B37" s="303"/>
      <c r="C37" s="195">
        <f>(D6-C32)^2/C32</f>
        <v>0.03747368669972275</v>
      </c>
      <c r="D37" s="195">
        <f>(E6-D32)^2/D32</f>
        <v>0.0006976400270104106</v>
      </c>
      <c r="E37" s="12"/>
      <c r="F37" s="197" t="s">
        <v>54</v>
      </c>
      <c r="G37" s="198">
        <f>C39-I31</f>
        <v>-3.7654806013065256</v>
      </c>
      <c r="J37" s="41"/>
      <c r="K37" s="41"/>
      <c r="O37" s="1"/>
      <c r="P37" s="1"/>
      <c r="U37" s="1"/>
      <c r="V37" s="1"/>
    </row>
    <row r="38" spans="2:22" ht="15" customHeight="1" hidden="1" thickBot="1">
      <c r="B38" s="121" t="s">
        <v>56</v>
      </c>
      <c r="D38" s="199"/>
      <c r="G38" s="92" t="s">
        <v>57</v>
      </c>
      <c r="J38" s="41"/>
      <c r="K38" s="41"/>
      <c r="O38" s="1"/>
      <c r="P38" s="1"/>
      <c r="U38" s="1"/>
      <c r="V38" s="1"/>
    </row>
    <row r="39" spans="2:22" ht="15" customHeight="1" hidden="1" thickBot="1">
      <c r="B39" s="200" t="s">
        <v>55</v>
      </c>
      <c r="C39" s="201">
        <f>SUM(C36:D37)</f>
        <v>0.07597821938759793</v>
      </c>
      <c r="D39" s="121"/>
      <c r="G39" s="92" t="s">
        <v>58</v>
      </c>
      <c r="I39" s="202"/>
      <c r="J39" s="41"/>
      <c r="K39" s="41"/>
      <c r="L39" s="203"/>
      <c r="O39" s="1"/>
      <c r="P39" s="1"/>
      <c r="U39" s="1"/>
      <c r="V39" s="1"/>
    </row>
    <row r="40" spans="2:22" ht="15" customHeight="1" hidden="1" thickBot="1">
      <c r="B40" s="204" t="s">
        <v>276</v>
      </c>
      <c r="C40" s="205">
        <f>CHIDIST(C39,1)</f>
        <v>0.7828234554575273</v>
      </c>
      <c r="E40" s="121"/>
      <c r="F40" s="121"/>
      <c r="G40" s="121"/>
      <c r="H40" s="206"/>
      <c r="I40" s="121"/>
      <c r="J40" s="41"/>
      <c r="K40" s="41"/>
      <c r="L40" s="121"/>
      <c r="O40" s="1"/>
      <c r="P40" s="1"/>
      <c r="U40" s="1"/>
      <c r="V40" s="1"/>
    </row>
    <row r="41" spans="5:9" s="41" customFormat="1" ht="15" customHeight="1" hidden="1">
      <c r="E41" s="207"/>
      <c r="F41" s="207"/>
      <c r="I41" s="208"/>
    </row>
    <row r="42" spans="10:22" ht="15" customHeight="1" hidden="1">
      <c r="J42" s="41"/>
      <c r="K42" s="41"/>
      <c r="O42" s="1"/>
      <c r="P42" s="1"/>
      <c r="U42" s="1"/>
      <c r="V42" s="1"/>
    </row>
    <row r="43" spans="7:22" ht="15" customHeight="1" hidden="1" thickBot="1">
      <c r="G43" s="209"/>
      <c r="J43" s="41"/>
      <c r="K43" s="41"/>
      <c r="O43" s="1"/>
      <c r="P43" s="1"/>
      <c r="U43" s="1"/>
      <c r="V43" s="1"/>
    </row>
    <row r="44" spans="2:22" ht="15" customHeight="1" hidden="1" thickBot="1">
      <c r="B44" s="210" t="s">
        <v>78</v>
      </c>
      <c r="C44" s="211"/>
      <c r="D44" s="211"/>
      <c r="E44" s="212" t="s">
        <v>80</v>
      </c>
      <c r="F44" s="212" t="s">
        <v>81</v>
      </c>
      <c r="G44" s="212" t="s">
        <v>82</v>
      </c>
      <c r="H44" s="110"/>
      <c r="J44" s="41"/>
      <c r="K44" s="41"/>
      <c r="O44" s="1"/>
      <c r="P44" s="1"/>
      <c r="U44" s="1"/>
      <c r="V44" s="1"/>
    </row>
    <row r="45" spans="2:22" ht="15" customHeight="1" hidden="1">
      <c r="B45" s="213" t="s">
        <v>68</v>
      </c>
      <c r="C45" s="214">
        <f>ROUND(F5,0)</f>
        <v>6075</v>
      </c>
      <c r="D45" s="214">
        <f>ROUND(F6,0)</f>
        <v>6017</v>
      </c>
      <c r="E45" s="215">
        <f>ROUND(G12,2)</f>
        <v>0.96</v>
      </c>
      <c r="F45" s="216">
        <f>ROUND(J24,4)</f>
        <v>0.0007</v>
      </c>
      <c r="G45" s="217">
        <f>ROUND(J25,0)</f>
        <v>1489</v>
      </c>
      <c r="H45" s="124"/>
      <c r="J45" s="41"/>
      <c r="K45" s="41"/>
      <c r="O45" s="1"/>
      <c r="P45" s="1"/>
      <c r="U45" s="1"/>
      <c r="V45" s="1"/>
    </row>
    <row r="46" spans="2:22" ht="15" customHeight="1" hidden="1">
      <c r="B46" s="218" t="s">
        <v>70</v>
      </c>
      <c r="C46" s="214">
        <f>ROUND(D5,0)</f>
        <v>109</v>
      </c>
      <c r="D46" s="214">
        <f>ROUND(D6,0)</f>
        <v>112</v>
      </c>
      <c r="E46" s="215">
        <f>ROUND(H12,2)</f>
        <v>0.74</v>
      </c>
      <c r="F46" s="216">
        <f>ROUND(K24,4)</f>
        <v>-0.0041</v>
      </c>
      <c r="G46" s="217">
        <f>ROUND(L25,0)</f>
        <v>183</v>
      </c>
      <c r="H46" s="124"/>
      <c r="J46" s="41"/>
      <c r="K46" s="41"/>
      <c r="O46" s="1"/>
      <c r="P46" s="1"/>
      <c r="U46" s="1"/>
      <c r="V46" s="1"/>
    </row>
    <row r="47" spans="2:11" s="5" customFormat="1" ht="15" customHeight="1" hidden="1">
      <c r="B47" s="218" t="s">
        <v>69</v>
      </c>
      <c r="C47" s="216">
        <f>ROUND(D19,4)</f>
        <v>0.0179</v>
      </c>
      <c r="D47" s="216">
        <f>ROUND(D20,4)</f>
        <v>0.0186</v>
      </c>
      <c r="E47" s="215">
        <f>ROUND(I12,2)</f>
        <v>1.25</v>
      </c>
      <c r="F47" s="216">
        <f>ROUND(L24,4)</f>
        <v>0.0055</v>
      </c>
      <c r="G47" s="217">
        <f>ROUND(K25,0)</f>
        <v>-241</v>
      </c>
      <c r="H47" s="219">
        <f>ROUND(O23,4)</f>
        <v>0.0461</v>
      </c>
      <c r="J47" s="220"/>
      <c r="K47" s="41"/>
    </row>
    <row r="48" spans="2:11" ht="15" customHeight="1" hidden="1">
      <c r="B48" s="218" t="s">
        <v>71</v>
      </c>
      <c r="C48" s="221" t="s">
        <v>97</v>
      </c>
      <c r="D48" s="221" t="s">
        <v>98</v>
      </c>
      <c r="E48" s="221" t="s">
        <v>6</v>
      </c>
      <c r="F48" s="221" t="s">
        <v>83</v>
      </c>
      <c r="G48" s="222" t="s">
        <v>77</v>
      </c>
      <c r="H48" s="223" t="s">
        <v>84</v>
      </c>
      <c r="J48" s="220"/>
      <c r="K48" s="41"/>
    </row>
    <row r="49" spans="2:22" ht="15" customHeight="1" hidden="1">
      <c r="B49" s="302" t="s">
        <v>29</v>
      </c>
      <c r="C49" s="224" t="str">
        <f>CONCATENATE(C46," ",B45,C47*100,B48,B47)</f>
        <v>109 (1,79%)</v>
      </c>
      <c r="D49" s="224" t="str">
        <f>CONCATENATE(D46," ",B45,D47*100,B48,B47)</f>
        <v>112 (1,86%)</v>
      </c>
      <c r="E49" s="224" t="str">
        <f>CONCATENATE(E45," ",B45,E46,B46,E47,B47)</f>
        <v>0,96 (0,74-1,25)</v>
      </c>
      <c r="F49" s="224" t="str">
        <f>CONCATENATE(F45*100,B48," ",B45,F46*100,B48," ",B49," ",F47*100,B48,B47)</f>
        <v>0,07% (-0,41% a 0,55%)</v>
      </c>
      <c r="G49" s="224" t="str">
        <f>CONCATENATE(G45," ",B45,G46," ",B49," ",G47,B47)</f>
        <v>1489 (183 a -241)</v>
      </c>
      <c r="H49" s="223" t="str">
        <f>CONCATENATE(H47*100,B48)</f>
        <v>4,61%</v>
      </c>
      <c r="J49" s="41"/>
      <c r="K49" s="41"/>
      <c r="O49" s="1"/>
      <c r="P49" s="1"/>
      <c r="U49" s="1"/>
      <c r="V49" s="1"/>
    </row>
    <row r="50" spans="2:22" ht="15" customHeight="1" hidden="1" thickBot="1">
      <c r="B50" s="225" t="s">
        <v>79</v>
      </c>
      <c r="C50" s="226"/>
      <c r="D50" s="226"/>
      <c r="E50" s="226"/>
      <c r="F50" s="226"/>
      <c r="G50" s="226"/>
      <c r="H50" s="227"/>
      <c r="J50" s="41"/>
      <c r="K50" s="41"/>
      <c r="O50" s="1"/>
      <c r="P50" s="1"/>
      <c r="U50" s="1"/>
      <c r="V50" s="1"/>
    </row>
    <row r="51" spans="15:22" ht="15" customHeight="1">
      <c r="O51" s="1"/>
      <c r="P51" s="1"/>
      <c r="U51" s="1"/>
      <c r="V51" s="1"/>
    </row>
    <row r="52" spans="3:22" ht="26.25" customHeight="1">
      <c r="C52" s="228" t="s">
        <v>167</v>
      </c>
      <c r="D52" s="228" t="s">
        <v>168</v>
      </c>
      <c r="E52" s="229" t="s">
        <v>72</v>
      </c>
      <c r="F52" s="229" t="s">
        <v>65</v>
      </c>
      <c r="G52" s="229" t="s">
        <v>66</v>
      </c>
      <c r="H52" s="229" t="s">
        <v>85</v>
      </c>
      <c r="I52" s="507" t="s">
        <v>246</v>
      </c>
      <c r="O52" s="1"/>
      <c r="P52" s="1"/>
      <c r="U52" s="1"/>
      <c r="V52" s="1"/>
    </row>
    <row r="53" spans="3:22" ht="21.75" customHeight="1">
      <c r="C53" s="230" t="str">
        <f aca="true" t="shared" si="0" ref="C53:H53">C49</f>
        <v>109 (1,79%)</v>
      </c>
      <c r="D53" s="230" t="str">
        <f t="shared" si="0"/>
        <v>112 (1,86%)</v>
      </c>
      <c r="E53" s="230" t="str">
        <f t="shared" si="0"/>
        <v>0,96 (0,74-1,25)</v>
      </c>
      <c r="F53" s="230" t="str">
        <f t="shared" si="0"/>
        <v>0,07% (-0,41% a 0,55%)</v>
      </c>
      <c r="G53" s="230" t="str">
        <f t="shared" si="0"/>
        <v>1489 (183 a -241)</v>
      </c>
      <c r="H53" s="230" t="str">
        <f t="shared" si="0"/>
        <v>4,61%</v>
      </c>
      <c r="I53" s="514">
        <f>C40</f>
        <v>0.7828234554575273</v>
      </c>
      <c r="O53" s="1"/>
      <c r="P53" s="1"/>
      <c r="U53" s="1"/>
      <c r="V53" s="1"/>
    </row>
    <row r="54" spans="15:22" ht="15" customHeight="1">
      <c r="O54" s="1"/>
      <c r="P54" s="1"/>
      <c r="U54" s="1"/>
      <c r="V54" s="1"/>
    </row>
    <row r="55" ht="15" customHeight="1" thickBot="1">
      <c r="K55" s="41"/>
    </row>
    <row r="56" spans="2:22" ht="34.5" customHeight="1" thickBot="1">
      <c r="B56" s="531" t="s">
        <v>247</v>
      </c>
      <c r="C56" s="532"/>
      <c r="D56" s="532"/>
      <c r="E56" s="532"/>
      <c r="F56" s="532"/>
      <c r="G56" s="532"/>
      <c r="H56" s="532"/>
      <c r="I56" s="532"/>
      <c r="J56" s="533"/>
      <c r="K56" s="231"/>
      <c r="O56" s="1"/>
      <c r="P56" s="1"/>
      <c r="U56" s="1"/>
      <c r="V56" s="1"/>
    </row>
    <row r="57" spans="2:22" ht="24.75" customHeight="1" thickBot="1">
      <c r="B57" s="534" t="s">
        <v>289</v>
      </c>
      <c r="C57" s="535"/>
      <c r="D57" s="535"/>
      <c r="E57" s="535"/>
      <c r="F57" s="535"/>
      <c r="G57" s="535"/>
      <c r="H57" s="535"/>
      <c r="I57" s="535"/>
      <c r="J57" s="536"/>
      <c r="K57" s="231"/>
      <c r="O57" s="1"/>
      <c r="P57" s="1"/>
      <c r="U57" s="1"/>
      <c r="V57" s="1"/>
    </row>
    <row r="58" spans="2:22" ht="43.5" customHeight="1" thickBot="1">
      <c r="B58" s="529" t="s">
        <v>197</v>
      </c>
      <c r="C58" s="473" t="s">
        <v>277</v>
      </c>
      <c r="D58" s="474" t="s">
        <v>278</v>
      </c>
      <c r="E58" s="472" t="s">
        <v>169</v>
      </c>
      <c r="F58" s="537" t="s">
        <v>302</v>
      </c>
      <c r="G58" s="538"/>
      <c r="H58" s="538"/>
      <c r="I58" s="538"/>
      <c r="J58" s="539"/>
      <c r="K58" s="231"/>
      <c r="O58" s="1"/>
      <c r="P58" s="1"/>
      <c r="U58" s="1"/>
      <c r="V58" s="1"/>
    </row>
    <row r="59" spans="2:12" s="235" customFormat="1" ht="24.75" customHeight="1" thickBot="1">
      <c r="B59" s="530"/>
      <c r="C59" s="470" t="s">
        <v>99</v>
      </c>
      <c r="D59" s="475" t="s">
        <v>100</v>
      </c>
      <c r="E59" s="471" t="s">
        <v>170</v>
      </c>
      <c r="F59" s="232" t="s">
        <v>101</v>
      </c>
      <c r="G59" s="232" t="s">
        <v>102</v>
      </c>
      <c r="H59" s="232" t="s">
        <v>103</v>
      </c>
      <c r="I59" s="233" t="s">
        <v>85</v>
      </c>
      <c r="J59" s="234" t="s">
        <v>279</v>
      </c>
      <c r="L59" s="512" t="s">
        <v>327</v>
      </c>
    </row>
    <row r="60" spans="2:10" ht="15" customHeight="1" thickBot="1">
      <c r="B60" s="236" t="s">
        <v>104</v>
      </c>
      <c r="C60" s="237"/>
      <c r="D60" s="207"/>
      <c r="E60" s="207"/>
      <c r="F60" s="207"/>
      <c r="G60" s="6"/>
      <c r="H60" s="6"/>
      <c r="I60" s="238"/>
      <c r="J60" s="238"/>
    </row>
    <row r="61" spans="2:12" ht="15" customHeight="1" thickBot="1">
      <c r="B61" s="239" t="s">
        <v>105</v>
      </c>
      <c r="C61" s="240" t="s">
        <v>107</v>
      </c>
      <c r="D61" s="240" t="s">
        <v>106</v>
      </c>
      <c r="E61" s="241"/>
      <c r="F61" s="241"/>
      <c r="G61" s="241"/>
      <c r="H61" s="241"/>
      <c r="I61" s="265"/>
      <c r="J61" s="510"/>
      <c r="L61" s="511">
        <v>1.736142830272004E-11</v>
      </c>
    </row>
    <row r="62" spans="2:10" ht="15" customHeight="1" thickBot="1">
      <c r="B62" s="82" t="s">
        <v>248</v>
      </c>
      <c r="C62" s="243"/>
      <c r="D62" s="243"/>
      <c r="E62" s="244"/>
      <c r="F62" s="244"/>
      <c r="G62" s="244"/>
      <c r="H62" s="244"/>
      <c r="I62" s="235"/>
      <c r="J62" s="245"/>
    </row>
    <row r="63" spans="2:10" ht="15" customHeight="1">
      <c r="B63" s="246" t="s">
        <v>108</v>
      </c>
      <c r="C63" s="247" t="s">
        <v>110</v>
      </c>
      <c r="D63" s="247" t="s">
        <v>109</v>
      </c>
      <c r="E63" s="247"/>
      <c r="F63" s="247"/>
      <c r="G63" s="247"/>
      <c r="H63" s="247"/>
      <c r="I63" s="248"/>
      <c r="J63" s="249"/>
    </row>
    <row r="64" spans="2:10" ht="15" customHeight="1" thickBot="1">
      <c r="B64" s="250" t="s">
        <v>111</v>
      </c>
      <c r="C64" s="251" t="s">
        <v>113</v>
      </c>
      <c r="D64" s="251" t="s">
        <v>112</v>
      </c>
      <c r="E64" s="251"/>
      <c r="F64" s="251"/>
      <c r="G64" s="251"/>
      <c r="H64" s="251"/>
      <c r="I64" s="252"/>
      <c r="J64" s="253"/>
    </row>
    <row r="65" spans="2:10" ht="15" customHeight="1" thickBot="1">
      <c r="B65" s="3"/>
      <c r="C65" s="254"/>
      <c r="D65" s="254"/>
      <c r="E65" s="254"/>
      <c r="F65" s="254"/>
      <c r="G65" s="254"/>
      <c r="H65" s="254"/>
      <c r="I65" s="255"/>
      <c r="J65" s="256"/>
    </row>
    <row r="66" spans="2:10" ht="15" customHeight="1">
      <c r="B66" s="246" t="s">
        <v>114</v>
      </c>
      <c r="C66" s="247" t="s">
        <v>116</v>
      </c>
      <c r="D66" s="247" t="s">
        <v>115</v>
      </c>
      <c r="E66" s="247"/>
      <c r="F66" s="247"/>
      <c r="G66" s="257"/>
      <c r="H66" s="257"/>
      <c r="I66" s="248"/>
      <c r="J66" s="249"/>
    </row>
    <row r="67" spans="2:10" ht="15" customHeight="1">
      <c r="B67" s="258" t="s">
        <v>117</v>
      </c>
      <c r="C67" s="259" t="s">
        <v>119</v>
      </c>
      <c r="D67" s="259" t="s">
        <v>118</v>
      </c>
      <c r="E67" s="259"/>
      <c r="F67" s="259"/>
      <c r="G67" s="259"/>
      <c r="H67" s="271"/>
      <c r="I67" s="261"/>
      <c r="J67" s="260"/>
    </row>
    <row r="68" spans="2:10" ht="15" customHeight="1">
      <c r="B68" s="258" t="s">
        <v>120</v>
      </c>
      <c r="C68" s="259" t="s">
        <v>122</v>
      </c>
      <c r="D68" s="259" t="s">
        <v>121</v>
      </c>
      <c r="E68" s="259"/>
      <c r="F68" s="259"/>
      <c r="G68" s="259"/>
      <c r="H68" s="271"/>
      <c r="I68" s="261"/>
      <c r="J68" s="260"/>
    </row>
    <row r="69" spans="2:10" ht="15" customHeight="1">
      <c r="B69" s="258" t="s">
        <v>123</v>
      </c>
      <c r="C69" s="259" t="s">
        <v>125</v>
      </c>
      <c r="D69" s="259" t="s">
        <v>124</v>
      </c>
      <c r="E69" s="259"/>
      <c r="F69" s="259"/>
      <c r="G69" s="259"/>
      <c r="H69" s="271"/>
      <c r="I69" s="261"/>
      <c r="J69" s="260"/>
    </row>
    <row r="70" spans="2:10" ht="15" customHeight="1" thickBot="1">
      <c r="B70" s="250" t="s">
        <v>126</v>
      </c>
      <c r="C70" s="251" t="s">
        <v>128</v>
      </c>
      <c r="D70" s="251" t="s">
        <v>127</v>
      </c>
      <c r="E70" s="251"/>
      <c r="F70" s="251"/>
      <c r="G70" s="262"/>
      <c r="H70" s="274"/>
      <c r="I70" s="252"/>
      <c r="J70" s="253"/>
    </row>
    <row r="71" spans="2:10" ht="15" customHeight="1" thickBot="1">
      <c r="B71" s="263"/>
      <c r="C71" s="254"/>
      <c r="D71" s="264"/>
      <c r="E71" s="3"/>
      <c r="F71" s="3"/>
      <c r="G71" s="576"/>
      <c r="H71" s="576"/>
      <c r="I71" s="255"/>
      <c r="J71" s="256"/>
    </row>
    <row r="72" spans="2:10" ht="15" customHeight="1" thickBot="1">
      <c r="B72" s="239" t="s">
        <v>129</v>
      </c>
      <c r="C72" s="240" t="s">
        <v>131</v>
      </c>
      <c r="D72" s="240" t="s">
        <v>130</v>
      </c>
      <c r="E72" s="240"/>
      <c r="F72" s="240"/>
      <c r="G72" s="241"/>
      <c r="H72" s="241"/>
      <c r="I72" s="265"/>
      <c r="J72" s="242"/>
    </row>
    <row r="73" spans="2:10" ht="15" customHeight="1" thickBot="1">
      <c r="B73" s="3"/>
      <c r="C73" s="254"/>
      <c r="D73" s="264"/>
      <c r="E73" s="3"/>
      <c r="F73" s="3"/>
      <c r="G73" s="576"/>
      <c r="H73" s="576"/>
      <c r="I73" s="255"/>
      <c r="J73" s="256"/>
    </row>
    <row r="74" spans="2:10" ht="15" customHeight="1" thickBot="1">
      <c r="B74" s="239" t="s">
        <v>132</v>
      </c>
      <c r="C74" s="240" t="s">
        <v>134</v>
      </c>
      <c r="D74" s="240" t="s">
        <v>133</v>
      </c>
      <c r="E74" s="240"/>
      <c r="F74" s="240"/>
      <c r="G74" s="241"/>
      <c r="H74" s="241"/>
      <c r="I74" s="265"/>
      <c r="J74" s="242"/>
    </row>
    <row r="75" spans="2:10" ht="15" customHeight="1" thickBot="1">
      <c r="B75" s="3"/>
      <c r="C75" s="254"/>
      <c r="D75" s="254"/>
      <c r="E75" s="254"/>
      <c r="F75" s="254"/>
      <c r="G75" s="254"/>
      <c r="H75" s="254"/>
      <c r="I75" s="255"/>
      <c r="J75" s="256"/>
    </row>
    <row r="76" spans="2:10" ht="15" customHeight="1" thickBot="1">
      <c r="B76" s="239" t="s">
        <v>135</v>
      </c>
      <c r="C76" s="240" t="s">
        <v>137</v>
      </c>
      <c r="D76" s="240" t="s">
        <v>136</v>
      </c>
      <c r="E76" s="240"/>
      <c r="F76" s="240"/>
      <c r="G76" s="240"/>
      <c r="H76" s="240"/>
      <c r="I76" s="265"/>
      <c r="J76" s="242"/>
    </row>
    <row r="77" spans="2:10" ht="15" customHeight="1" thickBot="1">
      <c r="B77" s="266" t="s">
        <v>138</v>
      </c>
      <c r="C77" s="6"/>
      <c r="D77" s="6"/>
      <c r="E77" s="6"/>
      <c r="F77" s="6"/>
      <c r="G77" s="6"/>
      <c r="H77" s="575"/>
      <c r="I77" s="267"/>
      <c r="J77" s="268"/>
    </row>
    <row r="78" spans="2:10" ht="18.75" customHeight="1">
      <c r="B78" s="246" t="s">
        <v>139</v>
      </c>
      <c r="C78" s="247" t="s">
        <v>141</v>
      </c>
      <c r="D78" s="247" t="s">
        <v>140</v>
      </c>
      <c r="E78" s="247"/>
      <c r="F78" s="247"/>
      <c r="G78" s="247"/>
      <c r="H78" s="269"/>
      <c r="I78" s="248"/>
      <c r="J78" s="249"/>
    </row>
    <row r="79" spans="2:10" ht="26.25" customHeight="1">
      <c r="B79" s="270" t="s">
        <v>142</v>
      </c>
      <c r="C79" s="259" t="s">
        <v>144</v>
      </c>
      <c r="D79" s="259" t="s">
        <v>143</v>
      </c>
      <c r="E79" s="259"/>
      <c r="F79" s="259"/>
      <c r="G79" s="259"/>
      <c r="H79" s="271"/>
      <c r="I79" s="261"/>
      <c r="J79" s="260"/>
    </row>
    <row r="80" spans="2:10" ht="15" customHeight="1">
      <c r="B80" s="258" t="s">
        <v>145</v>
      </c>
      <c r="C80" s="259" t="s">
        <v>147</v>
      </c>
      <c r="D80" s="259" t="s">
        <v>146</v>
      </c>
      <c r="E80" s="259"/>
      <c r="F80" s="259"/>
      <c r="G80" s="259"/>
      <c r="H80" s="259"/>
      <c r="I80" s="272"/>
      <c r="J80" s="273"/>
    </row>
    <row r="81" spans="2:10" ht="15" customHeight="1">
      <c r="B81" s="258" t="s">
        <v>148</v>
      </c>
      <c r="C81" s="259" t="s">
        <v>150</v>
      </c>
      <c r="D81" s="259" t="s">
        <v>149</v>
      </c>
      <c r="E81" s="259"/>
      <c r="F81" s="259"/>
      <c r="G81" s="259"/>
      <c r="H81" s="271"/>
      <c r="I81" s="261"/>
      <c r="J81" s="260"/>
    </row>
    <row r="82" spans="2:10" ht="15" customHeight="1">
      <c r="B82" s="258" t="s">
        <v>151</v>
      </c>
      <c r="C82" s="259" t="s">
        <v>153</v>
      </c>
      <c r="D82" s="259" t="s">
        <v>152</v>
      </c>
      <c r="E82" s="259"/>
      <c r="F82" s="259"/>
      <c r="G82" s="259"/>
      <c r="H82" s="271"/>
      <c r="I82" s="261"/>
      <c r="J82" s="260"/>
    </row>
    <row r="83" spans="2:10" ht="15" customHeight="1">
      <c r="B83" s="258" t="s">
        <v>160</v>
      </c>
      <c r="C83" s="259" t="s">
        <v>143</v>
      </c>
      <c r="D83" s="259" t="s">
        <v>161</v>
      </c>
      <c r="E83" s="259"/>
      <c r="F83" s="259"/>
      <c r="G83" s="259"/>
      <c r="H83" s="271"/>
      <c r="I83" s="261"/>
      <c r="J83" s="260"/>
    </row>
    <row r="84" spans="2:10" ht="15" customHeight="1" thickBot="1">
      <c r="B84" s="250" t="s">
        <v>162</v>
      </c>
      <c r="C84" s="251" t="s">
        <v>164</v>
      </c>
      <c r="D84" s="251" t="s">
        <v>163</v>
      </c>
      <c r="E84" s="251"/>
      <c r="F84" s="251"/>
      <c r="G84" s="251"/>
      <c r="H84" s="274"/>
      <c r="I84" s="252"/>
      <c r="J84" s="253"/>
    </row>
    <row r="85" spans="2:10" ht="15" customHeight="1" thickBot="1">
      <c r="B85" s="4"/>
      <c r="C85" s="254"/>
      <c r="D85" s="254"/>
      <c r="E85" s="254"/>
      <c r="F85" s="254"/>
      <c r="G85" s="254"/>
      <c r="H85" s="9"/>
      <c r="I85" s="255"/>
      <c r="J85" s="256"/>
    </row>
    <row r="86" spans="2:10" ht="15" customHeight="1" thickBot="1">
      <c r="B86" s="239" t="s">
        <v>154</v>
      </c>
      <c r="C86" s="240" t="s">
        <v>156</v>
      </c>
      <c r="D86" s="240" t="s">
        <v>155</v>
      </c>
      <c r="E86" s="240"/>
      <c r="F86" s="240"/>
      <c r="G86" s="240"/>
      <c r="H86" s="577"/>
      <c r="I86" s="265"/>
      <c r="J86" s="242"/>
    </row>
    <row r="87" spans="2:10" ht="15" customHeight="1" thickBot="1">
      <c r="B87" s="4"/>
      <c r="C87" s="254"/>
      <c r="D87" s="254"/>
      <c r="E87" s="254"/>
      <c r="F87" s="254"/>
      <c r="G87" s="254"/>
      <c r="H87" s="9"/>
      <c r="I87" s="255"/>
      <c r="J87" s="256"/>
    </row>
    <row r="88" spans="2:10" ht="15" customHeight="1" thickBot="1">
      <c r="B88" s="239" t="s">
        <v>157</v>
      </c>
      <c r="C88" s="240" t="s">
        <v>159</v>
      </c>
      <c r="D88" s="240" t="s">
        <v>158</v>
      </c>
      <c r="E88" s="240"/>
      <c r="F88" s="240"/>
      <c r="G88" s="240"/>
      <c r="H88" s="577"/>
      <c r="I88" s="265"/>
      <c r="J88" s="242"/>
    </row>
    <row r="89" spans="2:10" ht="15" customHeight="1" thickBot="1">
      <c r="B89" s="4"/>
      <c r="C89" s="254"/>
      <c r="D89" s="254"/>
      <c r="E89" s="254"/>
      <c r="F89" s="254"/>
      <c r="G89" s="254"/>
      <c r="H89" s="9"/>
      <c r="I89" s="255"/>
      <c r="J89" s="256"/>
    </row>
    <row r="90" spans="2:10" ht="26.25" customHeight="1" thickBot="1">
      <c r="B90" s="239" t="s">
        <v>267</v>
      </c>
      <c r="C90" s="240" t="s">
        <v>166</v>
      </c>
      <c r="D90" s="240" t="s">
        <v>165</v>
      </c>
      <c r="E90" s="240"/>
      <c r="F90" s="240"/>
      <c r="G90" s="240"/>
      <c r="H90" s="578"/>
      <c r="I90" s="265"/>
      <c r="J90" s="242"/>
    </row>
    <row r="91" ht="15" customHeight="1" thickBot="1"/>
    <row r="92" spans="2:10" ht="15" customHeight="1">
      <c r="B92" s="275" t="s">
        <v>280</v>
      </c>
      <c r="C92" s="276"/>
      <c r="D92" s="276"/>
      <c r="E92" s="276"/>
      <c r="F92" s="276"/>
      <c r="G92" s="276"/>
      <c r="H92" s="276"/>
      <c r="I92" s="276"/>
      <c r="J92" s="277"/>
    </row>
    <row r="93" spans="2:10" ht="15" customHeight="1">
      <c r="B93" s="278" t="s">
        <v>281</v>
      </c>
      <c r="C93" s="128"/>
      <c r="D93" s="128"/>
      <c r="E93" s="128"/>
      <c r="F93" s="128"/>
      <c r="G93" s="128"/>
      <c r="H93" s="128"/>
      <c r="I93" s="128"/>
      <c r="J93" s="279"/>
    </row>
    <row r="94" spans="2:10" ht="15" customHeight="1" thickBot="1">
      <c r="B94" s="280" t="s">
        <v>282</v>
      </c>
      <c r="C94" s="281"/>
      <c r="D94" s="281"/>
      <c r="E94" s="281"/>
      <c r="F94" s="281"/>
      <c r="G94" s="281"/>
      <c r="H94" s="281"/>
      <c r="I94" s="281"/>
      <c r="J94" s="282"/>
    </row>
    <row r="95" spans="2:11" ht="15" customHeight="1" thickBot="1"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2:11" ht="28.5" customHeight="1">
      <c r="B96" s="553" t="s">
        <v>171</v>
      </c>
      <c r="C96" s="554"/>
      <c r="D96" s="554"/>
      <c r="E96" s="555"/>
      <c r="F96" s="41"/>
      <c r="G96" s="41"/>
      <c r="H96" s="41"/>
      <c r="I96" s="41"/>
      <c r="J96" s="41"/>
      <c r="K96" s="41"/>
    </row>
    <row r="97" spans="2:11" ht="42" customHeight="1" thickBot="1">
      <c r="B97" s="550" t="s">
        <v>180</v>
      </c>
      <c r="C97" s="551"/>
      <c r="D97" s="551"/>
      <c r="E97" s="552"/>
      <c r="F97" s="283"/>
      <c r="G97" s="283"/>
      <c r="H97" s="283"/>
      <c r="I97" s="283"/>
      <c r="J97" s="283"/>
      <c r="K97" s="283"/>
    </row>
    <row r="98" spans="2:11" ht="15" customHeight="1">
      <c r="B98" s="546" t="s">
        <v>197</v>
      </c>
      <c r="C98" s="284" t="s">
        <v>199</v>
      </c>
      <c r="D98" s="285" t="s">
        <v>198</v>
      </c>
      <c r="E98" s="548" t="s">
        <v>381</v>
      </c>
      <c r="F98" s="286"/>
      <c r="G98" s="287"/>
      <c r="H98" s="287"/>
      <c r="I98" s="287"/>
      <c r="J98" s="288"/>
      <c r="K98" s="289"/>
    </row>
    <row r="99" spans="2:11" ht="15" customHeight="1" thickBot="1">
      <c r="B99" s="547"/>
      <c r="C99" s="290" t="s">
        <v>99</v>
      </c>
      <c r="D99" s="291" t="s">
        <v>100</v>
      </c>
      <c r="E99" s="549"/>
      <c r="F99" s="207"/>
      <c r="G99" s="207"/>
      <c r="H99" s="207"/>
      <c r="I99" s="207"/>
      <c r="J99" s="288"/>
      <c r="K99" s="289"/>
    </row>
    <row r="100" spans="2:11" ht="15" customHeight="1">
      <c r="B100" s="292" t="s">
        <v>172</v>
      </c>
      <c r="C100" s="292"/>
      <c r="D100" s="292"/>
      <c r="F100" s="41"/>
      <c r="G100" s="41"/>
      <c r="H100" s="41"/>
      <c r="I100" s="41"/>
      <c r="J100" s="41"/>
      <c r="K100" s="41"/>
    </row>
    <row r="101" spans="2:11" ht="15" customHeight="1">
      <c r="B101" s="293" t="s">
        <v>173</v>
      </c>
      <c r="C101" s="294" t="s">
        <v>181</v>
      </c>
      <c r="D101" s="294" t="s">
        <v>182</v>
      </c>
      <c r="E101" s="579">
        <v>0.2997268278336667</v>
      </c>
      <c r="F101" s="41"/>
      <c r="G101" s="41"/>
      <c r="H101" s="41"/>
      <c r="I101" s="41"/>
      <c r="J101" s="41"/>
      <c r="K101" s="41"/>
    </row>
    <row r="102" spans="2:22" s="121" customFormat="1" ht="15.75" customHeight="1">
      <c r="B102" s="540" t="s">
        <v>176</v>
      </c>
      <c r="C102" s="540"/>
      <c r="D102" s="540"/>
      <c r="E102" s="579"/>
      <c r="F102" s="41"/>
      <c r="G102" s="41"/>
      <c r="H102" s="41"/>
      <c r="I102" s="41"/>
      <c r="J102" s="41"/>
      <c r="K102" s="41"/>
      <c r="O102" s="41"/>
      <c r="P102" s="41"/>
      <c r="U102" s="41"/>
      <c r="V102" s="41"/>
    </row>
    <row r="103" spans="2:11" ht="15" customHeight="1">
      <c r="B103" s="293" t="s">
        <v>173</v>
      </c>
      <c r="C103" s="259" t="s">
        <v>174</v>
      </c>
      <c r="D103" s="259" t="s">
        <v>175</v>
      </c>
      <c r="E103" s="579">
        <v>0.16093147385645087</v>
      </c>
      <c r="F103" s="41"/>
      <c r="G103" s="41"/>
      <c r="H103" s="41"/>
      <c r="I103" s="41"/>
      <c r="J103" s="41"/>
      <c r="K103" s="41"/>
    </row>
    <row r="104" spans="2:11" ht="15" customHeight="1">
      <c r="B104" s="292" t="s">
        <v>177</v>
      </c>
      <c r="C104" s="295"/>
      <c r="D104" s="295"/>
      <c r="E104" s="579"/>
      <c r="F104" s="41"/>
      <c r="G104" s="41"/>
      <c r="H104" s="41"/>
      <c r="I104" s="41"/>
      <c r="J104" s="41"/>
      <c r="K104" s="41"/>
    </row>
    <row r="105" spans="2:11" ht="15" customHeight="1">
      <c r="B105" s="296" t="s">
        <v>178</v>
      </c>
      <c r="C105" s="294" t="s">
        <v>283</v>
      </c>
      <c r="D105" s="294" t="s">
        <v>284</v>
      </c>
      <c r="E105" s="579">
        <v>0.9337406048290663</v>
      </c>
      <c r="F105" s="41"/>
      <c r="G105" s="41"/>
      <c r="H105" s="41"/>
      <c r="I105" s="41"/>
      <c r="J105" s="41"/>
      <c r="K105" s="41"/>
    </row>
    <row r="106" spans="2:5" ht="15" customHeight="1">
      <c r="B106" s="296" t="s">
        <v>179</v>
      </c>
      <c r="C106" s="294" t="s">
        <v>285</v>
      </c>
      <c r="D106" s="294" t="s">
        <v>286</v>
      </c>
      <c r="E106" s="579">
        <v>0.7828234554575273</v>
      </c>
    </row>
  </sheetData>
  <sheetProtection/>
  <mergeCells count="12">
    <mergeCell ref="M18:M25"/>
    <mergeCell ref="C35:D35"/>
    <mergeCell ref="B98:B99"/>
    <mergeCell ref="E98:E99"/>
    <mergeCell ref="B97:E97"/>
    <mergeCell ref="B96:E96"/>
    <mergeCell ref="B2:J2"/>
    <mergeCell ref="B58:B59"/>
    <mergeCell ref="B56:J56"/>
    <mergeCell ref="B57:J57"/>
    <mergeCell ref="F58:J58"/>
    <mergeCell ref="B102:D102"/>
  </mergeCells>
  <printOptions/>
  <pageMargins left="0.17" right="0.14" top="0.21" bottom="0.29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36"/>
  <sheetViews>
    <sheetView zoomScale="110" zoomScaleNormal="110" zoomScalePageLayoutView="0" workbookViewId="0" topLeftCell="A1">
      <selection activeCell="F40" sqref="F40"/>
    </sheetView>
  </sheetViews>
  <sheetFormatPr defaultColWidth="11.421875" defaultRowHeight="12.75"/>
  <cols>
    <col min="1" max="1" width="14.57421875" style="1" customWidth="1"/>
    <col min="2" max="2" width="18.28125" style="1" customWidth="1"/>
    <col min="3" max="3" width="14.28125" style="1" customWidth="1"/>
    <col min="4" max="4" width="15.00390625" style="1" customWidth="1"/>
    <col min="5" max="5" width="19.421875" style="1" customWidth="1"/>
    <col min="6" max="6" width="18.28125" style="1" customWidth="1"/>
    <col min="7" max="7" width="13.8515625" style="1" customWidth="1"/>
    <col min="8" max="8" width="11.7109375" style="1" bestFit="1" customWidth="1"/>
    <col min="9" max="9" width="14.57421875" style="1" bestFit="1" customWidth="1"/>
    <col min="10" max="10" width="14.140625" style="5" bestFit="1" customWidth="1"/>
    <col min="11" max="11" width="11.421875" style="5" customWidth="1"/>
    <col min="12" max="12" width="13.8515625" style="1" bestFit="1" customWidth="1"/>
    <col min="13" max="13" width="11.421875" style="1" customWidth="1"/>
    <col min="14" max="14" width="13.8515625" style="1" bestFit="1" customWidth="1"/>
    <col min="15" max="15" width="11.421875" style="1" customWidth="1"/>
    <col min="16" max="17" width="11.421875" style="5" customWidth="1"/>
    <col min="18" max="16384" width="11.421875" style="1" customWidth="1"/>
  </cols>
  <sheetData>
    <row r="1" ht="13.5" thickBot="1"/>
    <row r="2" spans="1:7" ht="15" customHeight="1" thickBot="1">
      <c r="A2" s="559" t="s">
        <v>263</v>
      </c>
      <c r="B2" s="560"/>
      <c r="C2" s="560"/>
      <c r="D2" s="560"/>
      <c r="E2" s="560"/>
      <c r="F2" s="560"/>
      <c r="G2" s="561"/>
    </row>
    <row r="3" spans="1:7" ht="12.75">
      <c r="A3" s="562" t="s">
        <v>290</v>
      </c>
      <c r="B3" s="562"/>
      <c r="C3" s="562"/>
      <c r="D3" s="562"/>
      <c r="E3" s="562"/>
      <c r="F3" s="562"/>
      <c r="G3" s="562"/>
    </row>
    <row r="4" spans="2:11" s="5" customFormat="1" ht="13.5" thickBot="1">
      <c r="B4" s="1"/>
      <c r="C4" s="1"/>
      <c r="D4" s="1"/>
      <c r="E4" s="1"/>
      <c r="F4" s="1"/>
      <c r="G4" s="1"/>
      <c r="H4" s="72"/>
      <c r="I4" s="72"/>
      <c r="J4" s="311" t="s">
        <v>200</v>
      </c>
      <c r="K4" s="41"/>
    </row>
    <row r="5" spans="2:24" ht="15" thickBot="1">
      <c r="B5" s="304" t="s">
        <v>264</v>
      </c>
      <c r="C5" s="305">
        <v>0.033543673198273</v>
      </c>
      <c r="D5" s="306" t="s">
        <v>291</v>
      </c>
      <c r="E5" s="307" t="s">
        <v>265</v>
      </c>
      <c r="F5" s="308">
        <f>1-C5</f>
        <v>0.966456326801727</v>
      </c>
      <c r="H5" s="309"/>
      <c r="I5" s="310"/>
      <c r="J5" s="311" t="s">
        <v>201</v>
      </c>
      <c r="K5" s="20"/>
      <c r="L5" s="20"/>
      <c r="M5" s="80"/>
      <c r="N5" s="79"/>
      <c r="O5" s="81"/>
      <c r="P5" s="81"/>
      <c r="Q5" s="81"/>
      <c r="R5" s="5"/>
      <c r="S5" s="5"/>
      <c r="T5" s="5"/>
      <c r="U5" s="5"/>
      <c r="V5" s="5"/>
      <c r="W5" s="5"/>
      <c r="X5" s="5"/>
    </row>
    <row r="6" spans="8:26" ht="13.5" thickBot="1">
      <c r="H6" s="90"/>
      <c r="I6" s="79"/>
      <c r="J6" s="311" t="s">
        <v>201</v>
      </c>
      <c r="K6" s="43"/>
      <c r="U6" s="95"/>
      <c r="V6" s="95"/>
      <c r="W6" s="95"/>
      <c r="X6" s="95"/>
      <c r="Y6" s="95"/>
      <c r="Z6" s="95"/>
    </row>
    <row r="7" spans="4:34" ht="21" customHeight="1" thickBot="1">
      <c r="D7" s="556" t="s">
        <v>75</v>
      </c>
      <c r="E7" s="557"/>
      <c r="F7" s="558"/>
      <c r="H7" s="312"/>
      <c r="I7" s="79"/>
      <c r="J7" s="317" t="s">
        <v>202</v>
      </c>
      <c r="K7" s="313"/>
      <c r="L7" s="128"/>
      <c r="M7" s="80"/>
      <c r="N7" s="79"/>
      <c r="O7" s="81"/>
      <c r="P7" s="81"/>
      <c r="Q7" s="81"/>
      <c r="R7" s="41"/>
      <c r="S7" s="41"/>
      <c r="T7" s="313"/>
      <c r="U7" s="128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4:34" ht="12.75" customHeight="1" thickBot="1">
      <c r="D8" s="314" t="s">
        <v>94</v>
      </c>
      <c r="E8" s="315" t="s">
        <v>261</v>
      </c>
      <c r="F8" s="314" t="s">
        <v>262</v>
      </c>
      <c r="H8" s="316"/>
      <c r="I8" s="79"/>
      <c r="J8" s="317" t="s">
        <v>203</v>
      </c>
      <c r="K8" s="41"/>
      <c r="L8" s="20"/>
      <c r="M8" s="80"/>
      <c r="N8" s="79"/>
      <c r="O8" s="81"/>
      <c r="P8" s="81"/>
      <c r="Q8" s="81"/>
      <c r="R8" s="41"/>
      <c r="S8" s="318"/>
      <c r="T8" s="41"/>
      <c r="U8" s="20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4:34" ht="16.5" thickBot="1">
      <c r="D9" s="319">
        <v>0.66</v>
      </c>
      <c r="E9" s="320">
        <v>0.56</v>
      </c>
      <c r="F9" s="321">
        <v>0.82</v>
      </c>
      <c r="H9" s="322"/>
      <c r="I9" s="41"/>
      <c r="J9" s="317" t="s">
        <v>266</v>
      </c>
      <c r="K9" s="41"/>
      <c r="L9" s="41"/>
      <c r="M9" s="41"/>
      <c r="N9" s="41"/>
      <c r="O9" s="41"/>
      <c r="P9" s="41"/>
      <c r="Q9" s="41"/>
      <c r="R9" s="41"/>
      <c r="S9" s="323"/>
      <c r="T9" s="128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2:34" ht="16.5" hidden="1" thickBot="1">
      <c r="B10" s="324" t="s">
        <v>292</v>
      </c>
      <c r="C10" s="325" t="s">
        <v>293</v>
      </c>
      <c r="D10" s="326">
        <f>F5^D9</f>
        <v>0.9777330012383563</v>
      </c>
      <c r="E10" s="327">
        <f>F5^E9</f>
        <v>0.9810746423812228</v>
      </c>
      <c r="F10" s="328">
        <f>F5^F9</f>
        <v>0.9724100337814786</v>
      </c>
      <c r="H10" s="312"/>
      <c r="I10" s="41"/>
      <c r="K10" s="41"/>
      <c r="L10" s="20"/>
      <c r="M10" s="80"/>
      <c r="N10" s="79"/>
      <c r="O10" s="81"/>
      <c r="P10" s="81"/>
      <c r="Q10" s="41"/>
      <c r="R10" s="41"/>
      <c r="S10" s="329"/>
      <c r="T10" s="41"/>
      <c r="U10" s="20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2:34" ht="12.75" hidden="1">
      <c r="B11" s="330"/>
      <c r="C11" s="331" t="s">
        <v>76</v>
      </c>
      <c r="D11" s="332">
        <f>1-D10</f>
        <v>0.02226699876164373</v>
      </c>
      <c r="E11" s="332">
        <f>1-E10</f>
        <v>0.018925357618777228</v>
      </c>
      <c r="F11" s="332">
        <f>1-F10</f>
        <v>0.02758996621852139</v>
      </c>
      <c r="H11" s="312"/>
      <c r="I11" s="41"/>
      <c r="J11" s="39"/>
      <c r="K11" s="41"/>
      <c r="L11" s="41"/>
      <c r="M11" s="41"/>
      <c r="N11" s="41"/>
      <c r="O11" s="41"/>
      <c r="P11" s="41"/>
      <c r="Q11" s="81"/>
      <c r="R11" s="41"/>
      <c r="S11" s="318"/>
      <c r="T11" s="78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3:34" ht="13.5" hidden="1" thickBot="1">
      <c r="C12" s="84"/>
      <c r="H12" s="165"/>
      <c r="I12" s="41"/>
      <c r="J12" s="333"/>
      <c r="K12" s="78"/>
      <c r="L12" s="334"/>
      <c r="M12" s="41"/>
      <c r="N12" s="41"/>
      <c r="O12" s="41"/>
      <c r="P12" s="41"/>
      <c r="Q12" s="41"/>
      <c r="R12" s="41"/>
      <c r="S12" s="335"/>
      <c r="T12" s="336"/>
      <c r="U12" s="334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2:34" ht="15" hidden="1" thickBot="1">
      <c r="B13" s="337"/>
      <c r="C13" s="338" t="s">
        <v>294</v>
      </c>
      <c r="D13" s="147" t="s">
        <v>33</v>
      </c>
      <c r="E13" s="339">
        <f>D10-F5</f>
        <v>0.011276674436629275</v>
      </c>
      <c r="F13" s="340">
        <f>F10-F5</f>
        <v>0.005953706979751616</v>
      </c>
      <c r="G13" s="341">
        <f>E10-F5</f>
        <v>0.014618315579495778</v>
      </c>
      <c r="H13" s="312"/>
      <c r="I13" s="41"/>
      <c r="J13" s="335"/>
      <c r="K13" s="336"/>
      <c r="L13" s="41"/>
      <c r="M13" s="3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2:24" ht="13.5" hidden="1" thickBot="1">
      <c r="B14" s="343"/>
      <c r="C14" s="344" t="s">
        <v>62</v>
      </c>
      <c r="D14" s="345" t="s">
        <v>34</v>
      </c>
      <c r="E14" s="346">
        <f>1/E13</f>
        <v>88.67862645318253</v>
      </c>
      <c r="F14" s="347">
        <f>1/G13</f>
        <v>68.40733424873103</v>
      </c>
      <c r="G14" s="348">
        <f>1/F13</f>
        <v>167.96258253907538</v>
      </c>
      <c r="J14" s="1"/>
      <c r="K14" s="1"/>
      <c r="P14" s="1"/>
      <c r="Q14" s="1"/>
      <c r="R14" s="5"/>
      <c r="S14" s="5"/>
      <c r="T14" s="5"/>
      <c r="U14" s="5"/>
      <c r="V14" s="5"/>
      <c r="W14" s="5"/>
      <c r="X14" s="5"/>
    </row>
    <row r="15" spans="2:7" s="5" customFormat="1" ht="12.75" customHeight="1" hidden="1">
      <c r="B15" s="41"/>
      <c r="C15" s="38"/>
      <c r="D15" s="164"/>
      <c r="E15" s="165"/>
      <c r="F15" s="165"/>
      <c r="G15" s="165"/>
    </row>
    <row r="16" spans="5:17" ht="25.5" customHeight="1" hidden="1">
      <c r="E16" s="349" t="s">
        <v>94</v>
      </c>
      <c r="F16" s="350" t="s">
        <v>0</v>
      </c>
      <c r="G16" s="350" t="s">
        <v>1</v>
      </c>
      <c r="J16" s="1"/>
      <c r="K16" s="1"/>
      <c r="P16" s="1"/>
      <c r="Q16" s="1"/>
    </row>
    <row r="17" spans="1:17" ht="16.5" customHeight="1" hidden="1">
      <c r="A17" s="351"/>
      <c r="B17" s="351"/>
      <c r="C17" s="352" t="s">
        <v>91</v>
      </c>
      <c r="D17" s="353" t="s">
        <v>95</v>
      </c>
      <c r="E17" s="354">
        <f>E14</f>
        <v>88.67862645318253</v>
      </c>
      <c r="F17" s="354">
        <f>F14</f>
        <v>68.40733424873103</v>
      </c>
      <c r="G17" s="354">
        <f>G14</f>
        <v>167.96258253907538</v>
      </c>
      <c r="J17" s="1"/>
      <c r="K17" s="1"/>
      <c r="P17" s="1"/>
      <c r="Q17" s="1"/>
    </row>
    <row r="18" spans="1:9" s="41" customFormat="1" ht="12.75" customHeight="1" hidden="1">
      <c r="A18" s="355"/>
      <c r="B18" s="355"/>
      <c r="C18" s="355"/>
      <c r="D18" s="356" t="s">
        <v>87</v>
      </c>
      <c r="E18" s="357">
        <f>(1-C5)*E14</f>
        <v>85.70401958776525</v>
      </c>
      <c r="F18" s="357">
        <f>(1-C5)*F14</f>
        <v>66.11270098432657</v>
      </c>
      <c r="G18" s="357">
        <f>(1-C5)*G14</f>
        <v>162.3285005608467</v>
      </c>
      <c r="I18" s="358"/>
    </row>
    <row r="19" spans="1:7" s="41" customFormat="1" ht="12.75" customHeight="1" hidden="1">
      <c r="A19" s="359"/>
      <c r="B19" s="359"/>
      <c r="C19" s="359"/>
      <c r="D19" s="360" t="s">
        <v>90</v>
      </c>
      <c r="E19" s="361">
        <f>E14*E13</f>
        <v>1</v>
      </c>
      <c r="F19" s="361">
        <f>F14*G13</f>
        <v>0.9999999999999999</v>
      </c>
      <c r="G19" s="361">
        <f>G14*F13</f>
        <v>1</v>
      </c>
    </row>
    <row r="20" spans="1:7" s="41" customFormat="1" ht="12.75" customHeight="1" hidden="1">
      <c r="A20" s="362"/>
      <c r="B20" s="363"/>
      <c r="C20" s="363"/>
      <c r="D20" s="364" t="s">
        <v>86</v>
      </c>
      <c r="E20" s="365">
        <f>(C5-E13)*E14</f>
        <v>1.9746068654172817</v>
      </c>
      <c r="F20" s="366">
        <f>(C5-G13)*F14</f>
        <v>1.2946332644044618</v>
      </c>
      <c r="G20" s="366">
        <f>(C5-F13)*G14</f>
        <v>4.634081978228699</v>
      </c>
    </row>
    <row r="21" spans="4:7" s="41" customFormat="1" ht="12.75" customHeight="1" hidden="1">
      <c r="D21" s="171"/>
      <c r="E21" s="165"/>
      <c r="F21" s="165"/>
      <c r="G21" s="165"/>
    </row>
    <row r="22" spans="2:12" s="41" customFormat="1" ht="25.5" customHeight="1" hidden="1">
      <c r="B22" s="170"/>
      <c r="C22" s="170"/>
      <c r="D22" s="170"/>
      <c r="E22" s="349" t="s">
        <v>94</v>
      </c>
      <c r="F22" s="350" t="s">
        <v>0</v>
      </c>
      <c r="G22" s="350" t="s">
        <v>1</v>
      </c>
      <c r="J22" s="181"/>
      <c r="K22" s="181"/>
      <c r="L22" s="192"/>
    </row>
    <row r="23" spans="1:12" s="41" customFormat="1" ht="15.75" customHeight="1" hidden="1">
      <c r="A23" s="367"/>
      <c r="B23" s="351"/>
      <c r="C23" s="352" t="s">
        <v>92</v>
      </c>
      <c r="D23" s="353" t="s">
        <v>96</v>
      </c>
      <c r="E23" s="354">
        <f>E14</f>
        <v>88.67862645318253</v>
      </c>
      <c r="F23" s="354">
        <f>F14</f>
        <v>68.40733424873103</v>
      </c>
      <c r="G23" s="354">
        <f>G14</f>
        <v>167.96258253907538</v>
      </c>
      <c r="I23" s="181"/>
      <c r="J23" s="181"/>
      <c r="K23" s="189"/>
      <c r="L23" s="192"/>
    </row>
    <row r="24" spans="1:12" s="41" customFormat="1" ht="12.75" customHeight="1" hidden="1">
      <c r="A24" s="355"/>
      <c r="B24" s="355"/>
      <c r="C24" s="355"/>
      <c r="D24" s="356" t="s">
        <v>87</v>
      </c>
      <c r="E24" s="368">
        <f>ABS((1-(C5-E13))*E14)</f>
        <v>86.70401958776525</v>
      </c>
      <c r="F24" s="368">
        <f>ABS((1-(C5-G13))*F14)</f>
        <v>67.11270098432657</v>
      </c>
      <c r="G24" s="368">
        <f>ABS((1-(C5-F13))*G14)</f>
        <v>163.3285005608467</v>
      </c>
      <c r="I24" s="181"/>
      <c r="J24" s="181"/>
      <c r="K24" s="181"/>
      <c r="L24" s="192"/>
    </row>
    <row r="25" spans="1:17" ht="12.75" customHeight="1" hidden="1">
      <c r="A25" s="369"/>
      <c r="B25" s="369"/>
      <c r="C25" s="369"/>
      <c r="D25" s="370" t="s">
        <v>89</v>
      </c>
      <c r="E25" s="347">
        <f>E14*E13</f>
        <v>1</v>
      </c>
      <c r="F25" s="347">
        <f>F14*G13</f>
        <v>0.9999999999999999</v>
      </c>
      <c r="G25" s="347">
        <f>G14*F13</f>
        <v>1</v>
      </c>
      <c r="J25" s="1"/>
      <c r="K25" s="1"/>
      <c r="P25" s="1"/>
      <c r="Q25" s="1"/>
    </row>
    <row r="26" spans="1:17" ht="12.75" customHeight="1" hidden="1">
      <c r="A26" s="371"/>
      <c r="B26" s="371"/>
      <c r="C26" s="372"/>
      <c r="D26" s="373" t="s">
        <v>88</v>
      </c>
      <c r="E26" s="366">
        <f>ABS(C5*E14)</f>
        <v>2.974606865417282</v>
      </c>
      <c r="F26" s="366">
        <f>ABS(C5*F14)</f>
        <v>2.2946332644044616</v>
      </c>
      <c r="G26" s="366">
        <f>ABS(C5*G14)</f>
        <v>5.634081978228699</v>
      </c>
      <c r="I26" s="374"/>
      <c r="J26" s="374"/>
      <c r="K26" s="374"/>
      <c r="P26" s="1"/>
      <c r="Q26" s="1"/>
    </row>
    <row r="27" spans="3:11" s="41" customFormat="1" ht="12.75" customHeight="1" hidden="1">
      <c r="C27" s="13"/>
      <c r="D27" s="171"/>
      <c r="E27" s="172"/>
      <c r="F27" s="172"/>
      <c r="G27" s="172"/>
      <c r="I27" s="375"/>
      <c r="J27" s="375"/>
      <c r="K27" s="375"/>
    </row>
    <row r="28" spans="2:17" ht="12.75" customHeight="1" hidden="1">
      <c r="B28" s="376" t="s">
        <v>68</v>
      </c>
      <c r="C28" s="377"/>
      <c r="D28" s="377"/>
      <c r="E28" s="378">
        <f>ROUND(D9,2)</f>
        <v>0.66</v>
      </c>
      <c r="F28" s="379">
        <f>ROUND(E13,4)</f>
        <v>0.0113</v>
      </c>
      <c r="G28" s="380">
        <f>ROUND(E14,0)</f>
        <v>89</v>
      </c>
      <c r="J28" s="1"/>
      <c r="K28" s="1"/>
      <c r="P28" s="1"/>
      <c r="Q28" s="1"/>
    </row>
    <row r="29" spans="2:17" ht="12.75" customHeight="1" hidden="1">
      <c r="B29" s="381" t="s">
        <v>70</v>
      </c>
      <c r="C29" s="216">
        <f>ROUND(D11,4)</f>
        <v>0.0223</v>
      </c>
      <c r="D29" s="216">
        <f>ROUND(C5,4)</f>
        <v>0.0335</v>
      </c>
      <c r="E29" s="382">
        <f>ROUND(E9,2)</f>
        <v>0.56</v>
      </c>
      <c r="F29" s="383">
        <f>ROUND(F13,4)</f>
        <v>0.006</v>
      </c>
      <c r="G29" s="384">
        <f>ROUND(F14,0)</f>
        <v>68</v>
      </c>
      <c r="P29" s="1"/>
      <c r="Q29" s="1"/>
    </row>
    <row r="30" spans="2:17" ht="12.75" customHeight="1" hidden="1">
      <c r="B30" s="381" t="s">
        <v>69</v>
      </c>
      <c r="C30" s="385"/>
      <c r="D30" s="385"/>
      <c r="E30" s="382">
        <f>ROUND(F9,2)</f>
        <v>0.82</v>
      </c>
      <c r="F30" s="383">
        <f>ROUND(G13,4)</f>
        <v>0.0146</v>
      </c>
      <c r="G30" s="384">
        <f>ROUND(G14,0)</f>
        <v>168</v>
      </c>
      <c r="P30" s="1"/>
      <c r="Q30" s="1"/>
    </row>
    <row r="31" spans="2:17" ht="12.75" customHeight="1" hidden="1">
      <c r="B31" s="381" t="s">
        <v>71</v>
      </c>
      <c r="C31" s="224" t="s">
        <v>74</v>
      </c>
      <c r="D31" s="224" t="s">
        <v>64</v>
      </c>
      <c r="E31" s="386" t="s">
        <v>75</v>
      </c>
      <c r="F31" s="386" t="s">
        <v>73</v>
      </c>
      <c r="G31" s="386" t="s">
        <v>66</v>
      </c>
      <c r="J31" s="1"/>
      <c r="K31" s="1"/>
      <c r="P31" s="1"/>
      <c r="Q31" s="1"/>
    </row>
    <row r="32" spans="2:17" ht="12.75" customHeight="1" hidden="1">
      <c r="B32" s="387" t="s">
        <v>29</v>
      </c>
      <c r="C32" s="224" t="str">
        <f>CONCATENATE(C29*100,B31)</f>
        <v>2,23%</v>
      </c>
      <c r="D32" s="224" t="str">
        <f>CONCATENATE(D29*100,B31)</f>
        <v>3,35%</v>
      </c>
      <c r="E32" s="224" t="str">
        <f>CONCATENATE(E28," ",B28,E29,B29,E30,B30)</f>
        <v>0,66 (0,56-0,82)</v>
      </c>
      <c r="F32" s="224" t="str">
        <f>CONCATENATE(F28*100,B31," ",B28,F29*100,B31," ",B32," ",F30*100,B31,B30)</f>
        <v>1,13% (0,6% a 1,46%)</v>
      </c>
      <c r="G32" s="224" t="str">
        <f>CONCATENATE(G28," ",B28,G29," ",B32," ",G30,B30)</f>
        <v>89 (68 a 168)</v>
      </c>
      <c r="J32" s="1"/>
      <c r="K32" s="1"/>
      <c r="P32" s="1"/>
      <c r="Q32" s="1"/>
    </row>
    <row r="33" spans="2:7" s="5" customFormat="1" ht="12.75" customHeight="1" hidden="1">
      <c r="B33" s="41"/>
      <c r="C33" s="20"/>
      <c r="D33" s="41"/>
      <c r="E33" s="41"/>
      <c r="F33" s="41"/>
      <c r="G33" s="41"/>
    </row>
    <row r="34" spans="1:17" ht="12.75">
      <c r="A34" s="513"/>
      <c r="D34" s="159"/>
      <c r="J34" s="1"/>
      <c r="K34" s="1"/>
      <c r="P34" s="1"/>
      <c r="Q34" s="1"/>
    </row>
    <row r="35" spans="3:7" ht="17.25" customHeight="1">
      <c r="C35" s="506" t="s">
        <v>300</v>
      </c>
      <c r="D35" s="506" t="s">
        <v>301</v>
      </c>
      <c r="E35" s="506" t="s">
        <v>75</v>
      </c>
      <c r="F35" s="506" t="s">
        <v>73</v>
      </c>
      <c r="G35" s="506" t="s">
        <v>66</v>
      </c>
    </row>
    <row r="36" spans="3:7" ht="16.5" customHeight="1">
      <c r="C36" s="469" t="str">
        <f>C32</f>
        <v>2,23%</v>
      </c>
      <c r="D36" s="469" t="str">
        <f>D32</f>
        <v>3,35%</v>
      </c>
      <c r="E36" s="469" t="str">
        <f>E32</f>
        <v>0,66 (0,56-0,82)</v>
      </c>
      <c r="F36" s="469" t="str">
        <f>F32</f>
        <v>1,13% (0,6% a 1,46%)</v>
      </c>
      <c r="G36" s="469" t="str">
        <f>G32</f>
        <v>89 (68 a 168)</v>
      </c>
    </row>
    <row r="39" ht="12.75" customHeight="1"/>
  </sheetData>
  <sheetProtection/>
  <mergeCells count="3">
    <mergeCell ref="D7:F7"/>
    <mergeCell ref="A2:G2"/>
    <mergeCell ref="A3:G3"/>
  </mergeCells>
  <printOptions/>
  <pageMargins left="0.26" right="0.17" top="0.18" bottom="0.1" header="0.21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19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9.57421875" style="1" customWidth="1"/>
    <col min="3" max="3" width="14.57421875" style="41" customWidth="1"/>
    <col min="4" max="4" width="9.57421875" style="1" customWidth="1"/>
    <col min="5" max="6" width="11.421875" style="1" customWidth="1"/>
    <col min="7" max="7" width="22.8515625" style="1" customWidth="1"/>
    <col min="8" max="8" width="15.57421875" style="41" customWidth="1"/>
    <col min="9" max="9" width="22.421875" style="1" bestFit="1" customWidth="1"/>
    <col min="10" max="16384" width="11.421875" style="1" customWidth="1"/>
  </cols>
  <sheetData>
    <row r="1" spans="2:9" ht="33.75">
      <c r="B1" s="389" t="s">
        <v>187</v>
      </c>
      <c r="D1" s="389" t="s">
        <v>188</v>
      </c>
      <c r="G1" s="389" t="s">
        <v>187</v>
      </c>
      <c r="I1" s="389" t="s">
        <v>188</v>
      </c>
    </row>
    <row r="2" ht="13.5" thickBot="1"/>
    <row r="3" spans="2:9" ht="19.5" thickBot="1">
      <c r="B3" s="390" t="s">
        <v>186</v>
      </c>
      <c r="C3" s="391">
        <v>1</v>
      </c>
      <c r="D3" s="392" t="s">
        <v>186</v>
      </c>
      <c r="G3" s="393" t="s">
        <v>268</v>
      </c>
      <c r="H3" s="391">
        <v>1</v>
      </c>
      <c r="I3" s="390" t="s">
        <v>268</v>
      </c>
    </row>
    <row r="4" spans="2:9" ht="19.5" thickBot="1">
      <c r="B4" s="392" t="s">
        <v>186</v>
      </c>
      <c r="C4" s="391">
        <f>C3+1</f>
        <v>2</v>
      </c>
      <c r="D4" s="394" t="s">
        <v>186</v>
      </c>
      <c r="G4" s="395" t="s">
        <v>269</v>
      </c>
      <c r="H4" s="391">
        <f>H3+1</f>
        <v>2</v>
      </c>
      <c r="I4" s="390" t="s">
        <v>268</v>
      </c>
    </row>
    <row r="5" spans="2:9" ht="19.5" thickBot="1">
      <c r="B5" s="396" t="s">
        <v>185</v>
      </c>
      <c r="C5" s="391">
        <f aca="true" t="shared" si="0" ref="C5:C68">C4+1</f>
        <v>3</v>
      </c>
      <c r="D5" s="392" t="s">
        <v>186</v>
      </c>
      <c r="G5" s="397" t="s">
        <v>269</v>
      </c>
      <c r="H5" s="391">
        <f aca="true" t="shared" si="1" ref="H5:H68">H4+1</f>
        <v>3</v>
      </c>
      <c r="I5" s="397" t="s">
        <v>269</v>
      </c>
    </row>
    <row r="6" spans="2:9" ht="19.5" thickBot="1">
      <c r="B6" s="398" t="s">
        <v>185</v>
      </c>
      <c r="C6" s="391">
        <f t="shared" si="0"/>
        <v>4</v>
      </c>
      <c r="D6" s="398" t="s">
        <v>185</v>
      </c>
      <c r="G6" s="397" t="s">
        <v>269</v>
      </c>
      <c r="H6" s="391">
        <f t="shared" si="1"/>
        <v>4</v>
      </c>
      <c r="I6" s="397" t="s">
        <v>269</v>
      </c>
    </row>
    <row r="7" spans="2:9" ht="19.5" thickBot="1">
      <c r="B7" s="398" t="s">
        <v>185</v>
      </c>
      <c r="C7" s="391">
        <f t="shared" si="0"/>
        <v>5</v>
      </c>
      <c r="D7" s="398" t="s">
        <v>185</v>
      </c>
      <c r="G7" s="397" t="s">
        <v>269</v>
      </c>
      <c r="H7" s="391">
        <f t="shared" si="1"/>
        <v>5</v>
      </c>
      <c r="I7" s="397" t="s">
        <v>269</v>
      </c>
    </row>
    <row r="8" spans="2:9" ht="19.5" thickBot="1">
      <c r="B8" s="398" t="s">
        <v>185</v>
      </c>
      <c r="C8" s="391">
        <f t="shared" si="0"/>
        <v>6</v>
      </c>
      <c r="D8" s="398" t="s">
        <v>185</v>
      </c>
      <c r="G8" s="397" t="s">
        <v>269</v>
      </c>
      <c r="H8" s="391">
        <f t="shared" si="1"/>
        <v>6</v>
      </c>
      <c r="I8" s="397" t="s">
        <v>269</v>
      </c>
    </row>
    <row r="9" spans="2:9" ht="19.5" thickBot="1">
      <c r="B9" s="398" t="s">
        <v>185</v>
      </c>
      <c r="C9" s="391">
        <f t="shared" si="0"/>
        <v>7</v>
      </c>
      <c r="D9" s="398" t="s">
        <v>185</v>
      </c>
      <c r="G9" s="397" t="s">
        <v>269</v>
      </c>
      <c r="H9" s="391">
        <f t="shared" si="1"/>
        <v>7</v>
      </c>
      <c r="I9" s="397" t="s">
        <v>269</v>
      </c>
    </row>
    <row r="10" spans="2:9" ht="19.5" thickBot="1">
      <c r="B10" s="398" t="s">
        <v>185</v>
      </c>
      <c r="C10" s="391">
        <f t="shared" si="0"/>
        <v>8</v>
      </c>
      <c r="D10" s="398" t="s">
        <v>185</v>
      </c>
      <c r="G10" s="397" t="s">
        <v>269</v>
      </c>
      <c r="H10" s="391">
        <f t="shared" si="1"/>
        <v>8</v>
      </c>
      <c r="I10" s="397" t="s">
        <v>269</v>
      </c>
    </row>
    <row r="11" spans="2:9" ht="19.5" thickBot="1">
      <c r="B11" s="398" t="s">
        <v>185</v>
      </c>
      <c r="C11" s="391">
        <f t="shared" si="0"/>
        <v>9</v>
      </c>
      <c r="D11" s="398" t="s">
        <v>185</v>
      </c>
      <c r="G11" s="397" t="s">
        <v>269</v>
      </c>
      <c r="H11" s="391">
        <f t="shared" si="1"/>
        <v>9</v>
      </c>
      <c r="I11" s="397" t="s">
        <v>269</v>
      </c>
    </row>
    <row r="12" spans="2:11" ht="19.5" thickBot="1">
      <c r="B12" s="398" t="s">
        <v>185</v>
      </c>
      <c r="C12" s="391">
        <f t="shared" si="0"/>
        <v>10</v>
      </c>
      <c r="D12" s="398" t="s">
        <v>185</v>
      </c>
      <c r="G12" s="397" t="s">
        <v>269</v>
      </c>
      <c r="H12" s="391">
        <f t="shared" si="1"/>
        <v>10</v>
      </c>
      <c r="I12" s="397" t="s">
        <v>269</v>
      </c>
      <c r="K12" s="159"/>
    </row>
    <row r="13" spans="2:9" ht="19.5" thickBot="1">
      <c r="B13" s="398" t="s">
        <v>185</v>
      </c>
      <c r="C13" s="391">
        <f t="shared" si="0"/>
        <v>11</v>
      </c>
      <c r="D13" s="398" t="s">
        <v>185</v>
      </c>
      <c r="G13" s="397" t="s">
        <v>269</v>
      </c>
      <c r="H13" s="391">
        <f t="shared" si="1"/>
        <v>11</v>
      </c>
      <c r="I13" s="397" t="s">
        <v>269</v>
      </c>
    </row>
    <row r="14" spans="2:9" ht="19.5" thickBot="1">
      <c r="B14" s="398" t="s">
        <v>185</v>
      </c>
      <c r="C14" s="391">
        <f t="shared" si="0"/>
        <v>12</v>
      </c>
      <c r="D14" s="398" t="s">
        <v>185</v>
      </c>
      <c r="G14" s="397" t="s">
        <v>269</v>
      </c>
      <c r="H14" s="391">
        <f t="shared" si="1"/>
        <v>12</v>
      </c>
      <c r="I14" s="397" t="s">
        <v>269</v>
      </c>
    </row>
    <row r="15" spans="2:9" ht="19.5" thickBot="1">
      <c r="B15" s="398" t="s">
        <v>185</v>
      </c>
      <c r="C15" s="391">
        <f t="shared" si="0"/>
        <v>13</v>
      </c>
      <c r="D15" s="398" t="s">
        <v>185</v>
      </c>
      <c r="G15" s="397" t="s">
        <v>269</v>
      </c>
      <c r="H15" s="391">
        <f t="shared" si="1"/>
        <v>13</v>
      </c>
      <c r="I15" s="397" t="s">
        <v>269</v>
      </c>
    </row>
    <row r="16" spans="2:9" ht="19.5" thickBot="1">
      <c r="B16" s="398" t="s">
        <v>185</v>
      </c>
      <c r="C16" s="391">
        <f t="shared" si="0"/>
        <v>14</v>
      </c>
      <c r="D16" s="398" t="s">
        <v>185</v>
      </c>
      <c r="G16" s="397" t="s">
        <v>269</v>
      </c>
      <c r="H16" s="391">
        <f t="shared" si="1"/>
        <v>14</v>
      </c>
      <c r="I16" s="397" t="s">
        <v>269</v>
      </c>
    </row>
    <row r="17" spans="2:9" ht="19.5" thickBot="1">
      <c r="B17" s="398" t="s">
        <v>185</v>
      </c>
      <c r="C17" s="391">
        <f t="shared" si="0"/>
        <v>15</v>
      </c>
      <c r="D17" s="398" t="s">
        <v>185</v>
      </c>
      <c r="G17" s="397" t="s">
        <v>269</v>
      </c>
      <c r="H17" s="391">
        <f t="shared" si="1"/>
        <v>15</v>
      </c>
      <c r="I17" s="397" t="s">
        <v>269</v>
      </c>
    </row>
    <row r="18" spans="2:9" ht="19.5" thickBot="1">
      <c r="B18" s="398" t="s">
        <v>185</v>
      </c>
      <c r="C18" s="391">
        <f t="shared" si="0"/>
        <v>16</v>
      </c>
      <c r="D18" s="398" t="s">
        <v>185</v>
      </c>
      <c r="G18" s="397" t="s">
        <v>269</v>
      </c>
      <c r="H18" s="391">
        <f t="shared" si="1"/>
        <v>16</v>
      </c>
      <c r="I18" s="397" t="s">
        <v>269</v>
      </c>
    </row>
    <row r="19" spans="2:9" ht="19.5" thickBot="1">
      <c r="B19" s="398" t="s">
        <v>185</v>
      </c>
      <c r="C19" s="391">
        <f t="shared" si="0"/>
        <v>17</v>
      </c>
      <c r="D19" s="398" t="s">
        <v>185</v>
      </c>
      <c r="G19" s="397" t="s">
        <v>269</v>
      </c>
      <c r="H19" s="391">
        <f t="shared" si="1"/>
        <v>17</v>
      </c>
      <c r="I19" s="397" t="s">
        <v>269</v>
      </c>
    </row>
    <row r="20" spans="2:9" ht="19.5" thickBot="1">
      <c r="B20" s="398" t="s">
        <v>185</v>
      </c>
      <c r="C20" s="391">
        <f t="shared" si="0"/>
        <v>18</v>
      </c>
      <c r="D20" s="398" t="s">
        <v>185</v>
      </c>
      <c r="G20" s="397" t="s">
        <v>269</v>
      </c>
      <c r="H20" s="391">
        <f t="shared" si="1"/>
        <v>18</v>
      </c>
      <c r="I20" s="397" t="s">
        <v>269</v>
      </c>
    </row>
    <row r="21" spans="2:9" ht="19.5" thickBot="1">
      <c r="B21" s="398" t="s">
        <v>185</v>
      </c>
      <c r="C21" s="391">
        <f t="shared" si="0"/>
        <v>19</v>
      </c>
      <c r="D21" s="398" t="s">
        <v>185</v>
      </c>
      <c r="G21" s="397" t="s">
        <v>269</v>
      </c>
      <c r="H21" s="391">
        <f t="shared" si="1"/>
        <v>19</v>
      </c>
      <c r="I21" s="397" t="s">
        <v>269</v>
      </c>
    </row>
    <row r="22" spans="2:9" ht="19.5" thickBot="1">
      <c r="B22" s="398" t="s">
        <v>185</v>
      </c>
      <c r="C22" s="391">
        <f t="shared" si="0"/>
        <v>20</v>
      </c>
      <c r="D22" s="398" t="s">
        <v>185</v>
      </c>
      <c r="G22" s="397" t="s">
        <v>269</v>
      </c>
      <c r="H22" s="391">
        <f t="shared" si="1"/>
        <v>20</v>
      </c>
      <c r="I22" s="397" t="s">
        <v>269</v>
      </c>
    </row>
    <row r="23" spans="2:9" ht="19.5" thickBot="1">
      <c r="B23" s="398" t="s">
        <v>185</v>
      </c>
      <c r="C23" s="391">
        <f t="shared" si="0"/>
        <v>21</v>
      </c>
      <c r="D23" s="398" t="s">
        <v>185</v>
      </c>
      <c r="G23" s="397" t="s">
        <v>269</v>
      </c>
      <c r="H23" s="391">
        <f t="shared" si="1"/>
        <v>21</v>
      </c>
      <c r="I23" s="397" t="s">
        <v>269</v>
      </c>
    </row>
    <row r="24" spans="2:9" ht="19.5" thickBot="1">
      <c r="B24" s="398" t="s">
        <v>185</v>
      </c>
      <c r="C24" s="391">
        <f t="shared" si="0"/>
        <v>22</v>
      </c>
      <c r="D24" s="398" t="s">
        <v>185</v>
      </c>
      <c r="G24" s="397" t="s">
        <v>269</v>
      </c>
      <c r="H24" s="391">
        <f t="shared" si="1"/>
        <v>22</v>
      </c>
      <c r="I24" s="397" t="s">
        <v>269</v>
      </c>
    </row>
    <row r="25" spans="2:9" ht="19.5" thickBot="1">
      <c r="B25" s="398" t="s">
        <v>185</v>
      </c>
      <c r="C25" s="391">
        <f t="shared" si="0"/>
        <v>23</v>
      </c>
      <c r="D25" s="398" t="s">
        <v>185</v>
      </c>
      <c r="G25" s="397" t="s">
        <v>269</v>
      </c>
      <c r="H25" s="391">
        <f t="shared" si="1"/>
        <v>23</v>
      </c>
      <c r="I25" s="397" t="s">
        <v>269</v>
      </c>
    </row>
    <row r="26" spans="2:9" ht="19.5" thickBot="1">
      <c r="B26" s="398" t="s">
        <v>185</v>
      </c>
      <c r="C26" s="391">
        <f t="shared" si="0"/>
        <v>24</v>
      </c>
      <c r="D26" s="398" t="s">
        <v>185</v>
      </c>
      <c r="G26" s="397" t="s">
        <v>269</v>
      </c>
      <c r="H26" s="391">
        <f t="shared" si="1"/>
        <v>24</v>
      </c>
      <c r="I26" s="397" t="s">
        <v>269</v>
      </c>
    </row>
    <row r="27" spans="2:9" ht="19.5" thickBot="1">
      <c r="B27" s="398" t="s">
        <v>185</v>
      </c>
      <c r="C27" s="391">
        <f t="shared" si="0"/>
        <v>25</v>
      </c>
      <c r="D27" s="398" t="s">
        <v>185</v>
      </c>
      <c r="G27" s="397" t="s">
        <v>269</v>
      </c>
      <c r="H27" s="391">
        <f t="shared" si="1"/>
        <v>25</v>
      </c>
      <c r="I27" s="397" t="s">
        <v>269</v>
      </c>
    </row>
    <row r="28" spans="2:9" ht="19.5" thickBot="1">
      <c r="B28" s="398" t="s">
        <v>185</v>
      </c>
      <c r="C28" s="391">
        <f t="shared" si="0"/>
        <v>26</v>
      </c>
      <c r="D28" s="398" t="s">
        <v>185</v>
      </c>
      <c r="G28" s="397" t="s">
        <v>269</v>
      </c>
      <c r="H28" s="391">
        <f t="shared" si="1"/>
        <v>26</v>
      </c>
      <c r="I28" s="397" t="s">
        <v>269</v>
      </c>
    </row>
    <row r="29" spans="2:9" ht="19.5" thickBot="1">
      <c r="B29" s="398" t="s">
        <v>185</v>
      </c>
      <c r="C29" s="391">
        <f t="shared" si="0"/>
        <v>27</v>
      </c>
      <c r="D29" s="398" t="s">
        <v>185</v>
      </c>
      <c r="G29" s="397" t="s">
        <v>269</v>
      </c>
      <c r="H29" s="391">
        <f t="shared" si="1"/>
        <v>27</v>
      </c>
      <c r="I29" s="397" t="s">
        <v>269</v>
      </c>
    </row>
    <row r="30" spans="2:9" ht="19.5" thickBot="1">
      <c r="B30" s="398" t="s">
        <v>185</v>
      </c>
      <c r="C30" s="391">
        <f t="shared" si="0"/>
        <v>28</v>
      </c>
      <c r="D30" s="398" t="s">
        <v>185</v>
      </c>
      <c r="G30" s="397" t="s">
        <v>269</v>
      </c>
      <c r="H30" s="391">
        <f t="shared" si="1"/>
        <v>28</v>
      </c>
      <c r="I30" s="397" t="s">
        <v>269</v>
      </c>
    </row>
    <row r="31" spans="2:9" ht="19.5" thickBot="1">
      <c r="B31" s="398" t="s">
        <v>185</v>
      </c>
      <c r="C31" s="391">
        <f t="shared" si="0"/>
        <v>29</v>
      </c>
      <c r="D31" s="398" t="s">
        <v>185</v>
      </c>
      <c r="G31" s="397" t="s">
        <v>269</v>
      </c>
      <c r="H31" s="391">
        <f t="shared" si="1"/>
        <v>29</v>
      </c>
      <c r="I31" s="397" t="s">
        <v>269</v>
      </c>
    </row>
    <row r="32" spans="2:9" ht="19.5" thickBot="1">
      <c r="B32" s="398" t="s">
        <v>185</v>
      </c>
      <c r="C32" s="391">
        <f t="shared" si="0"/>
        <v>30</v>
      </c>
      <c r="D32" s="398" t="s">
        <v>185</v>
      </c>
      <c r="G32" s="397" t="s">
        <v>269</v>
      </c>
      <c r="H32" s="391">
        <f t="shared" si="1"/>
        <v>30</v>
      </c>
      <c r="I32" s="397" t="s">
        <v>269</v>
      </c>
    </row>
    <row r="33" spans="2:9" ht="19.5" thickBot="1">
      <c r="B33" s="398" t="s">
        <v>185</v>
      </c>
      <c r="C33" s="391">
        <f t="shared" si="0"/>
        <v>31</v>
      </c>
      <c r="D33" s="398" t="s">
        <v>185</v>
      </c>
      <c r="G33" s="397" t="s">
        <v>269</v>
      </c>
      <c r="H33" s="391">
        <f t="shared" si="1"/>
        <v>31</v>
      </c>
      <c r="I33" s="397" t="s">
        <v>269</v>
      </c>
    </row>
    <row r="34" spans="2:9" ht="19.5" thickBot="1">
      <c r="B34" s="398" t="s">
        <v>185</v>
      </c>
      <c r="C34" s="391">
        <f t="shared" si="0"/>
        <v>32</v>
      </c>
      <c r="D34" s="398" t="s">
        <v>185</v>
      </c>
      <c r="G34" s="397" t="s">
        <v>269</v>
      </c>
      <c r="H34" s="391">
        <f t="shared" si="1"/>
        <v>32</v>
      </c>
      <c r="I34" s="397" t="s">
        <v>269</v>
      </c>
    </row>
    <row r="35" spans="2:9" ht="19.5" thickBot="1">
      <c r="B35" s="398" t="s">
        <v>185</v>
      </c>
      <c r="C35" s="391">
        <f t="shared" si="0"/>
        <v>33</v>
      </c>
      <c r="D35" s="398" t="s">
        <v>185</v>
      </c>
      <c r="G35" s="397" t="s">
        <v>269</v>
      </c>
      <c r="H35" s="391">
        <f t="shared" si="1"/>
        <v>33</v>
      </c>
      <c r="I35" s="397" t="s">
        <v>269</v>
      </c>
    </row>
    <row r="36" spans="2:9" ht="19.5" thickBot="1">
      <c r="B36" s="398" t="s">
        <v>185</v>
      </c>
      <c r="C36" s="391">
        <f t="shared" si="0"/>
        <v>34</v>
      </c>
      <c r="D36" s="398" t="s">
        <v>185</v>
      </c>
      <c r="G36" s="397" t="s">
        <v>269</v>
      </c>
      <c r="H36" s="391">
        <f t="shared" si="1"/>
        <v>34</v>
      </c>
      <c r="I36" s="397" t="s">
        <v>269</v>
      </c>
    </row>
    <row r="37" spans="2:9" ht="19.5" thickBot="1">
      <c r="B37" s="398" t="s">
        <v>185</v>
      </c>
      <c r="C37" s="391">
        <f t="shared" si="0"/>
        <v>35</v>
      </c>
      <c r="D37" s="398" t="s">
        <v>185</v>
      </c>
      <c r="G37" s="397" t="s">
        <v>269</v>
      </c>
      <c r="H37" s="391">
        <f t="shared" si="1"/>
        <v>35</v>
      </c>
      <c r="I37" s="397" t="s">
        <v>269</v>
      </c>
    </row>
    <row r="38" spans="2:9" ht="19.5" thickBot="1">
      <c r="B38" s="398" t="s">
        <v>185</v>
      </c>
      <c r="C38" s="391">
        <f t="shared" si="0"/>
        <v>36</v>
      </c>
      <c r="D38" s="398" t="s">
        <v>185</v>
      </c>
      <c r="G38" s="397" t="s">
        <v>269</v>
      </c>
      <c r="H38" s="391">
        <f t="shared" si="1"/>
        <v>36</v>
      </c>
      <c r="I38" s="397" t="s">
        <v>269</v>
      </c>
    </row>
    <row r="39" spans="2:9" ht="19.5" thickBot="1">
      <c r="B39" s="398" t="s">
        <v>185</v>
      </c>
      <c r="C39" s="391">
        <f t="shared" si="0"/>
        <v>37</v>
      </c>
      <c r="D39" s="398" t="s">
        <v>185</v>
      </c>
      <c r="G39" s="397" t="s">
        <v>269</v>
      </c>
      <c r="H39" s="391">
        <f t="shared" si="1"/>
        <v>37</v>
      </c>
      <c r="I39" s="397" t="s">
        <v>269</v>
      </c>
    </row>
    <row r="40" spans="2:9" ht="19.5" thickBot="1">
      <c r="B40" s="398" t="s">
        <v>185</v>
      </c>
      <c r="C40" s="391">
        <f t="shared" si="0"/>
        <v>38</v>
      </c>
      <c r="D40" s="398" t="s">
        <v>185</v>
      </c>
      <c r="G40" s="397" t="s">
        <v>269</v>
      </c>
      <c r="H40" s="391">
        <f t="shared" si="1"/>
        <v>38</v>
      </c>
      <c r="I40" s="397" t="s">
        <v>269</v>
      </c>
    </row>
    <row r="41" spans="2:9" ht="19.5" thickBot="1">
      <c r="B41" s="398" t="s">
        <v>185</v>
      </c>
      <c r="C41" s="391">
        <f t="shared" si="0"/>
        <v>39</v>
      </c>
      <c r="D41" s="398" t="s">
        <v>185</v>
      </c>
      <c r="G41" s="397" t="s">
        <v>269</v>
      </c>
      <c r="H41" s="391">
        <f t="shared" si="1"/>
        <v>39</v>
      </c>
      <c r="I41" s="397" t="s">
        <v>269</v>
      </c>
    </row>
    <row r="42" spans="2:9" ht="19.5" thickBot="1">
      <c r="B42" s="398" t="s">
        <v>185</v>
      </c>
      <c r="C42" s="391">
        <f t="shared" si="0"/>
        <v>40</v>
      </c>
      <c r="D42" s="398" t="s">
        <v>185</v>
      </c>
      <c r="G42" s="397" t="s">
        <v>269</v>
      </c>
      <c r="H42" s="391">
        <f t="shared" si="1"/>
        <v>40</v>
      </c>
      <c r="I42" s="397" t="s">
        <v>269</v>
      </c>
    </row>
    <row r="43" spans="2:9" ht="19.5" thickBot="1">
      <c r="B43" s="398" t="s">
        <v>185</v>
      </c>
      <c r="C43" s="391">
        <f t="shared" si="0"/>
        <v>41</v>
      </c>
      <c r="D43" s="398" t="s">
        <v>185</v>
      </c>
      <c r="G43" s="397" t="s">
        <v>269</v>
      </c>
      <c r="H43" s="391">
        <f t="shared" si="1"/>
        <v>41</v>
      </c>
      <c r="I43" s="397" t="s">
        <v>269</v>
      </c>
    </row>
    <row r="44" spans="2:9" ht="19.5" thickBot="1">
      <c r="B44" s="398" t="s">
        <v>185</v>
      </c>
      <c r="C44" s="391">
        <f t="shared" si="0"/>
        <v>42</v>
      </c>
      <c r="D44" s="398" t="s">
        <v>185</v>
      </c>
      <c r="G44" s="397" t="s">
        <v>269</v>
      </c>
      <c r="H44" s="391">
        <f t="shared" si="1"/>
        <v>42</v>
      </c>
      <c r="I44" s="397" t="s">
        <v>269</v>
      </c>
    </row>
    <row r="45" spans="2:9" ht="19.5" thickBot="1">
      <c r="B45" s="398" t="s">
        <v>185</v>
      </c>
      <c r="C45" s="391">
        <f t="shared" si="0"/>
        <v>43</v>
      </c>
      <c r="D45" s="398" t="s">
        <v>185</v>
      </c>
      <c r="G45" s="397" t="s">
        <v>269</v>
      </c>
      <c r="H45" s="391">
        <f t="shared" si="1"/>
        <v>43</v>
      </c>
      <c r="I45" s="397" t="s">
        <v>269</v>
      </c>
    </row>
    <row r="46" spans="2:9" ht="19.5" thickBot="1">
      <c r="B46" s="398" t="s">
        <v>185</v>
      </c>
      <c r="C46" s="391">
        <f t="shared" si="0"/>
        <v>44</v>
      </c>
      <c r="D46" s="398" t="s">
        <v>185</v>
      </c>
      <c r="G46" s="397" t="s">
        <v>269</v>
      </c>
      <c r="H46" s="391">
        <f t="shared" si="1"/>
        <v>44</v>
      </c>
      <c r="I46" s="397" t="s">
        <v>269</v>
      </c>
    </row>
    <row r="47" spans="2:9" ht="19.5" thickBot="1">
      <c r="B47" s="398" t="s">
        <v>185</v>
      </c>
      <c r="C47" s="391">
        <f t="shared" si="0"/>
        <v>45</v>
      </c>
      <c r="D47" s="398" t="s">
        <v>185</v>
      </c>
      <c r="G47" s="397" t="s">
        <v>269</v>
      </c>
      <c r="H47" s="391">
        <f t="shared" si="1"/>
        <v>45</v>
      </c>
      <c r="I47" s="397" t="s">
        <v>269</v>
      </c>
    </row>
    <row r="48" spans="2:9" ht="19.5" thickBot="1">
      <c r="B48" s="398" t="s">
        <v>185</v>
      </c>
      <c r="C48" s="391">
        <f t="shared" si="0"/>
        <v>46</v>
      </c>
      <c r="D48" s="398" t="s">
        <v>185</v>
      </c>
      <c r="G48" s="397" t="s">
        <v>269</v>
      </c>
      <c r="H48" s="391">
        <f t="shared" si="1"/>
        <v>46</v>
      </c>
      <c r="I48" s="397" t="s">
        <v>269</v>
      </c>
    </row>
    <row r="49" spans="2:9" ht="19.5" thickBot="1">
      <c r="B49" s="398" t="s">
        <v>185</v>
      </c>
      <c r="C49" s="391">
        <f t="shared" si="0"/>
        <v>47</v>
      </c>
      <c r="D49" s="398" t="s">
        <v>185</v>
      </c>
      <c r="G49" s="397" t="s">
        <v>269</v>
      </c>
      <c r="H49" s="391">
        <f t="shared" si="1"/>
        <v>47</v>
      </c>
      <c r="I49" s="397" t="s">
        <v>269</v>
      </c>
    </row>
    <row r="50" spans="2:9" ht="19.5" thickBot="1">
      <c r="B50" s="398" t="s">
        <v>185</v>
      </c>
      <c r="C50" s="391">
        <f t="shared" si="0"/>
        <v>48</v>
      </c>
      <c r="D50" s="398" t="s">
        <v>185</v>
      </c>
      <c r="G50" s="397" t="s">
        <v>269</v>
      </c>
      <c r="H50" s="391">
        <f t="shared" si="1"/>
        <v>48</v>
      </c>
      <c r="I50" s="397" t="s">
        <v>269</v>
      </c>
    </row>
    <row r="51" spans="2:9" ht="19.5" thickBot="1">
      <c r="B51" s="398" t="s">
        <v>185</v>
      </c>
      <c r="C51" s="391">
        <f t="shared" si="0"/>
        <v>49</v>
      </c>
      <c r="D51" s="398" t="s">
        <v>185</v>
      </c>
      <c r="G51" s="397" t="s">
        <v>269</v>
      </c>
      <c r="H51" s="391">
        <f t="shared" si="1"/>
        <v>49</v>
      </c>
      <c r="I51" s="397" t="s">
        <v>269</v>
      </c>
    </row>
    <row r="52" spans="2:9" ht="19.5" thickBot="1">
      <c r="B52" s="398" t="s">
        <v>185</v>
      </c>
      <c r="C52" s="391">
        <f t="shared" si="0"/>
        <v>50</v>
      </c>
      <c r="D52" s="398" t="s">
        <v>185</v>
      </c>
      <c r="G52" s="397" t="s">
        <v>269</v>
      </c>
      <c r="H52" s="391">
        <f t="shared" si="1"/>
        <v>50</v>
      </c>
      <c r="I52" s="397" t="s">
        <v>269</v>
      </c>
    </row>
    <row r="53" spans="2:9" ht="19.5" thickBot="1">
      <c r="B53" s="398" t="s">
        <v>185</v>
      </c>
      <c r="C53" s="391">
        <f t="shared" si="0"/>
        <v>51</v>
      </c>
      <c r="D53" s="398" t="s">
        <v>185</v>
      </c>
      <c r="G53" s="397" t="s">
        <v>269</v>
      </c>
      <c r="H53" s="391">
        <f t="shared" si="1"/>
        <v>51</v>
      </c>
      <c r="I53" s="397" t="s">
        <v>269</v>
      </c>
    </row>
    <row r="54" spans="2:9" ht="19.5" thickBot="1">
      <c r="B54" s="398" t="s">
        <v>185</v>
      </c>
      <c r="C54" s="391">
        <f t="shared" si="0"/>
        <v>52</v>
      </c>
      <c r="D54" s="398" t="s">
        <v>185</v>
      </c>
      <c r="G54" s="397" t="s">
        <v>269</v>
      </c>
      <c r="H54" s="391">
        <f t="shared" si="1"/>
        <v>52</v>
      </c>
      <c r="I54" s="397" t="s">
        <v>269</v>
      </c>
    </row>
    <row r="55" spans="2:9" ht="19.5" thickBot="1">
      <c r="B55" s="398" t="s">
        <v>185</v>
      </c>
      <c r="C55" s="391">
        <f t="shared" si="0"/>
        <v>53</v>
      </c>
      <c r="D55" s="398" t="s">
        <v>185</v>
      </c>
      <c r="G55" s="397" t="s">
        <v>269</v>
      </c>
      <c r="H55" s="391">
        <f t="shared" si="1"/>
        <v>53</v>
      </c>
      <c r="I55" s="397" t="s">
        <v>269</v>
      </c>
    </row>
    <row r="56" spans="2:9" ht="19.5" thickBot="1">
      <c r="B56" s="398" t="s">
        <v>185</v>
      </c>
      <c r="C56" s="391">
        <f t="shared" si="0"/>
        <v>54</v>
      </c>
      <c r="D56" s="398" t="s">
        <v>185</v>
      </c>
      <c r="G56" s="397" t="s">
        <v>269</v>
      </c>
      <c r="H56" s="391">
        <f t="shared" si="1"/>
        <v>54</v>
      </c>
      <c r="I56" s="397" t="s">
        <v>269</v>
      </c>
    </row>
    <row r="57" spans="2:9" ht="19.5" thickBot="1">
      <c r="B57" s="398" t="s">
        <v>185</v>
      </c>
      <c r="C57" s="391">
        <f t="shared" si="0"/>
        <v>55</v>
      </c>
      <c r="D57" s="398" t="s">
        <v>185</v>
      </c>
      <c r="G57" s="397" t="s">
        <v>269</v>
      </c>
      <c r="H57" s="391">
        <f t="shared" si="1"/>
        <v>55</v>
      </c>
      <c r="I57" s="397" t="s">
        <v>269</v>
      </c>
    </row>
    <row r="58" spans="2:9" ht="19.5" thickBot="1">
      <c r="B58" s="398" t="s">
        <v>185</v>
      </c>
      <c r="C58" s="391">
        <f t="shared" si="0"/>
        <v>56</v>
      </c>
      <c r="D58" s="398" t="s">
        <v>185</v>
      </c>
      <c r="G58" s="397" t="s">
        <v>269</v>
      </c>
      <c r="H58" s="391">
        <f t="shared" si="1"/>
        <v>56</v>
      </c>
      <c r="I58" s="397" t="s">
        <v>269</v>
      </c>
    </row>
    <row r="59" spans="2:9" ht="19.5" thickBot="1">
      <c r="B59" s="398" t="s">
        <v>185</v>
      </c>
      <c r="C59" s="391">
        <f t="shared" si="0"/>
        <v>57</v>
      </c>
      <c r="D59" s="398" t="s">
        <v>185</v>
      </c>
      <c r="G59" s="397" t="s">
        <v>269</v>
      </c>
      <c r="H59" s="391">
        <f t="shared" si="1"/>
        <v>57</v>
      </c>
      <c r="I59" s="397" t="s">
        <v>269</v>
      </c>
    </row>
    <row r="60" spans="2:9" ht="19.5" thickBot="1">
      <c r="B60" s="398" t="s">
        <v>185</v>
      </c>
      <c r="C60" s="391">
        <f t="shared" si="0"/>
        <v>58</v>
      </c>
      <c r="D60" s="398" t="s">
        <v>185</v>
      </c>
      <c r="G60" s="397" t="s">
        <v>269</v>
      </c>
      <c r="H60" s="391">
        <f t="shared" si="1"/>
        <v>58</v>
      </c>
      <c r="I60" s="397" t="s">
        <v>269</v>
      </c>
    </row>
    <row r="61" spans="2:9" ht="19.5" thickBot="1">
      <c r="B61" s="398" t="s">
        <v>185</v>
      </c>
      <c r="C61" s="391">
        <f t="shared" si="0"/>
        <v>59</v>
      </c>
      <c r="D61" s="398" t="s">
        <v>185</v>
      </c>
      <c r="G61" s="397" t="s">
        <v>269</v>
      </c>
      <c r="H61" s="391">
        <f t="shared" si="1"/>
        <v>59</v>
      </c>
      <c r="I61" s="397" t="s">
        <v>269</v>
      </c>
    </row>
    <row r="62" spans="2:9" ht="19.5" thickBot="1">
      <c r="B62" s="398" t="s">
        <v>185</v>
      </c>
      <c r="C62" s="391">
        <f t="shared" si="0"/>
        <v>60</v>
      </c>
      <c r="D62" s="398" t="s">
        <v>185</v>
      </c>
      <c r="G62" s="397" t="s">
        <v>269</v>
      </c>
      <c r="H62" s="391">
        <f t="shared" si="1"/>
        <v>60</v>
      </c>
      <c r="I62" s="397" t="s">
        <v>269</v>
      </c>
    </row>
    <row r="63" spans="2:9" ht="19.5" thickBot="1">
      <c r="B63" s="398" t="s">
        <v>185</v>
      </c>
      <c r="C63" s="391">
        <f t="shared" si="0"/>
        <v>61</v>
      </c>
      <c r="D63" s="398" t="s">
        <v>185</v>
      </c>
      <c r="G63" s="397" t="s">
        <v>269</v>
      </c>
      <c r="H63" s="391">
        <f t="shared" si="1"/>
        <v>61</v>
      </c>
      <c r="I63" s="397" t="s">
        <v>269</v>
      </c>
    </row>
    <row r="64" spans="2:9" ht="19.5" thickBot="1">
      <c r="B64" s="398" t="s">
        <v>185</v>
      </c>
      <c r="C64" s="391">
        <f t="shared" si="0"/>
        <v>62</v>
      </c>
      <c r="D64" s="398" t="s">
        <v>185</v>
      </c>
      <c r="G64" s="397" t="s">
        <v>269</v>
      </c>
      <c r="H64" s="391">
        <f t="shared" si="1"/>
        <v>62</v>
      </c>
      <c r="I64" s="397" t="s">
        <v>269</v>
      </c>
    </row>
    <row r="65" spans="2:9" ht="19.5" thickBot="1">
      <c r="B65" s="398" t="s">
        <v>185</v>
      </c>
      <c r="C65" s="391">
        <f t="shared" si="0"/>
        <v>63</v>
      </c>
      <c r="D65" s="398" t="s">
        <v>185</v>
      </c>
      <c r="G65" s="397" t="s">
        <v>269</v>
      </c>
      <c r="H65" s="391">
        <f t="shared" si="1"/>
        <v>63</v>
      </c>
      <c r="I65" s="397" t="s">
        <v>269</v>
      </c>
    </row>
    <row r="66" spans="2:9" ht="19.5" thickBot="1">
      <c r="B66" s="398" t="s">
        <v>185</v>
      </c>
      <c r="C66" s="391">
        <f t="shared" si="0"/>
        <v>64</v>
      </c>
      <c r="D66" s="398" t="s">
        <v>185</v>
      </c>
      <c r="G66" s="397" t="s">
        <v>269</v>
      </c>
      <c r="H66" s="391">
        <f t="shared" si="1"/>
        <v>64</v>
      </c>
      <c r="I66" s="397" t="s">
        <v>269</v>
      </c>
    </row>
    <row r="67" spans="2:9" ht="19.5" thickBot="1">
      <c r="B67" s="398" t="s">
        <v>185</v>
      </c>
      <c r="C67" s="391">
        <f t="shared" si="0"/>
        <v>65</v>
      </c>
      <c r="D67" s="398" t="s">
        <v>185</v>
      </c>
      <c r="G67" s="397" t="s">
        <v>269</v>
      </c>
      <c r="H67" s="391">
        <f t="shared" si="1"/>
        <v>65</v>
      </c>
      <c r="I67" s="397" t="s">
        <v>269</v>
      </c>
    </row>
    <row r="68" spans="2:9" ht="19.5" thickBot="1">
      <c r="B68" s="398" t="s">
        <v>185</v>
      </c>
      <c r="C68" s="391">
        <f t="shared" si="0"/>
        <v>66</v>
      </c>
      <c r="D68" s="398" t="s">
        <v>185</v>
      </c>
      <c r="G68" s="397" t="s">
        <v>269</v>
      </c>
      <c r="H68" s="391">
        <f t="shared" si="1"/>
        <v>66</v>
      </c>
      <c r="I68" s="397" t="s">
        <v>269</v>
      </c>
    </row>
    <row r="69" spans="2:9" ht="19.5" thickBot="1">
      <c r="B69" s="398" t="s">
        <v>185</v>
      </c>
      <c r="C69" s="391">
        <f aca="true" t="shared" si="2" ref="C69:C96">C68+1</f>
        <v>67</v>
      </c>
      <c r="D69" s="398" t="s">
        <v>185</v>
      </c>
      <c r="G69" s="397" t="s">
        <v>269</v>
      </c>
      <c r="H69" s="391">
        <f aca="true" t="shared" si="3" ref="H69:H96">H68+1</f>
        <v>67</v>
      </c>
      <c r="I69" s="397" t="s">
        <v>269</v>
      </c>
    </row>
    <row r="70" spans="2:9" ht="19.5" thickBot="1">
      <c r="B70" s="398" t="s">
        <v>185</v>
      </c>
      <c r="C70" s="391">
        <f t="shared" si="2"/>
        <v>68</v>
      </c>
      <c r="D70" s="398" t="s">
        <v>185</v>
      </c>
      <c r="G70" s="397" t="s">
        <v>269</v>
      </c>
      <c r="H70" s="391">
        <f t="shared" si="3"/>
        <v>68</v>
      </c>
      <c r="I70" s="397" t="s">
        <v>269</v>
      </c>
    </row>
    <row r="71" spans="2:9" ht="19.5" thickBot="1">
      <c r="B71" s="398" t="s">
        <v>185</v>
      </c>
      <c r="C71" s="391">
        <f t="shared" si="2"/>
        <v>69</v>
      </c>
      <c r="D71" s="398" t="s">
        <v>185</v>
      </c>
      <c r="G71" s="397" t="s">
        <v>269</v>
      </c>
      <c r="H71" s="391">
        <f t="shared" si="3"/>
        <v>69</v>
      </c>
      <c r="I71" s="397" t="s">
        <v>269</v>
      </c>
    </row>
    <row r="72" spans="2:9" ht="19.5" thickBot="1">
      <c r="B72" s="398" t="s">
        <v>185</v>
      </c>
      <c r="C72" s="391">
        <f t="shared" si="2"/>
        <v>70</v>
      </c>
      <c r="D72" s="398" t="s">
        <v>185</v>
      </c>
      <c r="G72" s="397" t="s">
        <v>269</v>
      </c>
      <c r="H72" s="391">
        <f t="shared" si="3"/>
        <v>70</v>
      </c>
      <c r="I72" s="397" t="s">
        <v>269</v>
      </c>
    </row>
    <row r="73" spans="2:9" ht="19.5" thickBot="1">
      <c r="B73" s="398" t="s">
        <v>185</v>
      </c>
      <c r="C73" s="391">
        <f t="shared" si="2"/>
        <v>71</v>
      </c>
      <c r="D73" s="398" t="s">
        <v>185</v>
      </c>
      <c r="G73" s="397" t="s">
        <v>269</v>
      </c>
      <c r="H73" s="391">
        <f t="shared" si="3"/>
        <v>71</v>
      </c>
      <c r="I73" s="397" t="s">
        <v>269</v>
      </c>
    </row>
    <row r="74" spans="2:9" ht="19.5" thickBot="1">
      <c r="B74" s="398" t="s">
        <v>185</v>
      </c>
      <c r="C74" s="391">
        <f t="shared" si="2"/>
        <v>72</v>
      </c>
      <c r="D74" s="398" t="s">
        <v>185</v>
      </c>
      <c r="G74" s="397" t="s">
        <v>269</v>
      </c>
      <c r="H74" s="391">
        <f t="shared" si="3"/>
        <v>72</v>
      </c>
      <c r="I74" s="397" t="s">
        <v>269</v>
      </c>
    </row>
    <row r="75" spans="2:9" ht="19.5" thickBot="1">
      <c r="B75" s="398" t="s">
        <v>185</v>
      </c>
      <c r="C75" s="391">
        <f t="shared" si="2"/>
        <v>73</v>
      </c>
      <c r="D75" s="398" t="s">
        <v>185</v>
      </c>
      <c r="G75" s="397" t="s">
        <v>269</v>
      </c>
      <c r="H75" s="391">
        <f t="shared" si="3"/>
        <v>73</v>
      </c>
      <c r="I75" s="397" t="s">
        <v>269</v>
      </c>
    </row>
    <row r="76" spans="2:9" ht="19.5" thickBot="1">
      <c r="B76" s="398" t="s">
        <v>185</v>
      </c>
      <c r="C76" s="391">
        <f t="shared" si="2"/>
        <v>74</v>
      </c>
      <c r="D76" s="398" t="s">
        <v>185</v>
      </c>
      <c r="G76" s="397" t="s">
        <v>269</v>
      </c>
      <c r="H76" s="391">
        <f t="shared" si="3"/>
        <v>74</v>
      </c>
      <c r="I76" s="397" t="s">
        <v>269</v>
      </c>
    </row>
    <row r="77" spans="2:9" ht="19.5" thickBot="1">
      <c r="B77" s="398" t="s">
        <v>185</v>
      </c>
      <c r="C77" s="391">
        <f t="shared" si="2"/>
        <v>75</v>
      </c>
      <c r="D77" s="398" t="s">
        <v>185</v>
      </c>
      <c r="G77" s="397" t="s">
        <v>269</v>
      </c>
      <c r="H77" s="391">
        <f t="shared" si="3"/>
        <v>75</v>
      </c>
      <c r="I77" s="397" t="s">
        <v>269</v>
      </c>
    </row>
    <row r="78" spans="2:9" ht="19.5" thickBot="1">
      <c r="B78" s="398" t="s">
        <v>185</v>
      </c>
      <c r="C78" s="391">
        <f t="shared" si="2"/>
        <v>76</v>
      </c>
      <c r="D78" s="398" t="s">
        <v>185</v>
      </c>
      <c r="G78" s="397" t="s">
        <v>269</v>
      </c>
      <c r="H78" s="391">
        <f t="shared" si="3"/>
        <v>76</v>
      </c>
      <c r="I78" s="397" t="s">
        <v>269</v>
      </c>
    </row>
    <row r="79" spans="2:9" ht="19.5" thickBot="1">
      <c r="B79" s="398" t="s">
        <v>185</v>
      </c>
      <c r="C79" s="391">
        <f t="shared" si="2"/>
        <v>77</v>
      </c>
      <c r="D79" s="398" t="s">
        <v>185</v>
      </c>
      <c r="G79" s="397" t="s">
        <v>269</v>
      </c>
      <c r="H79" s="391">
        <f t="shared" si="3"/>
        <v>77</v>
      </c>
      <c r="I79" s="397" t="s">
        <v>269</v>
      </c>
    </row>
    <row r="80" spans="2:9" ht="19.5" thickBot="1">
      <c r="B80" s="398" t="s">
        <v>185</v>
      </c>
      <c r="C80" s="391">
        <f t="shared" si="2"/>
        <v>78</v>
      </c>
      <c r="D80" s="398" t="s">
        <v>185</v>
      </c>
      <c r="G80" s="397" t="s">
        <v>269</v>
      </c>
      <c r="H80" s="391">
        <f t="shared" si="3"/>
        <v>78</v>
      </c>
      <c r="I80" s="397" t="s">
        <v>269</v>
      </c>
    </row>
    <row r="81" spans="2:9" ht="19.5" thickBot="1">
      <c r="B81" s="398" t="s">
        <v>185</v>
      </c>
      <c r="C81" s="391">
        <f t="shared" si="2"/>
        <v>79</v>
      </c>
      <c r="D81" s="398" t="s">
        <v>185</v>
      </c>
      <c r="G81" s="397" t="s">
        <v>269</v>
      </c>
      <c r="H81" s="391">
        <f t="shared" si="3"/>
        <v>79</v>
      </c>
      <c r="I81" s="397" t="s">
        <v>269</v>
      </c>
    </row>
    <row r="82" spans="2:9" ht="19.5" thickBot="1">
      <c r="B82" s="398" t="s">
        <v>185</v>
      </c>
      <c r="C82" s="391">
        <f t="shared" si="2"/>
        <v>80</v>
      </c>
      <c r="D82" s="398" t="s">
        <v>185</v>
      </c>
      <c r="G82" s="397" t="s">
        <v>269</v>
      </c>
      <c r="H82" s="391">
        <f t="shared" si="3"/>
        <v>80</v>
      </c>
      <c r="I82" s="397" t="s">
        <v>269</v>
      </c>
    </row>
    <row r="83" spans="2:9" ht="19.5" thickBot="1">
      <c r="B83" s="398" t="s">
        <v>185</v>
      </c>
      <c r="C83" s="391">
        <f t="shared" si="2"/>
        <v>81</v>
      </c>
      <c r="D83" s="398" t="s">
        <v>185</v>
      </c>
      <c r="G83" s="397" t="s">
        <v>269</v>
      </c>
      <c r="H83" s="391">
        <f t="shared" si="3"/>
        <v>81</v>
      </c>
      <c r="I83" s="397" t="s">
        <v>269</v>
      </c>
    </row>
    <row r="84" spans="2:9" ht="19.5" thickBot="1">
      <c r="B84" s="398" t="s">
        <v>185</v>
      </c>
      <c r="C84" s="391">
        <f t="shared" si="2"/>
        <v>82</v>
      </c>
      <c r="D84" s="398" t="s">
        <v>185</v>
      </c>
      <c r="G84" s="397" t="s">
        <v>269</v>
      </c>
      <c r="H84" s="391">
        <f t="shared" si="3"/>
        <v>82</v>
      </c>
      <c r="I84" s="397" t="s">
        <v>269</v>
      </c>
    </row>
    <row r="85" spans="2:9" ht="19.5" thickBot="1">
      <c r="B85" s="398" t="s">
        <v>185</v>
      </c>
      <c r="C85" s="391">
        <f t="shared" si="2"/>
        <v>83</v>
      </c>
      <c r="D85" s="398" t="s">
        <v>185</v>
      </c>
      <c r="G85" s="397" t="s">
        <v>269</v>
      </c>
      <c r="H85" s="391">
        <f t="shared" si="3"/>
        <v>83</v>
      </c>
      <c r="I85" s="397" t="s">
        <v>269</v>
      </c>
    </row>
    <row r="86" spans="2:9" ht="19.5" thickBot="1">
      <c r="B86" s="398" t="s">
        <v>185</v>
      </c>
      <c r="C86" s="391">
        <f t="shared" si="2"/>
        <v>84</v>
      </c>
      <c r="D86" s="398" t="s">
        <v>185</v>
      </c>
      <c r="G86" s="397" t="s">
        <v>269</v>
      </c>
      <c r="H86" s="391">
        <f t="shared" si="3"/>
        <v>84</v>
      </c>
      <c r="I86" s="397" t="s">
        <v>269</v>
      </c>
    </row>
    <row r="87" spans="2:9" ht="19.5" thickBot="1">
      <c r="B87" s="398" t="s">
        <v>185</v>
      </c>
      <c r="C87" s="391">
        <f t="shared" si="2"/>
        <v>85</v>
      </c>
      <c r="D87" s="398" t="s">
        <v>185</v>
      </c>
      <c r="G87" s="397" t="s">
        <v>269</v>
      </c>
      <c r="H87" s="391">
        <f t="shared" si="3"/>
        <v>85</v>
      </c>
      <c r="I87" s="397" t="s">
        <v>269</v>
      </c>
    </row>
    <row r="88" spans="2:9" ht="19.5" thickBot="1">
      <c r="B88" s="398" t="s">
        <v>185</v>
      </c>
      <c r="C88" s="391">
        <f t="shared" si="2"/>
        <v>86</v>
      </c>
      <c r="D88" s="398" t="s">
        <v>185</v>
      </c>
      <c r="G88" s="397" t="s">
        <v>269</v>
      </c>
      <c r="H88" s="391">
        <f t="shared" si="3"/>
        <v>86</v>
      </c>
      <c r="I88" s="397" t="s">
        <v>269</v>
      </c>
    </row>
    <row r="89" spans="2:9" ht="19.5" thickBot="1">
      <c r="B89" s="398" t="s">
        <v>185</v>
      </c>
      <c r="C89" s="391">
        <f t="shared" si="2"/>
        <v>87</v>
      </c>
      <c r="D89" s="398" t="s">
        <v>185</v>
      </c>
      <c r="G89" s="397" t="s">
        <v>269</v>
      </c>
      <c r="H89" s="391">
        <f t="shared" si="3"/>
        <v>87</v>
      </c>
      <c r="I89" s="397" t="s">
        <v>269</v>
      </c>
    </row>
    <row r="90" spans="2:9" ht="19.5" thickBot="1">
      <c r="B90" s="398" t="s">
        <v>185</v>
      </c>
      <c r="C90" s="391">
        <f t="shared" si="2"/>
        <v>88</v>
      </c>
      <c r="D90" s="398" t="s">
        <v>185</v>
      </c>
      <c r="G90" s="397" t="s">
        <v>269</v>
      </c>
      <c r="H90" s="391">
        <f t="shared" si="3"/>
        <v>88</v>
      </c>
      <c r="I90" s="397" t="s">
        <v>269</v>
      </c>
    </row>
    <row r="91" spans="2:9" ht="19.5" thickBot="1">
      <c r="B91" s="398" t="s">
        <v>185</v>
      </c>
      <c r="C91" s="391">
        <f t="shared" si="2"/>
        <v>89</v>
      </c>
      <c r="D91" s="398" t="s">
        <v>185</v>
      </c>
      <c r="G91" s="397" t="s">
        <v>269</v>
      </c>
      <c r="H91" s="391">
        <f t="shared" si="3"/>
        <v>89</v>
      </c>
      <c r="I91" s="397" t="s">
        <v>269</v>
      </c>
    </row>
    <row r="92" spans="2:9" ht="19.5" thickBot="1">
      <c r="B92" s="398" t="s">
        <v>185</v>
      </c>
      <c r="C92" s="391">
        <f t="shared" si="2"/>
        <v>90</v>
      </c>
      <c r="D92" s="398" t="s">
        <v>185</v>
      </c>
      <c r="G92" s="397" t="s">
        <v>269</v>
      </c>
      <c r="H92" s="391">
        <f t="shared" si="3"/>
        <v>90</v>
      </c>
      <c r="I92" s="397" t="s">
        <v>269</v>
      </c>
    </row>
    <row r="93" spans="2:9" ht="19.5" thickBot="1">
      <c r="B93" s="398" t="s">
        <v>185</v>
      </c>
      <c r="C93" s="391">
        <f t="shared" si="2"/>
        <v>91</v>
      </c>
      <c r="D93" s="398" t="s">
        <v>185</v>
      </c>
      <c r="G93" s="397" t="s">
        <v>269</v>
      </c>
      <c r="H93" s="391">
        <f t="shared" si="3"/>
        <v>91</v>
      </c>
      <c r="I93" s="397" t="s">
        <v>269</v>
      </c>
    </row>
    <row r="94" spans="2:9" ht="19.5" thickBot="1">
      <c r="B94" s="398" t="s">
        <v>185</v>
      </c>
      <c r="C94" s="391">
        <f t="shared" si="2"/>
        <v>92</v>
      </c>
      <c r="D94" s="398" t="s">
        <v>185</v>
      </c>
      <c r="G94" s="397" t="s">
        <v>269</v>
      </c>
      <c r="H94" s="391">
        <f t="shared" si="3"/>
        <v>92</v>
      </c>
      <c r="I94" s="397" t="s">
        <v>269</v>
      </c>
    </row>
    <row r="95" spans="2:9" ht="19.5" thickBot="1">
      <c r="B95" s="398" t="s">
        <v>185</v>
      </c>
      <c r="C95" s="391">
        <f t="shared" si="2"/>
        <v>93</v>
      </c>
      <c r="D95" s="398" t="s">
        <v>185</v>
      </c>
      <c r="G95" s="397" t="s">
        <v>269</v>
      </c>
      <c r="H95" s="391">
        <f t="shared" si="3"/>
        <v>93</v>
      </c>
      <c r="I95" s="397" t="s">
        <v>269</v>
      </c>
    </row>
    <row r="96" spans="2:9" ht="19.5" thickBot="1">
      <c r="B96" s="397" t="s">
        <v>185</v>
      </c>
      <c r="C96" s="391">
        <f t="shared" si="2"/>
        <v>94</v>
      </c>
      <c r="D96" s="397" t="s">
        <v>185</v>
      </c>
      <c r="G96" s="397" t="s">
        <v>269</v>
      </c>
      <c r="H96" s="391">
        <f t="shared" si="3"/>
        <v>94</v>
      </c>
      <c r="I96" s="397" t="s">
        <v>269</v>
      </c>
    </row>
    <row r="97" spans="7:9" ht="19.5" thickBot="1">
      <c r="G97" s="397" t="s">
        <v>269</v>
      </c>
      <c r="H97" s="391">
        <v>95</v>
      </c>
      <c r="I97" s="397" t="s">
        <v>269</v>
      </c>
    </row>
    <row r="98" spans="7:9" ht="19.5" thickBot="1">
      <c r="G98" s="397" t="s">
        <v>269</v>
      </c>
      <c r="H98" s="391">
        <v>96</v>
      </c>
      <c r="I98" s="397" t="s">
        <v>269</v>
      </c>
    </row>
    <row r="99" spans="7:9" ht="19.5" thickBot="1">
      <c r="G99" s="397" t="s">
        <v>269</v>
      </c>
      <c r="H99" s="391">
        <v>97</v>
      </c>
      <c r="I99" s="397" t="s">
        <v>269</v>
      </c>
    </row>
    <row r="100" spans="7:9" ht="19.5" thickBot="1">
      <c r="G100" s="397" t="s">
        <v>269</v>
      </c>
      <c r="H100" s="391">
        <v>98</v>
      </c>
      <c r="I100" s="397" t="s">
        <v>269</v>
      </c>
    </row>
    <row r="101" spans="7:9" ht="19.5" thickBot="1">
      <c r="G101" s="397" t="s">
        <v>269</v>
      </c>
      <c r="H101" s="391">
        <v>99</v>
      </c>
      <c r="I101" s="397" t="s">
        <v>269</v>
      </c>
    </row>
    <row r="102" spans="7:9" ht="19.5" thickBot="1">
      <c r="G102" s="397" t="s">
        <v>269</v>
      </c>
      <c r="H102" s="391">
        <v>100</v>
      </c>
      <c r="I102" s="397" t="s">
        <v>269</v>
      </c>
    </row>
    <row r="103" spans="7:9" ht="19.5" thickBot="1">
      <c r="G103" s="397" t="s">
        <v>269</v>
      </c>
      <c r="H103" s="391">
        <v>101</v>
      </c>
      <c r="I103" s="397" t="s">
        <v>269</v>
      </c>
    </row>
    <row r="104" spans="7:9" ht="19.5" thickBot="1">
      <c r="G104" s="397" t="s">
        <v>269</v>
      </c>
      <c r="H104" s="391">
        <v>102</v>
      </c>
      <c r="I104" s="397" t="s">
        <v>269</v>
      </c>
    </row>
    <row r="105" spans="7:9" ht="19.5" thickBot="1">
      <c r="G105" s="397" t="s">
        <v>269</v>
      </c>
      <c r="H105" s="391">
        <v>103</v>
      </c>
      <c r="I105" s="397" t="s">
        <v>269</v>
      </c>
    </row>
    <row r="106" spans="7:9" ht="19.5" thickBot="1">
      <c r="G106" s="397" t="s">
        <v>269</v>
      </c>
      <c r="H106" s="391">
        <v>104</v>
      </c>
      <c r="I106" s="397" t="s">
        <v>269</v>
      </c>
    </row>
    <row r="107" spans="7:9" ht="19.5" thickBot="1">
      <c r="G107" s="397" t="s">
        <v>269</v>
      </c>
      <c r="H107" s="391">
        <v>105</v>
      </c>
      <c r="I107" s="397" t="s">
        <v>269</v>
      </c>
    </row>
    <row r="108" spans="7:9" ht="19.5" thickBot="1">
      <c r="G108" s="397" t="s">
        <v>269</v>
      </c>
      <c r="H108" s="391">
        <v>106</v>
      </c>
      <c r="I108" s="397" t="s">
        <v>269</v>
      </c>
    </row>
    <row r="109" spans="7:9" ht="19.5" thickBot="1">
      <c r="G109" s="397" t="s">
        <v>269</v>
      </c>
      <c r="H109" s="391">
        <v>107</v>
      </c>
      <c r="I109" s="397" t="s">
        <v>269</v>
      </c>
    </row>
    <row r="110" spans="7:9" ht="19.5" thickBot="1">
      <c r="G110" s="397" t="s">
        <v>269</v>
      </c>
      <c r="H110" s="391">
        <v>108</v>
      </c>
      <c r="I110" s="397" t="s">
        <v>269</v>
      </c>
    </row>
    <row r="111" spans="7:9" ht="19.5" thickBot="1">
      <c r="G111" s="397" t="s">
        <v>269</v>
      </c>
      <c r="H111" s="391">
        <v>109</v>
      </c>
      <c r="I111" s="397" t="s">
        <v>269</v>
      </c>
    </row>
    <row r="112" spans="7:9" ht="19.5" thickBot="1">
      <c r="G112" s="397" t="s">
        <v>269</v>
      </c>
      <c r="H112" s="391">
        <v>110</v>
      </c>
      <c r="I112" s="397" t="s">
        <v>269</v>
      </c>
    </row>
    <row r="113" spans="7:9" ht="19.5" thickBot="1">
      <c r="G113" s="397" t="s">
        <v>269</v>
      </c>
      <c r="H113" s="391">
        <v>111</v>
      </c>
      <c r="I113" s="397" t="s">
        <v>269</v>
      </c>
    </row>
    <row r="114" spans="7:9" ht="19.5" thickBot="1">
      <c r="G114" s="397" t="s">
        <v>269</v>
      </c>
      <c r="H114" s="391">
        <v>112</v>
      </c>
      <c r="I114" s="397" t="s">
        <v>269</v>
      </c>
    </row>
    <row r="115" spans="7:9" ht="19.5" thickBot="1">
      <c r="G115" s="397" t="s">
        <v>269</v>
      </c>
      <c r="H115" s="391">
        <v>113</v>
      </c>
      <c r="I115" s="397" t="s">
        <v>269</v>
      </c>
    </row>
    <row r="116" spans="7:9" ht="19.5" thickBot="1">
      <c r="G116" s="397" t="s">
        <v>269</v>
      </c>
      <c r="H116" s="391">
        <v>114</v>
      </c>
      <c r="I116" s="397" t="s">
        <v>269</v>
      </c>
    </row>
    <row r="117" spans="7:9" ht="19.5" thickBot="1">
      <c r="G117" s="397" t="s">
        <v>269</v>
      </c>
      <c r="H117" s="391">
        <v>115</v>
      </c>
      <c r="I117" s="397" t="s">
        <v>269</v>
      </c>
    </row>
    <row r="118" spans="7:9" ht="19.5" thickBot="1">
      <c r="G118" s="397" t="s">
        <v>269</v>
      </c>
      <c r="H118" s="391">
        <v>116</v>
      </c>
      <c r="I118" s="397" t="s">
        <v>269</v>
      </c>
    </row>
    <row r="119" spans="7:9" ht="19.5" thickBot="1">
      <c r="G119" s="397" t="s">
        <v>269</v>
      </c>
      <c r="H119" s="391">
        <v>117</v>
      </c>
      <c r="I119" s="397" t="s">
        <v>269</v>
      </c>
    </row>
  </sheetData>
  <sheetProtection/>
  <printOptions/>
  <pageMargins left="0.75" right="0.75" top="0.31" bottom="1" header="0" footer="0"/>
  <pageSetup horizontalDpi="600" verticalDpi="600" orientation="portrait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2"/>
  <sheetViews>
    <sheetView zoomScalePageLayoutView="0" workbookViewId="0" topLeftCell="A1">
      <selection activeCell="A1" sqref="A1"/>
    </sheetView>
  </sheetViews>
  <sheetFormatPr defaultColWidth="2.7109375" defaultRowHeight="12.75"/>
  <cols>
    <col min="1" max="41" width="2.7109375" style="1" customWidth="1"/>
    <col min="42" max="42" width="2.57421875" style="1" customWidth="1"/>
    <col min="43" max="49" width="2.7109375" style="1" customWidth="1"/>
    <col min="50" max="50" width="3.00390625" style="1" customWidth="1"/>
    <col min="51" max="16384" width="2.7109375" style="1" customWidth="1"/>
  </cols>
  <sheetData>
    <row r="1" ht="18.75">
      <c r="A1" s="73" t="s">
        <v>242</v>
      </c>
    </row>
    <row r="2" spans="1:59" ht="12.75">
      <c r="A2" s="92" t="s">
        <v>194</v>
      </c>
      <c r="BG2" s="388"/>
    </row>
    <row r="3" ht="7.5" customHeight="1">
      <c r="A3" s="92"/>
    </row>
    <row r="4" ht="15.75">
      <c r="A4" s="14" t="s">
        <v>243</v>
      </c>
    </row>
    <row r="5" ht="15.75">
      <c r="A5" s="14" t="s">
        <v>303</v>
      </c>
    </row>
    <row r="6" ht="15.75">
      <c r="A6" s="14" t="s">
        <v>330</v>
      </c>
    </row>
    <row r="7" ht="15.75">
      <c r="A7" s="14" t="s">
        <v>244</v>
      </c>
    </row>
    <row r="8" ht="15.75">
      <c r="A8" s="14" t="s">
        <v>320</v>
      </c>
    </row>
    <row r="9" ht="5.25" customHeight="1">
      <c r="A9" s="92"/>
    </row>
    <row r="10" ht="15.75">
      <c r="A10" s="14" t="s">
        <v>257</v>
      </c>
    </row>
    <row r="11" ht="15.75">
      <c r="A11" s="14" t="s">
        <v>258</v>
      </c>
    </row>
    <row r="12" ht="15.75">
      <c r="A12" s="14" t="s">
        <v>295</v>
      </c>
    </row>
    <row r="13" ht="15.75">
      <c r="A13" s="14" t="s">
        <v>321</v>
      </c>
    </row>
    <row r="14" spans="1:42" ht="12.75">
      <c r="A14" s="92"/>
      <c r="AL14" s="121"/>
      <c r="AM14" s="121"/>
      <c r="AN14" s="399"/>
      <c r="AO14" s="121"/>
      <c r="AP14" s="121"/>
    </row>
    <row r="15" spans="1:42" ht="12.75">
      <c r="A15" s="92"/>
      <c r="AL15" s="121"/>
      <c r="AM15" s="121"/>
      <c r="AN15" s="399"/>
      <c r="AO15" s="121"/>
      <c r="AP15" s="121"/>
    </row>
    <row r="16" ht="12.75">
      <c r="AN16" s="399"/>
    </row>
    <row r="30" ht="12.75">
      <c r="V30" s="1" t="s">
        <v>245</v>
      </c>
    </row>
    <row r="45" ht="12.75">
      <c r="A45" s="1" t="s">
        <v>310</v>
      </c>
    </row>
    <row r="46" ht="12.75">
      <c r="A46" s="1" t="s">
        <v>311</v>
      </c>
    </row>
    <row r="47" ht="12.75">
      <c r="A47" s="1" t="s">
        <v>304</v>
      </c>
    </row>
    <row r="48" ht="12.75">
      <c r="A48" s="1" t="s">
        <v>305</v>
      </c>
    </row>
    <row r="49" ht="12.75">
      <c r="A49" s="1" t="s">
        <v>306</v>
      </c>
    </row>
    <row r="50" ht="12.75">
      <c r="A50" s="1" t="s">
        <v>307</v>
      </c>
    </row>
    <row r="51" ht="12.75">
      <c r="A51" s="1" t="s">
        <v>308</v>
      </c>
    </row>
    <row r="52" ht="12.75">
      <c r="A52" s="1" t="s">
        <v>309</v>
      </c>
    </row>
  </sheetData>
  <sheetProtection/>
  <printOptions/>
  <pageMargins left="0.75" right="0.75" top="1" bottom="1" header="0" footer="0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7"/>
  <sheetViews>
    <sheetView zoomScalePageLayoutView="0" workbookViewId="0" topLeftCell="A1">
      <selection activeCell="A1" sqref="A1"/>
    </sheetView>
  </sheetViews>
  <sheetFormatPr defaultColWidth="2.7109375" defaultRowHeight="12.75"/>
  <cols>
    <col min="1" max="16384" width="2.7109375" style="401" customWidth="1"/>
  </cols>
  <sheetData>
    <row r="1" ht="18.75">
      <c r="A1" s="400" t="s">
        <v>195</v>
      </c>
    </row>
    <row r="2" ht="12.75">
      <c r="A2" s="402" t="s">
        <v>194</v>
      </c>
    </row>
    <row r="3" ht="4.5" customHeight="1">
      <c r="A3" s="402"/>
    </row>
    <row r="4" ht="15.75">
      <c r="A4" s="403" t="s">
        <v>329</v>
      </c>
    </row>
    <row r="5" ht="15.75">
      <c r="A5" s="403" t="s">
        <v>196</v>
      </c>
    </row>
    <row r="6" ht="15.75">
      <c r="A6" s="403" t="s">
        <v>322</v>
      </c>
    </row>
    <row r="7" ht="5.25" customHeight="1">
      <c r="A7" s="402"/>
    </row>
    <row r="8" ht="15.75">
      <c r="A8" s="403" t="s">
        <v>257</v>
      </c>
    </row>
    <row r="9" ht="15.75">
      <c r="A9" s="403" t="s">
        <v>259</v>
      </c>
    </row>
    <row r="10" ht="15.75">
      <c r="A10" s="403" t="s">
        <v>328</v>
      </c>
    </row>
    <row r="11" ht="15.75">
      <c r="A11" s="404" t="s">
        <v>260</v>
      </c>
    </row>
    <row r="12" ht="18">
      <c r="A12" s="404" t="s">
        <v>296</v>
      </c>
    </row>
    <row r="13" spans="1:42" ht="15.75">
      <c r="A13" s="404" t="s">
        <v>323</v>
      </c>
      <c r="AL13" s="405"/>
      <c r="AM13" s="405"/>
      <c r="AN13" s="405"/>
      <c r="AO13" s="405"/>
      <c r="AP13" s="405"/>
    </row>
    <row r="14" spans="1:42" ht="15.75">
      <c r="A14" s="404"/>
      <c r="AL14" s="405"/>
      <c r="AM14" s="405"/>
      <c r="AN14" s="405"/>
      <c r="AO14" s="405"/>
      <c r="AP14" s="405"/>
    </row>
    <row r="15" spans="1:42" ht="12.75">
      <c r="A15" s="402"/>
      <c r="AL15" s="405"/>
      <c r="AM15" s="405"/>
      <c r="AN15" s="406"/>
      <c r="AO15" s="405"/>
      <c r="AP15" s="405"/>
    </row>
    <row r="16" spans="1:42" ht="12.75">
      <c r="A16" s="402"/>
      <c r="AL16" s="405"/>
      <c r="AM16" s="405"/>
      <c r="AN16" s="406"/>
      <c r="AO16" s="405"/>
      <c r="AP16" s="405"/>
    </row>
    <row r="17" ht="12.75">
      <c r="AN17" s="40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55"/>
  <sheetViews>
    <sheetView zoomScale="115" zoomScaleNormal="115" zoomScalePageLayoutView="0" workbookViewId="0" topLeftCell="A1">
      <selection activeCell="E1" sqref="E1"/>
    </sheetView>
  </sheetViews>
  <sheetFormatPr defaultColWidth="11.421875" defaultRowHeight="12.75"/>
  <cols>
    <col min="1" max="1" width="29.7109375" style="401" customWidth="1"/>
    <col min="2" max="2" width="13.140625" style="401" customWidth="1"/>
    <col min="3" max="4" width="11.421875" style="401" customWidth="1"/>
    <col min="5" max="5" width="1.57421875" style="401" customWidth="1"/>
    <col min="6" max="9" width="11.421875" style="401" customWidth="1"/>
    <col min="10" max="10" width="8.421875" style="401" customWidth="1"/>
    <col min="11" max="11" width="11.421875" style="401" customWidth="1"/>
    <col min="12" max="12" width="4.28125" style="401" customWidth="1"/>
    <col min="13" max="16384" width="11.421875" style="401" customWidth="1"/>
  </cols>
  <sheetData>
    <row r="1" ht="4.5" customHeight="1" thickBot="1"/>
    <row r="2" spans="1:9" s="407" customFormat="1" ht="19.5" thickBot="1">
      <c r="A2" s="563" t="s">
        <v>204</v>
      </c>
      <c r="B2" s="564"/>
      <c r="C2" s="564"/>
      <c r="D2" s="564"/>
      <c r="E2" s="564"/>
      <c r="F2" s="564"/>
      <c r="G2" s="564"/>
      <c r="H2" s="564"/>
      <c r="I2" s="565"/>
    </row>
    <row r="3" spans="1:9" s="407" customFormat="1" ht="33.75" customHeight="1">
      <c r="A3" s="566" t="s">
        <v>299</v>
      </c>
      <c r="B3" s="567"/>
      <c r="C3" s="567"/>
      <c r="D3" s="567"/>
      <c r="E3" s="567"/>
      <c r="F3" s="567"/>
      <c r="G3" s="567"/>
      <c r="H3" s="567"/>
      <c r="I3" s="568"/>
    </row>
    <row r="4" ht="16.5" customHeight="1" thickBot="1">
      <c r="A4" s="408"/>
    </row>
    <row r="5" spans="1:21" ht="13.5" hidden="1" thickBot="1">
      <c r="A5" s="409" t="s">
        <v>205</v>
      </c>
      <c r="N5" s="410"/>
      <c r="O5" s="410"/>
      <c r="T5" s="410"/>
      <c r="U5" s="410"/>
    </row>
    <row r="6" spans="1:21" ht="13.5" hidden="1" thickBot="1">
      <c r="A6" s="411" t="s">
        <v>206</v>
      </c>
      <c r="B6" s="411" t="s">
        <v>207</v>
      </c>
      <c r="C6" s="412"/>
      <c r="N6" s="410"/>
      <c r="O6" s="410"/>
      <c r="T6" s="410"/>
      <c r="U6" s="410"/>
    </row>
    <row r="7" spans="2:21" ht="13.5" hidden="1" thickBot="1">
      <c r="B7" s="413" t="s">
        <v>297</v>
      </c>
      <c r="C7" s="401" t="s">
        <v>208</v>
      </c>
      <c r="N7" s="410"/>
      <c r="O7" s="410"/>
      <c r="T7" s="410"/>
      <c r="U7" s="410"/>
    </row>
    <row r="8" spans="2:21" ht="13.5" hidden="1" thickBot="1">
      <c r="B8" s="413" t="s">
        <v>209</v>
      </c>
      <c r="C8" s="401" t="s">
        <v>210</v>
      </c>
      <c r="F8" s="414"/>
      <c r="G8" s="414"/>
      <c r="H8" s="414"/>
      <c r="I8" s="414"/>
      <c r="N8" s="410"/>
      <c r="O8" s="410"/>
      <c r="T8" s="410"/>
      <c r="U8" s="410"/>
    </row>
    <row r="9" spans="2:21" ht="13.5" hidden="1" thickBot="1">
      <c r="B9" s="413" t="s">
        <v>211</v>
      </c>
      <c r="C9" s="414" t="s">
        <v>212</v>
      </c>
      <c r="D9" s="413"/>
      <c r="N9" s="410"/>
      <c r="O9" s="410"/>
      <c r="T9" s="410"/>
      <c r="U9" s="410"/>
    </row>
    <row r="10" spans="1:21" ht="13.5" hidden="1" thickBot="1">
      <c r="A10" s="401" t="s">
        <v>213</v>
      </c>
      <c r="D10" s="413"/>
      <c r="N10" s="410"/>
      <c r="O10" s="410"/>
      <c r="T10" s="410"/>
      <c r="U10" s="410"/>
    </row>
    <row r="11" spans="2:21" ht="13.5" hidden="1" thickBot="1">
      <c r="B11" s="413" t="s">
        <v>214</v>
      </c>
      <c r="C11" s="414" t="s">
        <v>215</v>
      </c>
      <c r="D11" s="413"/>
      <c r="N11" s="410"/>
      <c r="O11" s="410"/>
      <c r="T11" s="410"/>
      <c r="U11" s="410"/>
    </row>
    <row r="12" spans="2:21" ht="13.5" hidden="1" thickBot="1">
      <c r="B12" s="413" t="s">
        <v>216</v>
      </c>
      <c r="C12" s="414" t="s">
        <v>217</v>
      </c>
      <c r="D12" s="413"/>
      <c r="N12" s="410"/>
      <c r="O12" s="410"/>
      <c r="T12" s="410"/>
      <c r="U12" s="410"/>
    </row>
    <row r="13" spans="1:21" ht="15.75" customHeight="1" hidden="1">
      <c r="A13" s="569" t="s">
        <v>218</v>
      </c>
      <c r="B13" s="570"/>
      <c r="C13" s="570"/>
      <c r="D13" s="571"/>
      <c r="N13" s="410"/>
      <c r="O13" s="410"/>
      <c r="T13" s="410"/>
      <c r="U13" s="410"/>
    </row>
    <row r="14" spans="1:21" ht="13.5" hidden="1" thickBot="1">
      <c r="A14" s="415" t="s">
        <v>219</v>
      </c>
      <c r="B14" s="416">
        <v>15</v>
      </c>
      <c r="C14" s="417"/>
      <c r="D14" s="418"/>
      <c r="N14" s="410"/>
      <c r="O14" s="410"/>
      <c r="T14" s="410"/>
      <c r="U14" s="410"/>
    </row>
    <row r="15" spans="1:21" ht="13.5" hidden="1" thickBot="1">
      <c r="A15" s="415" t="s">
        <v>220</v>
      </c>
      <c r="B15" s="416">
        <v>5</v>
      </c>
      <c r="C15" s="417"/>
      <c r="D15" s="418"/>
      <c r="N15" s="410"/>
      <c r="O15" s="410"/>
      <c r="T15" s="410"/>
      <c r="U15" s="410"/>
    </row>
    <row r="16" spans="1:21" ht="13.5" hidden="1" thickBot="1">
      <c r="A16" s="419" t="s">
        <v>221</v>
      </c>
      <c r="B16" s="420">
        <f>B15/B14</f>
        <v>0.3333333333333333</v>
      </c>
      <c r="C16" s="421"/>
      <c r="D16" s="418"/>
      <c r="N16" s="410"/>
      <c r="O16" s="410"/>
      <c r="T16" s="410"/>
      <c r="U16" s="410"/>
    </row>
    <row r="17" spans="1:21" ht="13.5" hidden="1" thickBot="1">
      <c r="A17" s="422" t="s">
        <v>222</v>
      </c>
      <c r="B17" s="423">
        <v>0.05</v>
      </c>
      <c r="C17" s="424" t="s">
        <v>223</v>
      </c>
      <c r="D17" s="425">
        <f>-NORMSINV((B17*100/2)/100)</f>
        <v>1.9599639845400538</v>
      </c>
      <c r="N17" s="410"/>
      <c r="O17" s="410"/>
      <c r="T17" s="410"/>
      <c r="U17" s="410"/>
    </row>
    <row r="18" spans="1:21" ht="13.5" hidden="1" thickBot="1">
      <c r="A18" s="422" t="s">
        <v>224</v>
      </c>
      <c r="B18" s="423">
        <v>0.2</v>
      </c>
      <c r="C18" s="424" t="s">
        <v>225</v>
      </c>
      <c r="D18" s="426">
        <f>-NORMSINV(B18)</f>
        <v>0.8416212335729145</v>
      </c>
      <c r="N18" s="410"/>
      <c r="O18" s="410"/>
      <c r="T18" s="410"/>
      <c r="U18" s="410"/>
    </row>
    <row r="19" spans="1:21" ht="13.5" hidden="1" thickBot="1">
      <c r="A19" s="427" t="s">
        <v>226</v>
      </c>
      <c r="B19" s="428">
        <f>ROUNDUP(2*(B14^2)*(D17+D18)^2/B15^2,0)</f>
        <v>142</v>
      </c>
      <c r="C19" s="417"/>
      <c r="D19" s="418"/>
      <c r="N19" s="410"/>
      <c r="O19" s="410"/>
      <c r="T19" s="410"/>
      <c r="U19" s="410"/>
    </row>
    <row r="20" spans="1:21" ht="13.5" hidden="1" thickBot="1">
      <c r="A20" s="429" t="s">
        <v>227</v>
      </c>
      <c r="B20" s="430">
        <f>B19*2</f>
        <v>284</v>
      </c>
      <c r="C20" s="431"/>
      <c r="D20" s="432"/>
      <c r="N20" s="410"/>
      <c r="O20" s="410"/>
      <c r="T20" s="410"/>
      <c r="U20" s="410"/>
    </row>
    <row r="21" spans="1:4" s="410" customFormat="1" ht="13.5" hidden="1" thickBot="1">
      <c r="A21" s="433"/>
      <c r="B21" s="434"/>
      <c r="C21" s="435"/>
      <c r="D21" s="436"/>
    </row>
    <row r="22" spans="1:21" ht="13.5" hidden="1" thickBot="1">
      <c r="A22" s="409" t="s">
        <v>228</v>
      </c>
      <c r="N22" s="410"/>
      <c r="O22" s="410"/>
      <c r="T22" s="410"/>
      <c r="U22" s="410"/>
    </row>
    <row r="23" spans="1:21" ht="13.5" hidden="1" thickBot="1">
      <c r="A23" s="401" t="s">
        <v>229</v>
      </c>
      <c r="C23" s="414" t="s">
        <v>230</v>
      </c>
      <c r="N23" s="410"/>
      <c r="O23" s="410"/>
      <c r="T23" s="410"/>
      <c r="U23" s="410"/>
    </row>
    <row r="24" spans="1:21" ht="13.5" hidden="1" thickBot="1">
      <c r="A24" s="401" t="s">
        <v>231</v>
      </c>
      <c r="C24" s="414"/>
      <c r="F24" s="414" t="s">
        <v>232</v>
      </c>
      <c r="N24" s="410"/>
      <c r="O24" s="410"/>
      <c r="T24" s="410"/>
      <c r="U24" s="410"/>
    </row>
    <row r="25" spans="1:21" ht="30.75" customHeight="1">
      <c r="A25" s="572" t="s">
        <v>233</v>
      </c>
      <c r="B25" s="573"/>
      <c r="C25" s="573"/>
      <c r="D25" s="574"/>
      <c r="F25" s="468" t="s">
        <v>253</v>
      </c>
      <c r="G25" s="403"/>
      <c r="H25" s="403"/>
      <c r="I25" s="403"/>
      <c r="N25" s="410"/>
      <c r="O25" s="410"/>
      <c r="T25" s="410"/>
      <c r="U25" s="410"/>
    </row>
    <row r="26" spans="1:21" ht="15.75">
      <c r="A26" s="437" t="s">
        <v>234</v>
      </c>
      <c r="B26" s="438">
        <v>0.016</v>
      </c>
      <c r="C26" s="439" t="s">
        <v>235</v>
      </c>
      <c r="D26" s="440">
        <f>1-B26</f>
        <v>0.984</v>
      </c>
      <c r="F26" s="441" t="s">
        <v>256</v>
      </c>
      <c r="G26" s="442"/>
      <c r="N26" s="410"/>
      <c r="O26" s="410"/>
      <c r="T26" s="410"/>
      <c r="U26" s="410"/>
    </row>
    <row r="27" spans="1:21" ht="15.75">
      <c r="A27" s="437" t="s">
        <v>236</v>
      </c>
      <c r="B27" s="443">
        <f>B26*1.46</f>
        <v>0.02336</v>
      </c>
      <c r="C27" s="439" t="s">
        <v>237</v>
      </c>
      <c r="D27" s="440">
        <f>1-B27</f>
        <v>0.97664</v>
      </c>
      <c r="N27" s="410"/>
      <c r="O27" s="410"/>
      <c r="T27" s="410"/>
      <c r="U27" s="410"/>
    </row>
    <row r="28" spans="1:21" ht="15.75">
      <c r="A28" s="444" t="s">
        <v>238</v>
      </c>
      <c r="B28" s="445">
        <f>(B26+B27)/2</f>
        <v>0.01968</v>
      </c>
      <c r="C28" s="439" t="s">
        <v>239</v>
      </c>
      <c r="D28" s="440">
        <f>1-B28</f>
        <v>0.98032</v>
      </c>
      <c r="F28" s="446" t="s">
        <v>254</v>
      </c>
      <c r="G28" s="442"/>
      <c r="J28" s="405"/>
      <c r="N28" s="410"/>
      <c r="O28" s="410"/>
      <c r="T28" s="410"/>
      <c r="U28" s="410"/>
    </row>
    <row r="29" spans="1:21" ht="15.75">
      <c r="A29" s="447" t="s">
        <v>251</v>
      </c>
      <c r="B29" s="448">
        <v>0.05</v>
      </c>
      <c r="C29" s="449" t="s">
        <v>223</v>
      </c>
      <c r="D29" s="440">
        <f>-NORMSINV((B29*100/2)/100)</f>
        <v>1.9599639845400538</v>
      </c>
      <c r="F29" s="450" t="s">
        <v>319</v>
      </c>
      <c r="G29" s="405"/>
      <c r="H29" s="405"/>
      <c r="I29" s="405"/>
      <c r="J29" s="405"/>
      <c r="N29" s="410"/>
      <c r="O29" s="410"/>
      <c r="T29" s="410"/>
      <c r="U29" s="410"/>
    </row>
    <row r="30" spans="1:21" ht="15.75">
      <c r="A30" s="447" t="s">
        <v>252</v>
      </c>
      <c r="B30" s="448">
        <v>0.16</v>
      </c>
      <c r="C30" s="449" t="s">
        <v>225</v>
      </c>
      <c r="D30" s="440">
        <f>-NORMSINV(B30)</f>
        <v>0.9944578832097497</v>
      </c>
      <c r="F30" s="450" t="s">
        <v>255</v>
      </c>
      <c r="G30" s="405"/>
      <c r="H30" s="405"/>
      <c r="I30" s="405"/>
      <c r="J30" s="405"/>
      <c r="N30" s="410"/>
      <c r="O30" s="410"/>
      <c r="T30" s="410"/>
      <c r="U30" s="410"/>
    </row>
    <row r="31" spans="1:21" ht="15.75">
      <c r="A31" s="447" t="s">
        <v>240</v>
      </c>
      <c r="B31" s="445">
        <f>2*B28*D28*(D29+D30)^2</f>
        <v>0.33679681132135425</v>
      </c>
      <c r="C31" s="451"/>
      <c r="D31" s="452"/>
      <c r="F31" s="450" t="s">
        <v>298</v>
      </c>
      <c r="G31" s="453"/>
      <c r="H31" s="405"/>
      <c r="I31" s="405"/>
      <c r="J31" s="405"/>
      <c r="N31" s="410"/>
      <c r="O31" s="410"/>
      <c r="T31" s="410"/>
      <c r="U31" s="410"/>
    </row>
    <row r="32" spans="1:21" ht="15.75">
      <c r="A32" s="447" t="s">
        <v>241</v>
      </c>
      <c r="B32" s="454">
        <f>(B26-B27)^2</f>
        <v>5.416959999999998E-05</v>
      </c>
      <c r="C32" s="455"/>
      <c r="D32" s="452"/>
      <c r="F32" s="456"/>
      <c r="G32" s="457"/>
      <c r="H32" s="405"/>
      <c r="I32" s="405"/>
      <c r="J32" s="405"/>
      <c r="N32" s="410"/>
      <c r="O32" s="410"/>
      <c r="T32" s="410"/>
      <c r="U32" s="410"/>
    </row>
    <row r="33" spans="1:21" ht="15.75">
      <c r="A33" s="458" t="s">
        <v>226</v>
      </c>
      <c r="B33" s="508">
        <f>ROUNDUP(B31/B32,0)</f>
        <v>6218</v>
      </c>
      <c r="C33" s="459"/>
      <c r="D33" s="452"/>
      <c r="F33" s="460"/>
      <c r="G33" s="461"/>
      <c r="H33" s="460"/>
      <c r="I33" s="405"/>
      <c r="J33" s="405"/>
      <c r="N33" s="410"/>
      <c r="O33" s="410"/>
      <c r="T33" s="410"/>
      <c r="U33" s="410"/>
    </row>
    <row r="34" spans="1:21" ht="16.5" thickBot="1">
      <c r="A34" s="462" t="s">
        <v>227</v>
      </c>
      <c r="B34" s="509">
        <f>B33*2</f>
        <v>12436</v>
      </c>
      <c r="C34" s="463"/>
      <c r="D34" s="464"/>
      <c r="N34" s="410"/>
      <c r="O34" s="410"/>
      <c r="T34" s="410"/>
      <c r="U34" s="410"/>
    </row>
    <row r="36" spans="2:4" s="465" customFormat="1" ht="15">
      <c r="B36" s="466"/>
      <c r="D36" s="467" t="s">
        <v>250</v>
      </c>
    </row>
    <row r="37" spans="2:4" s="465" customFormat="1" ht="15">
      <c r="B37" s="466"/>
      <c r="D37" s="467"/>
    </row>
    <row r="38" s="465" customFormat="1" ht="15">
      <c r="A38" s="467" t="s">
        <v>249</v>
      </c>
    </row>
    <row r="41" ht="12.75">
      <c r="B41" s="476"/>
    </row>
    <row r="42" ht="12.75">
      <c r="A42" s="524" t="s">
        <v>379</v>
      </c>
    </row>
    <row r="43" ht="12.75">
      <c r="A43" s="525" t="s">
        <v>380</v>
      </c>
    </row>
    <row r="44" ht="12.75">
      <c r="A44" s="409" t="s">
        <v>331</v>
      </c>
    </row>
    <row r="45" ht="12.75">
      <c r="A45" s="435" t="s">
        <v>332</v>
      </c>
    </row>
    <row r="46" spans="2:9" ht="12.75">
      <c r="B46" s="515" t="s">
        <v>333</v>
      </c>
      <c r="C46" s="515" t="s">
        <v>334</v>
      </c>
      <c r="D46" s="515" t="s">
        <v>335</v>
      </c>
      <c r="E46" s="515" t="s">
        <v>336</v>
      </c>
      <c r="F46" s="515" t="s">
        <v>337</v>
      </c>
      <c r="G46" s="516">
        <v>0.0931</v>
      </c>
      <c r="H46" s="515"/>
      <c r="I46" s="517">
        <v>0.5226469875068425</v>
      </c>
    </row>
    <row r="47" spans="2:9" ht="12.75">
      <c r="B47" s="515" t="s">
        <v>338</v>
      </c>
      <c r="C47" s="515" t="s">
        <v>339</v>
      </c>
      <c r="D47" s="515" t="s">
        <v>340</v>
      </c>
      <c r="E47" s="515" t="s">
        <v>341</v>
      </c>
      <c r="F47" s="515" t="s">
        <v>342</v>
      </c>
      <c r="G47" s="518">
        <v>0.2054</v>
      </c>
      <c r="H47" s="515"/>
      <c r="I47" s="517">
        <v>0.2547942615365707</v>
      </c>
    </row>
    <row r="48" spans="2:9" ht="12.75">
      <c r="B48" s="515"/>
      <c r="C48" s="515"/>
      <c r="D48" s="515"/>
      <c r="E48" s="515"/>
      <c r="F48" s="515"/>
      <c r="G48" s="518"/>
      <c r="H48" s="515"/>
      <c r="I48" s="517"/>
    </row>
    <row r="49" spans="1:9" ht="12.75">
      <c r="A49" s="519" t="s">
        <v>343</v>
      </c>
      <c r="B49" s="520" t="s">
        <v>344</v>
      </c>
      <c r="C49" s="520" t="s">
        <v>345</v>
      </c>
      <c r="D49" s="520" t="s">
        <v>346</v>
      </c>
      <c r="E49" s="520" t="s">
        <v>347</v>
      </c>
      <c r="F49" s="520" t="s">
        <v>348</v>
      </c>
      <c r="G49" s="521">
        <v>0.18</v>
      </c>
      <c r="H49" s="520"/>
      <c r="I49" s="517">
        <v>0.2962329197384521</v>
      </c>
    </row>
    <row r="50" spans="1:9" ht="12.75">
      <c r="A50" s="519" t="s">
        <v>349</v>
      </c>
      <c r="B50" s="520" t="s">
        <v>350</v>
      </c>
      <c r="C50" s="520" t="s">
        <v>351</v>
      </c>
      <c r="D50" s="520" t="s">
        <v>352</v>
      </c>
      <c r="E50" s="520" t="s">
        <v>353</v>
      </c>
      <c r="F50" s="520" t="s">
        <v>354</v>
      </c>
      <c r="G50" s="521">
        <v>0.3112</v>
      </c>
      <c r="H50" s="522"/>
      <c r="I50" s="517">
        <v>0.14188938145687116</v>
      </c>
    </row>
    <row r="51" spans="1:9" ht="12.75">
      <c r="A51" s="519"/>
      <c r="B51" s="519"/>
      <c r="C51" s="519"/>
      <c r="D51" s="519"/>
      <c r="E51" s="519"/>
      <c r="F51" s="519"/>
      <c r="G51" s="523"/>
      <c r="H51" s="519"/>
      <c r="I51" s="517"/>
    </row>
    <row r="52" spans="1:9" ht="12.75">
      <c r="A52" s="519" t="s">
        <v>355</v>
      </c>
      <c r="B52" s="520" t="s">
        <v>356</v>
      </c>
      <c r="C52" s="520" t="s">
        <v>357</v>
      </c>
      <c r="D52" s="520" t="s">
        <v>358</v>
      </c>
      <c r="E52" s="520" t="s">
        <v>359</v>
      </c>
      <c r="F52" s="520" t="s">
        <v>360</v>
      </c>
      <c r="G52" s="521">
        <v>0.9857</v>
      </c>
      <c r="H52" s="520"/>
      <c r="I52" s="517">
        <v>3.3092643741023196E-05</v>
      </c>
    </row>
    <row r="53" spans="1:9" ht="12.75">
      <c r="A53" s="519" t="s">
        <v>361</v>
      </c>
      <c r="B53" s="520" t="s">
        <v>362</v>
      </c>
      <c r="C53" s="520" t="s">
        <v>363</v>
      </c>
      <c r="D53" s="520" t="s">
        <v>364</v>
      </c>
      <c r="E53" s="520" t="s">
        <v>365</v>
      </c>
      <c r="F53" s="520" t="s">
        <v>366</v>
      </c>
      <c r="G53" s="521">
        <v>1</v>
      </c>
      <c r="H53" s="520"/>
      <c r="I53" s="517">
        <v>3.6955590655889574E-09</v>
      </c>
    </row>
    <row r="54" spans="1:9" ht="12.75">
      <c r="A54" s="519" t="s">
        <v>367</v>
      </c>
      <c r="B54" s="515" t="s">
        <v>368</v>
      </c>
      <c r="C54" s="515" t="s">
        <v>369</v>
      </c>
      <c r="D54" s="515" t="s">
        <v>370</v>
      </c>
      <c r="E54" s="515" t="s">
        <v>371</v>
      </c>
      <c r="F54" s="515" t="s">
        <v>372</v>
      </c>
      <c r="G54" s="518">
        <v>1</v>
      </c>
      <c r="H54" s="515"/>
      <c r="I54" s="517">
        <v>1.5538360710457481E-13</v>
      </c>
    </row>
    <row r="55" spans="1:9" ht="12.75">
      <c r="A55" s="519" t="s">
        <v>373</v>
      </c>
      <c r="B55" s="515" t="s">
        <v>374</v>
      </c>
      <c r="C55" s="515" t="s">
        <v>375</v>
      </c>
      <c r="D55" s="515" t="s">
        <v>376</v>
      </c>
      <c r="E55" s="515" t="s">
        <v>377</v>
      </c>
      <c r="F55" s="515" t="s">
        <v>378</v>
      </c>
      <c r="G55" s="518">
        <v>1</v>
      </c>
      <c r="H55" s="515"/>
      <c r="I55" s="517">
        <v>5.219123767186545E-18</v>
      </c>
    </row>
  </sheetData>
  <sheetProtection/>
  <mergeCells count="4">
    <mergeCell ref="A2:I2"/>
    <mergeCell ref="A3:I3"/>
    <mergeCell ref="A13:D13"/>
    <mergeCell ref="A25:D25"/>
  </mergeCells>
  <printOptions/>
  <pageMargins left="0.17" right="0.16" top="0.35" bottom="2.75" header="0.17" footer="0"/>
  <pageSetup horizontalDpi="600" verticalDpi="600" orientation="landscape" paperSize="9" scale="1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401" customWidth="1"/>
    <col min="2" max="2" width="12.57421875" style="401" customWidth="1"/>
    <col min="3" max="3" width="17.57421875" style="401" customWidth="1"/>
    <col min="4" max="4" width="14.00390625" style="401" customWidth="1"/>
    <col min="5" max="5" width="13.7109375" style="401" customWidth="1"/>
    <col min="6" max="6" width="31.7109375" style="401" customWidth="1"/>
    <col min="7" max="16384" width="11.421875" style="401" customWidth="1"/>
  </cols>
  <sheetData>
    <row r="2" spans="2:5" ht="12.75">
      <c r="B2" s="414" t="s">
        <v>315</v>
      </c>
      <c r="E2" s="414" t="s">
        <v>316</v>
      </c>
    </row>
    <row r="3" ht="3" customHeight="1"/>
    <row r="4" spans="2:6" ht="38.25">
      <c r="B4" s="481" t="s">
        <v>314</v>
      </c>
      <c r="C4" s="482" t="s">
        <v>317</v>
      </c>
      <c r="E4" s="481" t="s">
        <v>313</v>
      </c>
      <c r="F4" s="483" t="s">
        <v>318</v>
      </c>
    </row>
    <row r="5" spans="2:6" ht="12.75">
      <c r="B5" s="479">
        <v>0.6</v>
      </c>
      <c r="C5" s="477">
        <f aca="true" t="shared" si="0" ref="C5:C23">LN(B5)</f>
        <v>-0.5108256237659907</v>
      </c>
      <c r="E5" s="480">
        <f aca="true" t="shared" si="1" ref="E5:E20">C5</f>
        <v>-0.5108256237659907</v>
      </c>
      <c r="F5" s="478">
        <f aca="true" t="shared" si="2" ref="F5:F20">EXP(E5)</f>
        <v>0.6</v>
      </c>
    </row>
    <row r="6" spans="2:6" ht="12.75">
      <c r="B6" s="479">
        <f aca="true" t="shared" si="3" ref="B6:B20">B5+0.05</f>
        <v>0.65</v>
      </c>
      <c r="C6" s="477">
        <f t="shared" si="0"/>
        <v>-0.4307829160924542</v>
      </c>
      <c r="E6" s="480">
        <f t="shared" si="1"/>
        <v>-0.4307829160924542</v>
      </c>
      <c r="F6" s="478">
        <f t="shared" si="2"/>
        <v>0.65</v>
      </c>
    </row>
    <row r="7" spans="2:6" ht="12.75">
      <c r="B7" s="479">
        <f t="shared" si="3"/>
        <v>0.7000000000000001</v>
      </c>
      <c r="C7" s="477">
        <f t="shared" si="0"/>
        <v>-0.3566749439387323</v>
      </c>
      <c r="E7" s="480">
        <f t="shared" si="1"/>
        <v>-0.3566749439387323</v>
      </c>
      <c r="F7" s="478">
        <f t="shared" si="2"/>
        <v>0.7000000000000001</v>
      </c>
    </row>
    <row r="8" spans="2:6" ht="12.75">
      <c r="B8" s="479">
        <f t="shared" si="3"/>
        <v>0.7500000000000001</v>
      </c>
      <c r="C8" s="477">
        <f t="shared" si="0"/>
        <v>-0.2876820724517808</v>
      </c>
      <c r="E8" s="480">
        <f t="shared" si="1"/>
        <v>-0.2876820724517808</v>
      </c>
      <c r="F8" s="478">
        <f t="shared" si="2"/>
        <v>0.7500000000000001</v>
      </c>
    </row>
    <row r="9" spans="2:6" ht="12.75">
      <c r="B9" s="484">
        <f t="shared" si="3"/>
        <v>0.8000000000000002</v>
      </c>
      <c r="C9" s="485">
        <f t="shared" si="0"/>
        <v>-0.22314355131420957</v>
      </c>
      <c r="E9" s="486">
        <f t="shared" si="1"/>
        <v>-0.22314355131420957</v>
      </c>
      <c r="F9" s="487">
        <f t="shared" si="2"/>
        <v>0.8000000000000002</v>
      </c>
    </row>
    <row r="10" spans="2:6" ht="12.75">
      <c r="B10" s="479">
        <f t="shared" si="3"/>
        <v>0.8500000000000002</v>
      </c>
      <c r="C10" s="477">
        <f t="shared" si="0"/>
        <v>-0.1625189294977747</v>
      </c>
      <c r="E10" s="480">
        <f t="shared" si="1"/>
        <v>-0.1625189294977747</v>
      </c>
      <c r="F10" s="478">
        <f t="shared" si="2"/>
        <v>0.8500000000000002</v>
      </c>
    </row>
    <row r="11" spans="2:6" ht="12.75">
      <c r="B11" s="479">
        <f t="shared" si="3"/>
        <v>0.9000000000000002</v>
      </c>
      <c r="C11" s="477">
        <f t="shared" si="0"/>
        <v>-0.10536051565782603</v>
      </c>
      <c r="E11" s="480">
        <f t="shared" si="1"/>
        <v>-0.10536051565782603</v>
      </c>
      <c r="F11" s="478">
        <f t="shared" si="2"/>
        <v>0.9000000000000002</v>
      </c>
    </row>
    <row r="12" spans="2:6" ht="12.75">
      <c r="B12" s="479">
        <f t="shared" si="3"/>
        <v>0.9500000000000003</v>
      </c>
      <c r="C12" s="477">
        <f t="shared" si="0"/>
        <v>-0.05129329438755023</v>
      </c>
      <c r="E12" s="480">
        <f t="shared" si="1"/>
        <v>-0.05129329438755023</v>
      </c>
      <c r="F12" s="478">
        <f t="shared" si="2"/>
        <v>0.9500000000000003</v>
      </c>
    </row>
    <row r="13" spans="2:6" ht="12.75">
      <c r="B13" s="488">
        <f t="shared" si="3"/>
        <v>1.0000000000000002</v>
      </c>
      <c r="C13" s="489">
        <f t="shared" si="0"/>
        <v>2.2204460492503128E-16</v>
      </c>
      <c r="D13" s="414"/>
      <c r="E13" s="494">
        <f t="shared" si="1"/>
        <v>2.2204460492503128E-16</v>
      </c>
      <c r="F13" s="495">
        <f t="shared" si="2"/>
        <v>1.0000000000000002</v>
      </c>
    </row>
    <row r="14" spans="2:6" ht="12.75">
      <c r="B14" s="479">
        <f t="shared" si="3"/>
        <v>1.0500000000000003</v>
      </c>
      <c r="C14" s="477">
        <f t="shared" si="0"/>
        <v>0.04879016416943226</v>
      </c>
      <c r="E14" s="480">
        <f t="shared" si="1"/>
        <v>0.04879016416943226</v>
      </c>
      <c r="F14" s="478">
        <f t="shared" si="2"/>
        <v>1.0500000000000003</v>
      </c>
    </row>
    <row r="15" spans="2:6" ht="12.75">
      <c r="B15" s="479">
        <f t="shared" si="3"/>
        <v>1.1000000000000003</v>
      </c>
      <c r="C15" s="477">
        <f t="shared" si="0"/>
        <v>0.09531017980432514</v>
      </c>
      <c r="E15" s="480">
        <f t="shared" si="1"/>
        <v>0.09531017980432514</v>
      </c>
      <c r="F15" s="478">
        <f t="shared" si="2"/>
        <v>1.1000000000000003</v>
      </c>
    </row>
    <row r="16" spans="2:6" ht="12.75">
      <c r="B16" s="479">
        <f t="shared" si="3"/>
        <v>1.1500000000000004</v>
      </c>
      <c r="C16" s="477">
        <f t="shared" si="0"/>
        <v>0.13976194237515902</v>
      </c>
      <c r="E16" s="480">
        <f t="shared" si="1"/>
        <v>0.13976194237515902</v>
      </c>
      <c r="F16" s="478">
        <f t="shared" si="2"/>
        <v>1.1500000000000004</v>
      </c>
    </row>
    <row r="17" spans="2:6" ht="12.75">
      <c r="B17" s="479">
        <f t="shared" si="3"/>
        <v>1.2000000000000004</v>
      </c>
      <c r="C17" s="477">
        <f t="shared" si="0"/>
        <v>0.18232155679395495</v>
      </c>
      <c r="E17" s="480">
        <f t="shared" si="1"/>
        <v>0.18232155679395495</v>
      </c>
      <c r="F17" s="478">
        <f t="shared" si="2"/>
        <v>1.2000000000000004</v>
      </c>
    </row>
    <row r="18" spans="2:6" ht="12.75">
      <c r="B18" s="490">
        <f t="shared" si="3"/>
        <v>1.2500000000000004</v>
      </c>
      <c r="C18" s="491">
        <f t="shared" si="0"/>
        <v>0.2231435513142101</v>
      </c>
      <c r="E18" s="492">
        <f t="shared" si="1"/>
        <v>0.2231435513142101</v>
      </c>
      <c r="F18" s="493">
        <f t="shared" si="2"/>
        <v>1.2500000000000004</v>
      </c>
    </row>
    <row r="19" spans="2:6" ht="12.75">
      <c r="B19" s="479">
        <f t="shared" si="3"/>
        <v>1.3000000000000005</v>
      </c>
      <c r="C19" s="477">
        <f t="shared" si="0"/>
        <v>0.26236426446749145</v>
      </c>
      <c r="E19" s="480">
        <f t="shared" si="1"/>
        <v>0.26236426446749145</v>
      </c>
      <c r="F19" s="478">
        <f t="shared" si="2"/>
        <v>1.3000000000000005</v>
      </c>
    </row>
    <row r="20" spans="2:6" ht="12.75">
      <c r="B20" s="479">
        <f t="shared" si="3"/>
        <v>1.3500000000000005</v>
      </c>
      <c r="C20" s="477">
        <f t="shared" si="0"/>
        <v>0.3001045924503385</v>
      </c>
      <c r="E20" s="480">
        <f t="shared" si="1"/>
        <v>0.3001045924503385</v>
      </c>
      <c r="F20" s="478">
        <f t="shared" si="2"/>
        <v>1.3500000000000005</v>
      </c>
    </row>
    <row r="22" spans="2:6" ht="29.25" customHeight="1">
      <c r="B22" s="496" t="s">
        <v>314</v>
      </c>
      <c r="C22" s="497" t="s">
        <v>312</v>
      </c>
      <c r="D22" s="497" t="s">
        <v>324</v>
      </c>
      <c r="E22" s="498" t="s">
        <v>312</v>
      </c>
      <c r="F22" s="499" t="s">
        <v>314</v>
      </c>
    </row>
    <row r="23" spans="2:6" ht="16.5" customHeight="1">
      <c r="B23" s="501">
        <v>1.92</v>
      </c>
      <c r="C23" s="502">
        <f t="shared" si="0"/>
        <v>0.6523251860396901</v>
      </c>
      <c r="D23" s="503">
        <f>C23/2</f>
        <v>0.32616259301984507</v>
      </c>
      <c r="E23" s="504">
        <f>D23</f>
        <v>0.32616259301984507</v>
      </c>
      <c r="F23" s="505">
        <f>EXP(E23)</f>
        <v>1.3856406460551018</v>
      </c>
    </row>
    <row r="25" spans="2:6" ht="28.5" customHeight="1">
      <c r="B25" s="496" t="s">
        <v>314</v>
      </c>
      <c r="C25" s="497" t="s">
        <v>312</v>
      </c>
      <c r="D25" s="497" t="s">
        <v>325</v>
      </c>
      <c r="E25" s="497" t="s">
        <v>312</v>
      </c>
      <c r="F25" s="500" t="s">
        <v>314</v>
      </c>
    </row>
    <row r="26" spans="2:6" ht="15.75" customHeight="1">
      <c r="B26" s="501">
        <f>B23</f>
        <v>1.92</v>
      </c>
      <c r="C26" s="502">
        <f>LN(B26)</f>
        <v>0.6523251860396901</v>
      </c>
      <c r="D26" s="503">
        <f>C26/3</f>
        <v>0.21744172867989672</v>
      </c>
      <c r="E26" s="504">
        <f>D26</f>
        <v>0.21744172867989672</v>
      </c>
      <c r="F26" s="505">
        <f>EXP(E26)</f>
        <v>1.2428930023815434</v>
      </c>
    </row>
    <row r="28" spans="2:6" ht="30.75" customHeight="1">
      <c r="B28" s="496" t="s">
        <v>314</v>
      </c>
      <c r="C28" s="497" t="s">
        <v>312</v>
      </c>
      <c r="D28" s="497" t="s">
        <v>326</v>
      </c>
      <c r="E28" s="497" t="s">
        <v>312</v>
      </c>
      <c r="F28" s="500" t="s">
        <v>314</v>
      </c>
    </row>
    <row r="29" spans="2:6" ht="16.5" customHeight="1">
      <c r="B29" s="501">
        <f>B23</f>
        <v>1.92</v>
      </c>
      <c r="C29" s="502">
        <f>LN(B29)</f>
        <v>0.6523251860396901</v>
      </c>
      <c r="D29" s="503">
        <f>C29/4</f>
        <v>0.16308129650992254</v>
      </c>
      <c r="E29" s="504">
        <f>D29</f>
        <v>0.16308129650992254</v>
      </c>
      <c r="F29" s="505">
        <f>EXP(E29)</f>
        <v>1.1771323825530848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2012-10-16T08:53:14Z</cp:lastPrinted>
  <dcterms:created xsi:type="dcterms:W3CDTF">2009-05-28T14:19:22Z</dcterms:created>
  <dcterms:modified xsi:type="dcterms:W3CDTF">2020-03-28T12:25:00Z</dcterms:modified>
  <cp:category/>
  <cp:version/>
  <cp:contentType/>
  <cp:contentStatus/>
</cp:coreProperties>
</file>