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955" activeTab="0"/>
  </bookViews>
  <sheets>
    <sheet name="Incid Acumul" sheetId="1" r:id="rId1"/>
    <sheet name="NNT por HR" sheetId="2" r:id="rId2"/>
    <sheet name="Tamaño por RR" sheetId="3" r:id="rId3"/>
  </sheets>
  <definedNames/>
  <calcPr fullCalcOnLoad="1"/>
</workbook>
</file>

<file path=xl/sharedStrings.xml><?xml version="1.0" encoding="utf-8"?>
<sst xmlns="http://schemas.openxmlformats.org/spreadsheetml/2006/main" count="310" uniqueCount="242">
  <si>
    <t>Límite inferior del IC</t>
  </si>
  <si>
    <t>Límite superior del IC</t>
  </si>
  <si>
    <t>Sin eventos</t>
  </si>
  <si>
    <t>Con eventos</t>
  </si>
  <si>
    <t>Nº con evento</t>
  </si>
  <si>
    <t>RR</t>
  </si>
  <si>
    <t>Z α/2 (0,05)</t>
  </si>
  <si>
    <t>pM = proporción "media" de los eventos = nº total eventos / nº suma de ambos grupos; qM= complementario</t>
  </si>
  <si>
    <t>Los límites del intervalos de confianza son los exponentes neperianos o antilogaritmos de la ecuación [ ln RR +- Z α/2 x EE (ln RR) ]</t>
  </si>
  <si>
    <t>C= 2(n+z^2)</t>
  </si>
  <si>
    <t>IC = (A+-B)/C</t>
  </si>
  <si>
    <t>A= 2*eventos + z^2</t>
  </si>
  <si>
    <t>p (proporción) = eventos / n</t>
  </si>
  <si>
    <t>Operar</t>
  </si>
  <si>
    <t>Primero se procede haciendo los IC de ambas proporciones por el método de Wilson, y después se aplica: IC = RAR - Raíz [(p1-Ls1)^2 + (Li2-p2)^2]  hasta RAR + Raíz [(p2-Ls2)^2 + (Li1-p1)^2]</t>
  </si>
  <si>
    <t xml:space="preserve">Mét. Newcombe, 1988 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</si>
  <si>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</si>
  <si>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</si>
  <si>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</si>
  <si>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</si>
  <si>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probabliidad o riesgo de cometer un error β =&gt; probabilidad de no detectar una diferencia que sí exista.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</si>
  <si>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</si>
  <si>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</si>
  <si>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</si>
  <si>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</si>
  <si>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</si>
  <si>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</si>
  <si>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</si>
  <si>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</si>
  <si>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</si>
  <si>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</si>
  <si>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</si>
  <si>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Estimación puntual de la proporción</t>
  </si>
  <si>
    <t>Z α/2 = Dif Proporc / EE (Difer Proporc)</t>
  </si>
  <si>
    <t>Dif Proporc de ambos grupos =  RAR</t>
  </si>
  <si>
    <t xml:space="preserve">EE (Dif Proporc) = Raíz[ pm(1-pm)/n1] + [ pm(1-pm)/n2] = 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</si>
  <si>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</si>
  <si>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</si>
  <si>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Cálculo del intervalo de confianza (IC) cada una de las dos proporciones (Riesgo absoluto de la intervención y Riesgo absoluto del control)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</si>
  <si>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</si>
  <si>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</si>
  <si>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</si>
  <si>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</si>
  <si>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</si>
  <si>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</si>
  <si>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</si>
  <si>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</si>
  <si>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</si>
  <si>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</si>
  <si>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</si>
  <si>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Chi cuadrado de Pearson (un ejemplo de variable cualitativa)</t>
  </si>
  <si>
    <t>Es &lt; 0 =&gt;Acepto Ho =&gt; Homogeneidad o independencia (o tratamiento no eficaz)</t>
  </si>
  <si>
    <t>Es &gt; 0 =&gt;Rechazo Ho =&gt; Heterogenicidad o dependencia (o tratamiento eficaz)</t>
  </si>
  <si>
    <t>χ² cal= Sumat (observado i - esperado i)^2 / esperado i)</t>
  </si>
  <si>
    <t>Permanecerán sanos sin tomar el fármaco</t>
  </si>
  <si>
    <t>Enfermarán incluso tomando el fármaco</t>
  </si>
  <si>
    <t>Z α/2 = Dif Proporc / EE Dif proporc</t>
  </si>
  <si>
    <t>n (cada grupo) =</t>
  </si>
  <si>
    <t>2n (total) =</t>
  </si>
  <si>
    <t xml:space="preserve">Siguendo en mismo razonamiento que antes: </t>
  </si>
  <si>
    <t>qA</t>
  </si>
  <si>
    <t>qB</t>
  </si>
  <si>
    <t>qM</t>
  </si>
  <si>
    <t>Para un error alfa</t>
  </si>
  <si>
    <t>=&gt; z α/2 =</t>
  </si>
  <si>
    <t>Para un error beta</t>
  </si>
  <si>
    <t>=&gt; zβ =</t>
  </si>
  <si>
    <t>RRR</t>
  </si>
  <si>
    <t xml:space="preserve">NNT = 1 / RAR = </t>
  </si>
  <si>
    <t>---------------------------------------------&gt;</t>
  </si>
  <si>
    <t>RAR (IC 95%)</t>
  </si>
  <si>
    <t>NNT (IC 95%)</t>
  </si>
  <si>
    <t>α = probab de que la diferencia detectada entre ambos sea debida al azar, en caso de que no exista (error alfa)</t>
  </si>
  <si>
    <t>(</t>
  </si>
  <si>
    <t>)</t>
  </si>
  <si>
    <t>-</t>
  </si>
  <si>
    <t>%</t>
  </si>
  <si>
    <t>RR (IC 95%)</t>
  </si>
  <si>
    <t>RAR (IC95%)</t>
  </si>
  <si>
    <t>HR (IC 95%)</t>
  </si>
  <si>
    <t>% Eventos interv = complementario:</t>
  </si>
  <si>
    <t>NNT</t>
  </si>
  <si>
    <t>/</t>
  </si>
  <si>
    <t xml:space="preserve">en </t>
  </si>
  <si>
    <t>…….</t>
  </si>
  <si>
    <t>años</t>
  </si>
  <si>
    <t>RAR</t>
  </si>
  <si>
    <t>potencia</t>
  </si>
  <si>
    <t>Potencia</t>
  </si>
  <si>
    <t>Permanecerán sanos por tomar el fármaco</t>
  </si>
  <si>
    <t>Enfermarán por tomar el fármaco</t>
  </si>
  <si>
    <t>Enfermarán incluso sin tomar el fármaco</t>
  </si>
  <si>
    <t>APLICAR SÓLO SI EL NNT Y SUS IC SON POSITIVOS</t>
  </si>
  <si>
    <t>====&gt;  NNT</t>
  </si>
  <si>
    <t>APLICAR SÓLO SI EL NNT Y SUS IC SON NEGATIVOS</t>
  </si>
  <si>
    <t>====&gt;  NND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</si>
  <si>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</si>
  <si>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</si>
  <si>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</si>
  <si>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</si>
  <si>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</si>
  <si>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>Cálculo del IC del RAR y del NNT</t>
  </si>
  <si>
    <t xml:space="preserve"> </t>
  </si>
  <si>
    <t>Nº event Interv (%)</t>
  </si>
  <si>
    <t>Nº event Control (%)</t>
  </si>
  <si>
    <t>% RA interv</t>
  </si>
  <si>
    <t>% RA control</t>
  </si>
  <si>
    <t>0,90 (0,78-1,04)</t>
  </si>
  <si>
    <t>VARIABLES SECUNDARIAS</t>
  </si>
  <si>
    <t>Muerte por cualquier causa</t>
  </si>
  <si>
    <t>Muerte por causa CV</t>
  </si>
  <si>
    <t>1,35 (1,04-1,76)</t>
  </si>
  <si>
    <t xml:space="preserve">IAM no fatal </t>
  </si>
  <si>
    <t>0,76 (0,62-0,92)</t>
  </si>
  <si>
    <t>ACV no fatal</t>
  </si>
  <si>
    <t>1,06 (0,75-1,50)</t>
  </si>
  <si>
    <t>Insuf Card Congest fatal y no fatal</t>
  </si>
  <si>
    <t>1,18 (0,93-1,49)</t>
  </si>
  <si>
    <t>[Mort CV o IAM o ACV]</t>
  </si>
  <si>
    <t>1,22 (1,01-1,46)</t>
  </si>
  <si>
    <t>n = 5.128</t>
  </si>
  <si>
    <t>n = 5.123</t>
  </si>
  <si>
    <t>Estudio ACCORD (10y DM2), Seguimiento 3,5 años</t>
  </si>
  <si>
    <t>Accidente conduciendo vehículos</t>
  </si>
  <si>
    <t>Retención de líquidos</t>
  </si>
  <si>
    <t>538/5128 (10,49%)</t>
  </si>
  <si>
    <t>179/5123 (3,49%)</t>
  </si>
  <si>
    <t>830/5128 (16,19%)</t>
  </si>
  <si>
    <t>261/5123 (5,09%)</t>
  </si>
  <si>
    <t>9/5033 (0,18%)</t>
  </si>
  <si>
    <t>14/5036 (0,28%)</t>
  </si>
  <si>
    <t>113/5128 (2,2%)</t>
  </si>
  <si>
    <t>82/5123 (1,6%)</t>
  </si>
  <si>
    <t>EFECTOS ADVERSOS DESPUÉS DE LA ALEATORIZACIÓN</t>
  </si>
  <si>
    <t>Ganan &gt;10 Kg peso desde el inicio</t>
  </si>
  <si>
    <t>Hipoglucemia que requiere asist. médica</t>
  </si>
  <si>
    <t>Hipoglucemia que requiere alguna asist.</t>
  </si>
  <si>
    <t>Algún evento grave no por hipoglucemia</t>
  </si>
  <si>
    <t>VARIABLES INTERMEDIAS DE LABORATORIO</t>
  </si>
  <si>
    <t>GPT &gt; 3 LSN</t>
  </si>
  <si>
    <t>51/5065 (1,01%)</t>
  </si>
  <si>
    <t>77/5061 (1,52%)</t>
  </si>
  <si>
    <t>Paciente de 62 años (DE 7) con DM2 10 años establecida y con enfermedad CV o al menos otro FRCV adicional.</t>
  </si>
  <si>
    <t>93,5 +- 18,7</t>
  </si>
  <si>
    <t>93,6 +- 18,7</t>
  </si>
  <si>
    <t>Peso Kg a los 3 años</t>
  </si>
  <si>
    <t>Peso Kg en el inicio</t>
  </si>
  <si>
    <t>VARIABLE PRIMARIA</t>
  </si>
  <si>
    <t>Hb1Ac en el inicio; Mediana</t>
  </si>
  <si>
    <t>Hb1Ac a los 3,5 años; Mediana (IQR)</t>
  </si>
  <si>
    <t>6,4% (6,1%-7,0)</t>
  </si>
  <si>
    <t>7,5% (7,1%-8,0%)</t>
  </si>
  <si>
    <t>% eventos / año; Cont Intensivo</t>
  </si>
  <si>
    <t>pM (=proporción Media)</t>
  </si>
  <si>
    <t>Según estos cálculos ¿cuándo debería pararse el estudio?</t>
  </si>
  <si>
    <t>Suma de los eventos</t>
  </si>
  <si>
    <t>Significación estadística = 5%</t>
  </si>
  <si>
    <t>Si potencia estadística = 89% =&gt; error beta = 100% - 89% = 11%</t>
  </si>
  <si>
    <r>
      <t>S</t>
    </r>
    <r>
      <rPr>
        <vertAlign val="subscript"/>
        <sz val="10"/>
        <rFont val="Calibri"/>
        <family val="2"/>
      </rPr>
      <t>control</t>
    </r>
    <r>
      <rPr>
        <sz val="10"/>
        <rFont val="Calibri"/>
        <family val="2"/>
      </rPr>
      <t>=</t>
    </r>
  </si>
  <si>
    <r>
      <t>S</t>
    </r>
    <r>
      <rPr>
        <vertAlign val="subscript"/>
        <sz val="10"/>
        <rFont val="Calibri"/>
        <family val="2"/>
      </rPr>
      <t>control</t>
    </r>
    <r>
      <rPr>
        <vertAlign val="superscript"/>
        <sz val="10"/>
        <rFont val="Calibri"/>
        <family val="2"/>
      </rPr>
      <t>HR</t>
    </r>
  </si>
  <si>
    <r>
      <t xml:space="preserve">RAR =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>interv</t>
    </r>
    <r>
      <rPr>
        <sz val="10"/>
        <rFont val="Calibri"/>
        <family val="2"/>
      </rPr>
      <t xml:space="preserve"> -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 xml:space="preserve">control </t>
    </r>
    <r>
      <rPr>
        <sz val="10"/>
        <rFont val="Calibri"/>
        <family val="2"/>
      </rPr>
      <t>=</t>
    </r>
  </si>
  <si>
    <r>
      <t>p</t>
    </r>
    <r>
      <rPr>
        <sz val="10"/>
        <color indexed="12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</si>
  <si>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color indexed="12"/>
        <rFont val="Calibri"/>
        <family val="2"/>
      </rPr>
      <t>p</t>
    </r>
    <r>
      <rPr>
        <sz val="10"/>
        <color indexed="12"/>
        <rFont val="Calibri"/>
        <family val="2"/>
      </rPr>
      <t xml:space="preserve">)] </t>
    </r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</si>
  <si>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</si>
  <si>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</si>
  <si>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Zβ = [Raíz (nd^2 /2</t>
    </r>
    <r>
      <rPr>
        <i/>
        <sz val="10"/>
        <rFont val="Calibri"/>
        <family val="2"/>
      </rPr>
      <t>pM</t>
    </r>
    <r>
      <rPr>
        <sz val="10"/>
        <rFont val="Calibri"/>
        <family val="2"/>
      </rPr>
      <t>*</t>
    </r>
    <r>
      <rPr>
        <i/>
        <sz val="10"/>
        <rFont val="Calibri"/>
        <family val="2"/>
      </rPr>
      <t>qM</t>
    </r>
    <r>
      <rPr>
        <sz val="10"/>
        <rFont val="Calibri"/>
        <family val="2"/>
      </rPr>
      <t>)] - Z α/2 (0,05)</t>
    </r>
  </si>
  <si>
    <r>
      <t>Ls1:</t>
    </r>
    <r>
      <rPr>
        <sz val="10"/>
        <color indexed="12"/>
        <rFont val="Calibri"/>
        <family val="2"/>
      </rPr>
      <t xml:space="preserve"> límite superior del grupo 1; </t>
    </r>
    <r>
      <rPr>
        <b/>
        <sz val="10"/>
        <color indexed="12"/>
        <rFont val="Calibri"/>
        <family val="2"/>
      </rPr>
      <t xml:space="preserve">Li2: </t>
    </r>
    <r>
      <rPr>
        <sz val="10"/>
        <color indexed="12"/>
        <rFont val="Calibri"/>
        <family val="2"/>
      </rPr>
      <t>límite inferior del grupo 2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</si>
  <si>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</si>
  <si>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</si>
  <si>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(en 3,5 años)</t>
  </si>
  <si>
    <t>nº eventos (%); Control intensivo</t>
  </si>
  <si>
    <t>nº eventos (%); Control convencional</t>
  </si>
  <si>
    <t>[Mort CV, IAM o ACV]</t>
  </si>
  <si>
    <t>3541/5053 (70,08%)</t>
  </si>
  <si>
    <t>3378/5054 (66,84%)</t>
  </si>
  <si>
    <t>1399/5036 (27,78%)</t>
  </si>
  <si>
    <t>713/5042 (14,14%)</t>
  </si>
  <si>
    <t>nº eventos (%);  Control intensivo</t>
  </si>
  <si>
    <t>nº eventos (%);  Control convencional</t>
  </si>
  <si>
    <t>% eventos / año Cont Convencional</t>
  </si>
  <si>
    <t>Cálculo por time to event (en 1 año), desde los HR proporcionados por los investigadores</t>
  </si>
  <si>
    <t>Cálculo del tamaño necesario de la muestra</t>
  </si>
  <si>
    <t>DETERMINACIÓN DEL TAMAÑO DE MUESTRA EN CADA GRUPO DE ESTUDIO PARA LA COMPARACIÓN DE DOS PROPORCIONES.</t>
  </si>
  <si>
    <t>La proporción que debe usarse no es ni pA ni pB, sino la llamada porporción media (pM) = pA+pB/2, y así=&gt;</t>
  </si>
  <si>
    <t>CÁLCULO DEL TAMAÑO DE MUESTRA PARA UNA DIFERENCIA DE DOS PROPORCIONES</t>
  </si>
  <si>
    <t>% RA intervención</t>
  </si>
  <si>
    <t>Numerador</t>
  </si>
  <si>
    <t>Denominador</t>
  </si>
  <si>
    <t>352/5065 (6,95%)</t>
  </si>
  <si>
    <t>371/5061 (7,33%)</t>
  </si>
  <si>
    <t>0,95 (0,82-1,09)</t>
  </si>
  <si>
    <t>0,38% (-0,62% a 1,39%)</t>
  </si>
  <si>
    <t>263 (72 a -160)</t>
  </si>
  <si>
    <t>Diferencia entre el inicio y el final</t>
  </si>
  <si>
    <t>Control Intensivo</t>
  </si>
  <si>
    <t>Control Convencional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</si>
  <si>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Error alfa</t>
    </r>
    <r>
      <rPr>
        <sz val="10"/>
        <rFont val="Calibri"/>
        <family val="2"/>
      </rPr>
      <t xml:space="preserve">: significación estadística; </t>
    </r>
    <r>
      <rPr>
        <b/>
        <sz val="10"/>
        <rFont val="Calibri"/>
        <family val="2"/>
      </rPr>
      <t>Potencia estadística</t>
    </r>
    <r>
      <rPr>
        <sz val="10"/>
        <rFont val="Calibri"/>
        <family val="2"/>
      </rPr>
      <t xml:space="preserve"> = 1 - Error beta; </t>
    </r>
    <r>
      <rPr>
        <b/>
        <sz val="10"/>
        <rFont val="Calibri"/>
        <family val="2"/>
      </rPr>
      <t>n</t>
    </r>
    <r>
      <rPr>
        <sz val="10"/>
        <rFont val="Calibri"/>
        <family val="2"/>
      </rPr>
      <t>: número de pacientes necesario de cada uno de los grupos</t>
    </r>
  </si>
  <si>
    <t xml:space="preserve">RR = RAi / RAc =&gt; </t>
  </si>
  <si>
    <t>RAi = RR x RAc</t>
  </si>
  <si>
    <t>si se espera un RAc =</t>
  </si>
  <si>
    <t>durante</t>
  </si>
  <si>
    <t xml:space="preserve"> =&gt; que se espera un RAc =</t>
  </si>
  <si>
    <t>y se espera un RR =</t>
  </si>
  <si>
    <t>entonces RAi = RAc x RR =</t>
  </si>
  <si>
    <r>
      <t>n = 2pq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(z</t>
    </r>
    <r>
      <rPr>
        <b/>
        <vertAlign val="subscript"/>
        <sz val="11"/>
        <rFont val="Calibri"/>
        <family val="2"/>
      </rPr>
      <t>α/2</t>
    </r>
    <r>
      <rPr>
        <b/>
        <sz val="11"/>
        <rFont val="Calibri"/>
        <family val="2"/>
      </rPr>
      <t xml:space="preserve"> + z</t>
    </r>
    <r>
      <rPr>
        <b/>
        <vertAlign val="subscript"/>
        <sz val="11"/>
        <rFont val="Calibri"/>
        <family val="2"/>
      </rPr>
      <t>β</t>
    </r>
    <r>
      <rPr>
        <b/>
        <sz val="11"/>
        <rFont val="Calibri"/>
        <family val="2"/>
      </rPr>
      <t>)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/ (pA - pB)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</t>
    </r>
  </si>
  <si>
    <r>
      <t>n = 2* (pM * qM) * (z α/2 + zβ)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/ (pA - pB)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</t>
    </r>
  </si>
  <si>
    <t>Riesgo esperado en el grupo de control = 2,9%/año * 4,91 años = 14,24%</t>
  </si>
  <si>
    <t>Riesgo esperado en el grupo de intervención = 14,21% * 85% = 12,08%</t>
  </si>
  <si>
    <t>Nº eventos esperados en el grupo control = 14,24% * 5.091</t>
  </si>
  <si>
    <t>Nº eventos esperados en el grupo intervención = 12,10% * 5.091</t>
  </si>
  <si>
    <t xml:space="preserve">Si espero pérdidas del </t>
  </si>
  <si>
    <t>=&gt; Total =</t>
  </si>
  <si>
    <t>por grupo</t>
  </si>
  <si>
    <t>Años = 3,5 + 1,41 = 4,91 años</t>
  </si>
  <si>
    <t>Cálculo de RAR y NNT a partir del HR y el % RA en el grupo control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</si>
  <si>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HR</t>
    </r>
    <r>
      <rPr>
        <sz val="10"/>
        <rFont val="Calibri"/>
        <family val="2"/>
      </rPr>
      <t xml:space="preserve">: Hazard Ratio;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: Supervivencia (= 100% - %RA);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</si>
  <si>
    <r>
      <t>Log</t>
    </r>
    <r>
      <rPr>
        <vertAlign val="subscript"/>
        <sz val="10"/>
        <rFont val="Calibri"/>
        <family val="2"/>
      </rPr>
      <t>Sc</t>
    </r>
    <r>
      <rPr>
        <sz val="10"/>
        <rFont val="Calibri"/>
        <family val="2"/>
      </rPr>
      <t xml:space="preserve"> Si = HR</t>
    </r>
  </si>
  <si>
    <t>En excel procádase así: HR = LOG(Si;Sc)</t>
  </si>
  <si>
    <t>% RA control =</t>
  </si>
  <si>
    <t>100% - % RA control =</t>
  </si>
  <si>
    <r>
      <t>Si = Sc</t>
    </r>
    <r>
      <rPr>
        <vertAlign val="superscript"/>
        <sz val="10"/>
        <rFont val="Calibri"/>
        <family val="2"/>
      </rPr>
      <t>HR</t>
    </r>
  </si>
  <si>
    <r>
      <t>1-RAi = (1-Rac)</t>
    </r>
    <r>
      <rPr>
        <vertAlign val="superscript"/>
        <sz val="10"/>
        <rFont val="Calibri"/>
        <family val="2"/>
      </rPr>
      <t>HR</t>
    </r>
  </si>
  <si>
    <t xml:space="preserve">RAi= 1- (1-RAc)^HR </t>
  </si>
  <si>
    <t>Estimación puntual</t>
  </si>
  <si>
    <t>Límite inferior del IC 95%</t>
  </si>
  <si>
    <t>Límite superior del IC 95%</t>
  </si>
  <si>
    <r>
      <t>Sc =  Si</t>
    </r>
    <r>
      <rPr>
        <vertAlign val="superscript"/>
        <sz val="10"/>
        <rFont val="Calibri"/>
        <family val="2"/>
      </rPr>
      <t>1/HR</t>
    </r>
    <r>
      <rPr>
        <sz val="10"/>
        <rFont val="Calibri"/>
        <family val="2"/>
      </rPr>
      <t xml:space="preserve"> </t>
    </r>
  </si>
  <si>
    <t>En excell procédase así: Sc = Potencia(Si;1/HR)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</si>
  <si>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</si>
  <si>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</si>
  <si>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</si>
  <si>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</si>
  <si>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1-α = probabilidad de dar por buena una diferencia que existe.</t>
  </si>
  <si>
    <t>CÁLCULOS EN incidencias acumuladas</t>
  </si>
  <si>
    <t>Fármaco intervención</t>
  </si>
  <si>
    <t>Fármaco control</t>
  </si>
  <si>
    <r>
      <t xml:space="preserve">Valor de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 para la diferencia</t>
    </r>
  </si>
  <si>
    <r>
      <rPr>
        <b/>
        <sz val="12"/>
        <color indexed="60"/>
        <rFont val="Calibri"/>
        <family val="2"/>
      </rPr>
      <t xml:space="preserve">Tabla 1: </t>
    </r>
    <r>
      <rPr>
        <b/>
        <sz val="12"/>
        <rFont val="Calibri"/>
        <family val="2"/>
      </rPr>
      <t>Paciente de 62 años (DE 7) con DM2 10 años establecida y con enfermedad CV o al menos otro FRCV adicional.</t>
    </r>
  </si>
  <si>
    <r>
      <rPr>
        <b/>
        <sz val="12"/>
        <color indexed="60"/>
        <rFont val="Calibri"/>
        <family val="2"/>
      </rPr>
      <t>Tabla 2:</t>
    </r>
    <r>
      <rPr>
        <b/>
        <sz val="12"/>
        <rFont val="Calibri"/>
        <family val="2"/>
      </rPr>
      <t xml:space="preserve"> Porcentaje de eventos adversos promediados en 24 semanas, estudio ACCORD.</t>
    </r>
  </si>
  <si>
    <r>
      <rPr>
        <b/>
        <sz val="12"/>
        <color indexed="60"/>
        <rFont val="Calibri"/>
        <family val="2"/>
      </rPr>
      <t>Tabla 3:</t>
    </r>
    <r>
      <rPr>
        <b/>
        <sz val="12"/>
        <rFont val="Calibri"/>
        <family val="2"/>
      </rPr>
      <t xml:space="preserve"> Más variables intermedias, estudio ACCORD.</t>
    </r>
  </si>
  <si>
    <t>Cálculo por incidencias acumuladas de RR, RAR, NNT con sus IC 95%, potencia estadística y valor de p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</si>
  <si>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 R</t>
    </r>
    <r>
      <rPr>
        <b/>
        <sz val="10"/>
        <rFont val="Calibri"/>
        <family val="2"/>
      </rPr>
      <t>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  <r>
      <rPr>
        <sz val="10"/>
        <color indexed="12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</si>
</sst>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0.0"/>
    <numFmt numFmtId="173" formatCode="_-* #,##0.0\ _€_-;\-* #,##0.0\ _€_-;_-* &quot;-&quot;?\ _€_-;_-@_-"/>
    <numFmt numFmtId="174" formatCode="0.0000%"/>
    <numFmt numFmtId="175" formatCode="0.00000%"/>
    <numFmt numFmtId="176" formatCode="_-* #,##0\ _€_-;\-* #,##0\ _€_-;_-* &quot;-&quot;???\ _€_-;_-@_-"/>
    <numFmt numFmtId="177" formatCode="_-* #,##0.0000\ _€_-;\-* #,##0.0000\ _€_-;_-* &quot;-&quot;?\ _€_-;_-@_-"/>
    <numFmt numFmtId="178" formatCode="_-* #,##0.00\ _P_t_s_-;\-* #,##0.00\ _P_t_s_-;_-* &quot;-&quot;??\ _P_t_s_-;_-@_-"/>
    <numFmt numFmtId="179" formatCode="_-* #,##0.0000\ _P_t_s_-;\-* #,##0.0000\ _P_t_s_-;_-* &quot;-&quot;??\ _P_t_s_-;_-@_-"/>
    <numFmt numFmtId="180" formatCode="0.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0000"/>
    <numFmt numFmtId="187" formatCode="0.0000000"/>
    <numFmt numFmtId="188" formatCode="0.000000"/>
    <numFmt numFmtId="189" formatCode="0.00000"/>
    <numFmt numFmtId="190" formatCode="0.0000"/>
    <numFmt numFmtId="191" formatCode="0.000000%"/>
    <numFmt numFmtId="192" formatCode="0.0000000%"/>
    <numFmt numFmtId="193" formatCode="0.00000000"/>
    <numFmt numFmtId="194" formatCode="_-* #,##0.0000\ _€_-;\-* #,##0.0000\ _€_-;_-* &quot;-&quot;????\ _€_-;_-@_-"/>
    <numFmt numFmtId="195" formatCode="_-* #,##0.0000000\ _€_-;\-* #,##0.0000000\ _€_-;_-* &quot;-&quot;??\ _€_-;_-@_-"/>
    <numFmt numFmtId="196" formatCode="_-* #,##0.00000000\ _€_-;\-* #,##0.00000000\ _€_-;_-* &quot;-&quot;??\ _€_-;_-@_-"/>
    <numFmt numFmtId="197" formatCode="_-* #,##0\ _€_-;\-* #,##0\ _€_-;_-* &quot;-&quot;?\ _€_-;_-@_-"/>
    <numFmt numFmtId="198" formatCode="_-* #,##0.00000\ _€_-;\-* #,##0.00000\ _€_-;_-* &quot;-&quot;?????\ _€_-;_-@_-"/>
    <numFmt numFmtId="199" formatCode="_-* #,##0.00\ _€_-;\-* #,##0.00\ _€_-;_-* \-??\ _€_-;_-@_-"/>
    <numFmt numFmtId="200" formatCode="_-* #,##0.00\ _€_-;\-* #,##0.00\ _€_-;_-* &quot;-&quot;???\ _€_-;_-@_-"/>
    <numFmt numFmtId="201" formatCode="[$-C0A]dddd\,\ d&quot; de &quot;mmmm&quot; de &quot;yyyy"/>
  </numFmts>
  <fonts count="9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vertAlign val="subscript"/>
      <sz val="10"/>
      <name val="Calibri"/>
      <family val="2"/>
    </font>
    <font>
      <sz val="10"/>
      <color indexed="12"/>
      <name val="Calibri"/>
      <family val="2"/>
    </font>
    <font>
      <b/>
      <sz val="10"/>
      <name val="Calibri"/>
      <family val="2"/>
    </font>
    <font>
      <vertAlign val="superscript"/>
      <sz val="10"/>
      <name val="Calibri"/>
      <family val="2"/>
    </font>
    <font>
      <b/>
      <i/>
      <sz val="9"/>
      <name val="Calibri"/>
      <family val="2"/>
    </font>
    <font>
      <b/>
      <sz val="10"/>
      <color indexed="12"/>
      <name val="Calibri"/>
      <family val="2"/>
    </font>
    <font>
      <i/>
      <sz val="10"/>
      <color indexed="12"/>
      <name val="Calibri"/>
      <family val="2"/>
    </font>
    <font>
      <b/>
      <i/>
      <sz val="10"/>
      <name val="Calibri"/>
      <family val="2"/>
    </font>
    <font>
      <sz val="12"/>
      <color indexed="12"/>
      <name val="Trebuchet MS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b/>
      <vertAlign val="subscript"/>
      <sz val="11"/>
      <name val="Calibri"/>
      <family val="2"/>
    </font>
    <font>
      <b/>
      <sz val="12"/>
      <name val="Calibri"/>
      <family val="2"/>
    </font>
    <font>
      <b/>
      <sz val="12"/>
      <color indexed="60"/>
      <name val="Calibri"/>
      <family val="2"/>
    </font>
    <font>
      <sz val="11"/>
      <color indexed="8"/>
      <name val="Courier"/>
      <family val="2"/>
    </font>
    <font>
      <sz val="11"/>
      <color indexed="9"/>
      <name val="Courier"/>
      <family val="2"/>
    </font>
    <font>
      <sz val="11"/>
      <color indexed="17"/>
      <name val="Courier"/>
      <family val="2"/>
    </font>
    <font>
      <b/>
      <sz val="11"/>
      <color indexed="52"/>
      <name val="Courier"/>
      <family val="2"/>
    </font>
    <font>
      <b/>
      <sz val="11"/>
      <color indexed="9"/>
      <name val="Courier"/>
      <family val="2"/>
    </font>
    <font>
      <sz val="11"/>
      <color indexed="52"/>
      <name val="Courier"/>
      <family val="2"/>
    </font>
    <font>
      <b/>
      <sz val="15"/>
      <color indexed="56"/>
      <name val="Courier"/>
      <family val="2"/>
    </font>
    <font>
      <b/>
      <sz val="11"/>
      <color indexed="56"/>
      <name val="Courier"/>
      <family val="2"/>
    </font>
    <font>
      <sz val="11"/>
      <color indexed="62"/>
      <name val="Courier"/>
      <family val="2"/>
    </font>
    <font>
      <sz val="11"/>
      <color indexed="20"/>
      <name val="Courier"/>
      <family val="2"/>
    </font>
    <font>
      <sz val="11"/>
      <color indexed="60"/>
      <name val="Courier"/>
      <family val="2"/>
    </font>
    <font>
      <b/>
      <sz val="11"/>
      <color indexed="63"/>
      <name val="Courier"/>
      <family val="2"/>
    </font>
    <font>
      <sz val="11"/>
      <color indexed="10"/>
      <name val="Courier"/>
      <family val="2"/>
    </font>
    <font>
      <i/>
      <sz val="11"/>
      <color indexed="23"/>
      <name val="Courier"/>
      <family val="2"/>
    </font>
    <font>
      <b/>
      <sz val="18"/>
      <color indexed="56"/>
      <name val="Cambria"/>
      <family val="2"/>
    </font>
    <font>
      <b/>
      <sz val="13"/>
      <color indexed="56"/>
      <name val="Courier"/>
      <family val="2"/>
    </font>
    <font>
      <b/>
      <sz val="11"/>
      <color indexed="8"/>
      <name val="Courier"/>
      <family val="2"/>
    </font>
    <font>
      <sz val="10"/>
      <color indexed="52"/>
      <name val="Calibri"/>
      <family val="2"/>
    </font>
    <font>
      <b/>
      <sz val="9"/>
      <name val="Calibri"/>
      <family val="2"/>
    </font>
    <font>
      <sz val="8.1"/>
      <color indexed="63"/>
      <name val="Calibri"/>
      <family val="2"/>
    </font>
    <font>
      <sz val="12"/>
      <color indexed="8"/>
      <name val="Calibri"/>
      <family val="2"/>
    </font>
    <font>
      <b/>
      <sz val="10"/>
      <color indexed="14"/>
      <name val="Calibri"/>
      <family val="2"/>
    </font>
    <font>
      <sz val="10"/>
      <color indexed="14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0"/>
      <color indexed="57"/>
      <name val="Calibri"/>
      <family val="2"/>
    </font>
    <font>
      <sz val="10"/>
      <color indexed="20"/>
      <name val="Calibri"/>
      <family val="2"/>
    </font>
    <font>
      <sz val="10"/>
      <color indexed="63"/>
      <name val="Calibri"/>
      <family val="2"/>
    </font>
    <font>
      <b/>
      <u val="single"/>
      <sz val="14"/>
      <name val="Calibri"/>
      <family val="2"/>
    </font>
    <font>
      <i/>
      <sz val="10"/>
      <color indexed="20"/>
      <name val="Calibri"/>
      <family val="2"/>
    </font>
    <font>
      <b/>
      <u val="single"/>
      <sz val="12.5"/>
      <name val="Calibri"/>
      <family val="2"/>
    </font>
    <font>
      <b/>
      <i/>
      <sz val="12"/>
      <name val="Calibri"/>
      <family val="2"/>
    </font>
    <font>
      <b/>
      <u val="single"/>
      <sz val="12"/>
      <name val="Calibri"/>
      <family val="2"/>
    </font>
    <font>
      <b/>
      <i/>
      <sz val="10"/>
      <color indexed="12"/>
      <name val="Calibri"/>
      <family val="2"/>
    </font>
    <font>
      <sz val="10"/>
      <color indexed="61"/>
      <name val="Calibri"/>
      <family val="2"/>
    </font>
    <font>
      <sz val="10"/>
      <color indexed="10"/>
      <name val="Calibri"/>
      <family val="2"/>
    </font>
    <font>
      <b/>
      <sz val="8"/>
      <name val="Calibri"/>
      <family val="2"/>
    </font>
    <font>
      <sz val="10"/>
      <color indexed="17"/>
      <name val="Calibri"/>
      <family val="2"/>
    </font>
    <font>
      <sz val="12"/>
      <color indexed="16"/>
      <name val="Calibri"/>
      <family val="2"/>
    </font>
    <font>
      <sz val="12"/>
      <color indexed="12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2"/>
      <color indexed="12"/>
      <name val="Calibri"/>
      <family val="2"/>
    </font>
    <font>
      <sz val="11"/>
      <color indexed="12"/>
      <name val="Calibri"/>
      <family val="2"/>
    </font>
    <font>
      <sz val="14"/>
      <name val="Calibri"/>
      <family val="2"/>
    </font>
    <font>
      <b/>
      <sz val="23"/>
      <name val="Calibri"/>
      <family val="2"/>
    </font>
    <font>
      <sz val="9"/>
      <name val="Calibri"/>
      <family val="2"/>
    </font>
    <font>
      <b/>
      <sz val="10"/>
      <color indexed="63"/>
      <name val="Calibri"/>
      <family val="2"/>
    </font>
    <font>
      <b/>
      <sz val="10"/>
      <color indexed="17"/>
      <name val="Calibri"/>
      <family val="2"/>
    </font>
    <font>
      <b/>
      <sz val="15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theme="1"/>
      <name val="Courier"/>
      <family val="2"/>
    </font>
    <font>
      <sz val="11"/>
      <color theme="0"/>
      <name val="Courier"/>
      <family val="2"/>
    </font>
    <font>
      <sz val="11"/>
      <color rgb="FF006100"/>
      <name val="Courier"/>
      <family val="2"/>
    </font>
    <font>
      <b/>
      <sz val="11"/>
      <color rgb="FFFA7D00"/>
      <name val="Courier"/>
      <family val="2"/>
    </font>
    <font>
      <b/>
      <sz val="11"/>
      <color theme="0"/>
      <name val="Courier"/>
      <family val="2"/>
    </font>
    <font>
      <sz val="11"/>
      <color rgb="FFFA7D00"/>
      <name val="Courier"/>
      <family val="2"/>
    </font>
    <font>
      <b/>
      <sz val="15"/>
      <color theme="3"/>
      <name val="Courier"/>
      <family val="2"/>
    </font>
    <font>
      <b/>
      <sz val="11"/>
      <color theme="3"/>
      <name val="Courier"/>
      <family val="2"/>
    </font>
    <font>
      <sz val="11"/>
      <color rgb="FF3F3F76"/>
      <name val="Courier"/>
      <family val="2"/>
    </font>
    <font>
      <sz val="11"/>
      <color rgb="FF9C0006"/>
      <name val="Courier"/>
      <family val="2"/>
    </font>
    <font>
      <sz val="11"/>
      <color rgb="FF9C6500"/>
      <name val="Courier"/>
      <family val="2"/>
    </font>
    <font>
      <b/>
      <sz val="11"/>
      <color rgb="FF3F3F3F"/>
      <name val="Courier"/>
      <family val="2"/>
    </font>
    <font>
      <sz val="11"/>
      <color rgb="FFFF0000"/>
      <name val="Courier"/>
      <family val="2"/>
    </font>
    <font>
      <i/>
      <sz val="11"/>
      <color rgb="FF7F7F7F"/>
      <name val="Courier"/>
      <family val="2"/>
    </font>
    <font>
      <b/>
      <sz val="18"/>
      <color theme="3"/>
      <name val="Cambria"/>
      <family val="2"/>
    </font>
    <font>
      <b/>
      <sz val="13"/>
      <color theme="3"/>
      <name val="Courier"/>
      <family val="2"/>
    </font>
    <font>
      <b/>
      <sz val="11"/>
      <color theme="1"/>
      <name val="Courier"/>
      <family val="2"/>
    </font>
    <font>
      <sz val="10"/>
      <color rgb="FFFF0000"/>
      <name val="Calibri"/>
      <family val="2"/>
    </font>
    <font>
      <b/>
      <sz val="10"/>
      <color rgb="FF00B05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6" fillId="21" borderId="6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82" fillId="0" borderId="8" applyNumberFormat="0" applyFill="0" applyAlignment="0" applyProtection="0"/>
    <xf numFmtId="0" fontId="91" fillId="0" borderId="9" applyNumberFormat="0" applyFill="0" applyAlignment="0" applyProtection="0"/>
  </cellStyleXfs>
  <cellXfs count="59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49" fontId="5" fillId="0" borderId="10" xfId="0" applyNumberFormat="1" applyFont="1" applyBorder="1" applyAlignment="1">
      <alignment horizontal="right"/>
    </xf>
    <xf numFmtId="10" fontId="7" fillId="0" borderId="0" xfId="55" applyNumberFormat="1" applyFont="1" applyFill="1" applyBorder="1" applyAlignment="1">
      <alignment horizontal="center"/>
    </xf>
    <xf numFmtId="10" fontId="4" fillId="0" borderId="0" xfId="55" applyNumberFormat="1" applyFont="1" applyFill="1" applyBorder="1" applyAlignment="1">
      <alignment horizontal="center" vertical="distributed"/>
    </xf>
    <xf numFmtId="43" fontId="8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3" fontId="4" fillId="0" borderId="0" xfId="49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37" fillId="0" borderId="0" xfId="0" applyFont="1" applyFill="1" applyAlignment="1">
      <alignment/>
    </xf>
    <xf numFmtId="10" fontId="4" fillId="0" borderId="0" xfId="55" applyNumberFormat="1" applyFont="1" applyAlignment="1">
      <alignment/>
    </xf>
    <xf numFmtId="0" fontId="7" fillId="0" borderId="0" xfId="0" applyFont="1" applyFill="1" applyBorder="1" applyAlignment="1">
      <alignment vertical="center" textRotation="90"/>
    </xf>
    <xf numFmtId="0" fontId="4" fillId="0" borderId="0" xfId="0" applyFont="1" applyFill="1" applyBorder="1" applyAlignment="1">
      <alignment horizontal="left"/>
    </xf>
    <xf numFmtId="43" fontId="38" fillId="0" borderId="0" xfId="49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169" fontId="4" fillId="0" borderId="0" xfId="49" applyNumberFormat="1" applyFont="1" applyFill="1" applyBorder="1" applyAlignment="1">
      <alignment horizontal="center"/>
    </xf>
    <xf numFmtId="166" fontId="4" fillId="0" borderId="0" xfId="49" applyNumberFormat="1" applyFont="1" applyFill="1" applyBorder="1" applyAlignment="1">
      <alignment/>
    </xf>
    <xf numFmtId="0" fontId="40" fillId="0" borderId="0" xfId="0" applyFont="1" applyAlignment="1">
      <alignment/>
    </xf>
    <xf numFmtId="177" fontId="4" fillId="0" borderId="0" xfId="0" applyNumberFormat="1" applyFont="1" applyFill="1" applyBorder="1" applyAlignment="1">
      <alignment/>
    </xf>
    <xf numFmtId="0" fontId="5" fillId="0" borderId="11" xfId="0" applyFont="1" applyBorder="1" applyAlignment="1">
      <alignment horizontal="center"/>
    </xf>
    <xf numFmtId="185" fontId="4" fillId="0" borderId="10" xfId="0" applyNumberFormat="1" applyFont="1" applyBorder="1" applyAlignment="1">
      <alignment horizontal="center"/>
    </xf>
    <xf numFmtId="165" fontId="8" fillId="0" borderId="0" xfId="49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0" fontId="4" fillId="0" borderId="0" xfId="55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1" fontId="8" fillId="0" borderId="0" xfId="0" applyNumberFormat="1" applyFont="1" applyFill="1" applyBorder="1" applyAlignment="1">
      <alignment horizontal="center"/>
    </xf>
    <xf numFmtId="10" fontId="8" fillId="0" borderId="0" xfId="55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10" fontId="41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10" fontId="8" fillId="33" borderId="12" xfId="55" applyNumberFormat="1" applyFont="1" applyFill="1" applyBorder="1" applyAlignment="1">
      <alignment horizontal="center"/>
    </xf>
    <xf numFmtId="10" fontId="8" fillId="34" borderId="12" xfId="55" applyNumberFormat="1" applyFont="1" applyFill="1" applyBorder="1" applyAlignment="1">
      <alignment horizontal="center"/>
    </xf>
    <xf numFmtId="10" fontId="8" fillId="35" borderId="12" xfId="55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" fontId="8" fillId="33" borderId="12" xfId="0" applyNumberFormat="1" applyFont="1" applyFill="1" applyBorder="1" applyAlignment="1">
      <alignment horizontal="center"/>
    </xf>
    <xf numFmtId="1" fontId="8" fillId="34" borderId="12" xfId="0" applyNumberFormat="1" applyFont="1" applyFill="1" applyBorder="1" applyAlignment="1">
      <alignment horizontal="center"/>
    </xf>
    <xf numFmtId="1" fontId="8" fillId="35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8" fillId="0" borderId="12" xfId="0" applyFont="1" applyBorder="1" applyAlignment="1">
      <alignment horizontal="right"/>
    </xf>
    <xf numFmtId="49" fontId="43" fillId="0" borderId="12" xfId="49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0" fontId="8" fillId="36" borderId="14" xfId="0" applyFont="1" applyFill="1" applyBorder="1" applyAlignment="1">
      <alignment horizontal="right"/>
    </xf>
    <xf numFmtId="1" fontId="8" fillId="36" borderId="12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8" fillId="37" borderId="12" xfId="0" applyFont="1" applyFill="1" applyBorder="1" applyAlignment="1">
      <alignment horizontal="right"/>
    </xf>
    <xf numFmtId="1" fontId="8" fillId="37" borderId="12" xfId="0" applyNumberFormat="1" applyFont="1" applyFill="1" applyBorder="1" applyAlignment="1">
      <alignment horizontal="center"/>
    </xf>
    <xf numFmtId="0" fontId="8" fillId="38" borderId="12" xfId="0" applyFont="1" applyFill="1" applyBorder="1" applyAlignment="1">
      <alignment horizontal="right"/>
    </xf>
    <xf numFmtId="1" fontId="8" fillId="38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0" fontId="8" fillId="36" borderId="16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1" fontId="8" fillId="34" borderId="17" xfId="0" applyNumberFormat="1" applyFont="1" applyFill="1" applyBorder="1" applyAlignment="1">
      <alignment horizontal="center"/>
    </xf>
    <xf numFmtId="0" fontId="8" fillId="38" borderId="14" xfId="0" applyFont="1" applyFill="1" applyBorder="1" applyAlignment="1">
      <alignment horizontal="right"/>
    </xf>
    <xf numFmtId="2" fontId="4" fillId="0" borderId="0" xfId="0" applyNumberFormat="1" applyFont="1" applyAlignment="1">
      <alignment/>
    </xf>
    <xf numFmtId="43" fontId="44" fillId="0" borderId="0" xfId="49" applyFont="1" applyFill="1" applyBorder="1" applyAlignment="1">
      <alignment/>
    </xf>
    <xf numFmtId="43" fontId="8" fillId="0" borderId="0" xfId="49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2" fontId="4" fillId="39" borderId="16" xfId="0" applyNumberFormat="1" applyFont="1" applyFill="1" applyBorder="1" applyAlignment="1">
      <alignment horizontal="center"/>
    </xf>
    <xf numFmtId="10" fontId="4" fillId="39" borderId="16" xfId="55" applyNumberFormat="1" applyFont="1" applyFill="1" applyBorder="1" applyAlignment="1">
      <alignment horizontal="center"/>
    </xf>
    <xf numFmtId="1" fontId="4" fillId="39" borderId="18" xfId="0" applyNumberFormat="1" applyFont="1" applyFill="1" applyBorder="1" applyAlignment="1">
      <alignment horizontal="center"/>
    </xf>
    <xf numFmtId="10" fontId="4" fillId="39" borderId="0" xfId="0" applyNumberFormat="1" applyFont="1" applyFill="1" applyBorder="1" applyAlignment="1">
      <alignment/>
    </xf>
    <xf numFmtId="2" fontId="4" fillId="39" borderId="0" xfId="0" applyNumberFormat="1" applyFont="1" applyFill="1" applyBorder="1" applyAlignment="1">
      <alignment horizontal="center"/>
    </xf>
    <xf numFmtId="10" fontId="4" fillId="39" borderId="0" xfId="55" applyNumberFormat="1" applyFont="1" applyFill="1" applyBorder="1" applyAlignment="1">
      <alignment horizontal="center"/>
    </xf>
    <xf numFmtId="1" fontId="4" fillId="39" borderId="19" xfId="0" applyNumberFormat="1" applyFont="1" applyFill="1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10" fontId="4" fillId="0" borderId="0" xfId="0" applyNumberFormat="1" applyFont="1" applyAlignment="1">
      <alignment/>
    </xf>
    <xf numFmtId="0" fontId="8" fillId="0" borderId="20" xfId="0" applyFont="1" applyBorder="1" applyAlignment="1">
      <alignment horizontal="center" vertical="distributed"/>
    </xf>
    <xf numFmtId="0" fontId="8" fillId="0" borderId="21" xfId="0" applyFont="1" applyBorder="1" applyAlignment="1">
      <alignment horizontal="center" vertical="distributed"/>
    </xf>
    <xf numFmtId="0" fontId="4" fillId="0" borderId="0" xfId="0" applyFont="1" applyBorder="1" applyAlignment="1">
      <alignment/>
    </xf>
    <xf numFmtId="0" fontId="8" fillId="0" borderId="22" xfId="0" applyFont="1" applyBorder="1" applyAlignment="1">
      <alignment horizontal="center" vertical="distributed"/>
    </xf>
    <xf numFmtId="0" fontId="8" fillId="0" borderId="23" xfId="0" applyFont="1" applyBorder="1" applyAlignment="1">
      <alignment horizontal="center" vertical="distributed"/>
    </xf>
    <xf numFmtId="164" fontId="8" fillId="0" borderId="24" xfId="49" applyNumberFormat="1" applyFont="1" applyBorder="1" applyAlignment="1">
      <alignment horizontal="center" vertical="distributed"/>
    </xf>
    <xf numFmtId="164" fontId="8" fillId="0" borderId="25" xfId="49" applyNumberFormat="1" applyFont="1" applyBorder="1" applyAlignment="1">
      <alignment horizontal="center" vertical="distributed"/>
    </xf>
    <xf numFmtId="10" fontId="4" fillId="0" borderId="0" xfId="55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4" fillId="0" borderId="26" xfId="0" applyFont="1" applyBorder="1" applyAlignment="1">
      <alignment/>
    </xf>
    <xf numFmtId="0" fontId="8" fillId="0" borderId="0" xfId="0" applyFont="1" applyBorder="1" applyAlignment="1">
      <alignment/>
    </xf>
    <xf numFmtId="164" fontId="4" fillId="0" borderId="0" xfId="49" applyNumberFormat="1" applyFont="1" applyAlignment="1">
      <alignment/>
    </xf>
    <xf numFmtId="0" fontId="4" fillId="0" borderId="27" xfId="0" applyFont="1" applyBorder="1" applyAlignment="1">
      <alignment/>
    </xf>
    <xf numFmtId="10" fontId="4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10" fontId="7" fillId="0" borderId="0" xfId="55" applyNumberFormat="1" applyFont="1" applyBorder="1" applyAlignment="1">
      <alignment horizontal="center"/>
    </xf>
    <xf numFmtId="0" fontId="11" fillId="0" borderId="0" xfId="0" applyFont="1" applyFill="1" applyBorder="1" applyAlignment="1">
      <alignment vertical="distributed"/>
    </xf>
    <xf numFmtId="0" fontId="4" fillId="0" borderId="0" xfId="0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18" fontId="4" fillId="0" borderId="0" xfId="49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3" fontId="4" fillId="0" borderId="0" xfId="49" applyFont="1" applyFill="1" applyAlignment="1">
      <alignment horizontal="center"/>
    </xf>
    <xf numFmtId="164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43" fontId="44" fillId="0" borderId="0" xfId="49" applyFont="1" applyFill="1" applyBorder="1" applyAlignment="1">
      <alignment horizontal="center"/>
    </xf>
    <xf numFmtId="43" fontId="4" fillId="0" borderId="0" xfId="49" applyFont="1" applyFill="1" applyAlignment="1">
      <alignment/>
    </xf>
    <xf numFmtId="0" fontId="45" fillId="0" borderId="0" xfId="0" applyFont="1" applyFill="1" applyAlignment="1">
      <alignment/>
    </xf>
    <xf numFmtId="165" fontId="4" fillId="0" borderId="0" xfId="0" applyNumberFormat="1" applyFont="1" applyBorder="1" applyAlignment="1">
      <alignment horizontal="center"/>
    </xf>
    <xf numFmtId="174" fontId="4" fillId="0" borderId="0" xfId="55" applyNumberFormat="1" applyFont="1" applyAlignment="1">
      <alignment/>
    </xf>
    <xf numFmtId="0" fontId="7" fillId="0" borderId="0" xfId="0" applyFont="1" applyBorder="1" applyAlignment="1">
      <alignment horizontal="right"/>
    </xf>
    <xf numFmtId="175" fontId="4" fillId="0" borderId="0" xfId="55" applyNumberFormat="1" applyFont="1" applyAlignment="1">
      <alignment/>
    </xf>
    <xf numFmtId="0" fontId="46" fillId="0" borderId="0" xfId="0" applyFont="1" applyBorder="1" applyAlignment="1">
      <alignment horizontal="right"/>
    </xf>
    <xf numFmtId="0" fontId="46" fillId="0" borderId="0" xfId="0" applyFont="1" applyBorder="1" applyAlignment="1">
      <alignment horizontal="center"/>
    </xf>
    <xf numFmtId="43" fontId="4" fillId="0" borderId="0" xfId="49" applyFont="1" applyFill="1" applyBorder="1" applyAlignment="1">
      <alignment/>
    </xf>
    <xf numFmtId="10" fontId="4" fillId="0" borderId="0" xfId="55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7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10" fontId="4" fillId="0" borderId="0" xfId="55" applyNumberFormat="1" applyFont="1" applyFill="1" applyBorder="1" applyAlignment="1">
      <alignment/>
    </xf>
    <xf numFmtId="43" fontId="8" fillId="0" borderId="29" xfId="49" applyFont="1" applyFill="1" applyBorder="1" applyAlignment="1">
      <alignment horizontal="center" vertical="distributed"/>
    </xf>
    <xf numFmtId="43" fontId="8" fillId="0" borderId="29" xfId="49" applyFont="1" applyBorder="1" applyAlignment="1">
      <alignment horizontal="center" vertical="distributed"/>
    </xf>
    <xf numFmtId="167" fontId="8" fillId="0" borderId="12" xfId="55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right"/>
    </xf>
    <xf numFmtId="43" fontId="46" fillId="0" borderId="0" xfId="0" applyNumberFormat="1" applyFont="1" applyFill="1" applyBorder="1" applyAlignment="1">
      <alignment horizontal="center"/>
    </xf>
    <xf numFmtId="43" fontId="46" fillId="0" borderId="0" xfId="49" applyFont="1" applyFill="1" applyBorder="1" applyAlignment="1">
      <alignment/>
    </xf>
    <xf numFmtId="165" fontId="46" fillId="0" borderId="0" xfId="0" applyNumberFormat="1" applyFont="1" applyFill="1" applyBorder="1" applyAlignment="1">
      <alignment horizontal="right"/>
    </xf>
    <xf numFmtId="43" fontId="46" fillId="0" borderId="0" xfId="49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3" fontId="46" fillId="0" borderId="0" xfId="49" applyFont="1" applyFill="1" applyAlignment="1">
      <alignment horizontal="right"/>
    </xf>
    <xf numFmtId="0" fontId="46" fillId="0" borderId="0" xfId="0" applyFont="1" applyFill="1" applyBorder="1" applyAlignment="1">
      <alignment/>
    </xf>
    <xf numFmtId="43" fontId="4" fillId="0" borderId="0" xfId="0" applyNumberFormat="1" applyFont="1" applyFill="1" applyAlignment="1">
      <alignment/>
    </xf>
    <xf numFmtId="166" fontId="46" fillId="0" borderId="0" xfId="0" applyNumberFormat="1" applyFont="1" applyFill="1" applyBorder="1" applyAlignment="1">
      <alignment/>
    </xf>
    <xf numFmtId="168" fontId="46" fillId="0" borderId="0" xfId="49" applyNumberFormat="1" applyFont="1" applyFill="1" applyBorder="1" applyAlignment="1">
      <alignment horizontal="center"/>
    </xf>
    <xf numFmtId="171" fontId="46" fillId="0" borderId="0" xfId="0" applyNumberFormat="1" applyFont="1" applyFill="1" applyBorder="1" applyAlignment="1">
      <alignment horizontal="left"/>
    </xf>
    <xf numFmtId="171" fontId="4" fillId="0" borderId="0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8" fillId="0" borderId="0" xfId="0" applyFont="1" applyAlignment="1">
      <alignment horizontal="center"/>
    </xf>
    <xf numFmtId="164" fontId="4" fillId="0" borderId="0" xfId="0" applyNumberFormat="1" applyFont="1" applyFill="1" applyAlignment="1">
      <alignment horizontal="right"/>
    </xf>
    <xf numFmtId="171" fontId="4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171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Fill="1" applyBorder="1" applyAlignment="1">
      <alignment/>
    </xf>
    <xf numFmtId="43" fontId="11" fillId="0" borderId="0" xfId="49" applyFont="1" applyFill="1" applyBorder="1" applyAlignment="1">
      <alignment/>
    </xf>
    <xf numFmtId="0" fontId="11" fillId="0" borderId="12" xfId="0" applyFont="1" applyFill="1" applyBorder="1" applyAlignment="1">
      <alignment horizontal="center" vertical="distributed"/>
    </xf>
    <xf numFmtId="0" fontId="11" fillId="0" borderId="12" xfId="0" applyFont="1" applyBorder="1" applyAlignment="1">
      <alignment horizontal="center" vertical="distributed"/>
    </xf>
    <xf numFmtId="0" fontId="11" fillId="0" borderId="29" xfId="0" applyFont="1" applyFill="1" applyBorder="1" applyAlignment="1">
      <alignment horizontal="center" vertical="distributed"/>
    </xf>
    <xf numFmtId="0" fontId="11" fillId="0" borderId="29" xfId="0" applyFont="1" applyBorder="1" applyAlignment="1">
      <alignment horizontal="center" vertical="distributed"/>
    </xf>
    <xf numFmtId="0" fontId="4" fillId="0" borderId="30" xfId="0" applyFont="1" applyFill="1" applyBorder="1" applyAlignment="1">
      <alignment horizontal="left"/>
    </xf>
    <xf numFmtId="43" fontId="38" fillId="0" borderId="31" xfId="49" applyFont="1" applyFill="1" applyBorder="1" applyAlignment="1">
      <alignment horizontal="right"/>
    </xf>
    <xf numFmtId="0" fontId="4" fillId="0" borderId="31" xfId="0" applyFont="1" applyFill="1" applyBorder="1" applyAlignment="1">
      <alignment horizontal="left"/>
    </xf>
    <xf numFmtId="169" fontId="4" fillId="0" borderId="31" xfId="49" applyNumberFormat="1" applyFont="1" applyFill="1" applyBorder="1" applyAlignment="1">
      <alignment horizontal="center"/>
    </xf>
    <xf numFmtId="43" fontId="4" fillId="0" borderId="31" xfId="49" applyFont="1" applyFill="1" applyBorder="1" applyAlignment="1">
      <alignment horizontal="center"/>
    </xf>
    <xf numFmtId="43" fontId="8" fillId="0" borderId="31" xfId="49" applyFont="1" applyFill="1" applyBorder="1" applyAlignment="1">
      <alignment/>
    </xf>
    <xf numFmtId="43" fontId="8" fillId="0" borderId="32" xfId="49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164" fontId="7" fillId="0" borderId="12" xfId="0" applyNumberFormat="1" applyFont="1" applyFill="1" applyBorder="1" applyAlignment="1">
      <alignment horizontal="center"/>
    </xf>
    <xf numFmtId="10" fontId="7" fillId="33" borderId="12" xfId="55" applyNumberFormat="1" applyFont="1" applyFill="1" applyBorder="1" applyAlignment="1">
      <alignment horizontal="center"/>
    </xf>
    <xf numFmtId="43" fontId="7" fillId="0" borderId="12" xfId="49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3" fontId="7" fillId="0" borderId="15" xfId="49" applyFont="1" applyFill="1" applyBorder="1" applyAlignment="1">
      <alignment horizontal="center"/>
    </xf>
    <xf numFmtId="10" fontId="11" fillId="33" borderId="12" xfId="55" applyNumberFormat="1" applyFont="1" applyFill="1" applyBorder="1" applyAlignment="1">
      <alignment horizontal="center"/>
    </xf>
    <xf numFmtId="10" fontId="11" fillId="34" borderId="12" xfId="55" applyNumberFormat="1" applyFont="1" applyFill="1" applyBorder="1" applyAlignment="1">
      <alignment horizontal="center"/>
    </xf>
    <xf numFmtId="10" fontId="11" fillId="35" borderId="12" xfId="55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/>
    </xf>
    <xf numFmtId="43" fontId="8" fillId="0" borderId="26" xfId="49" applyFont="1" applyFill="1" applyBorder="1" applyAlignment="1">
      <alignment/>
    </xf>
    <xf numFmtId="166" fontId="4" fillId="0" borderId="20" xfId="49" applyNumberFormat="1" applyFont="1" applyFill="1" applyBorder="1" applyAlignment="1">
      <alignment/>
    </xf>
    <xf numFmtId="167" fontId="4" fillId="0" borderId="20" xfId="55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177" fontId="4" fillId="0" borderId="20" xfId="0" applyNumberFormat="1" applyFont="1" applyBorder="1" applyAlignment="1">
      <alignment/>
    </xf>
    <xf numFmtId="164" fontId="49" fillId="0" borderId="12" xfId="0" applyNumberFormat="1" applyFont="1" applyFill="1" applyBorder="1" applyAlignment="1">
      <alignment horizontal="center"/>
    </xf>
    <xf numFmtId="10" fontId="49" fillId="0" borderId="12" xfId="55" applyNumberFormat="1" applyFont="1" applyFill="1" applyBorder="1" applyAlignment="1">
      <alignment horizontal="center"/>
    </xf>
    <xf numFmtId="43" fontId="7" fillId="0" borderId="0" xfId="49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3" fontId="7" fillId="0" borderId="0" xfId="49" applyFont="1" applyFill="1" applyBorder="1" applyAlignment="1">
      <alignment horizontal="center"/>
    </xf>
    <xf numFmtId="10" fontId="11" fillId="0" borderId="0" xfId="55" applyNumberFormat="1" applyFont="1" applyFill="1" applyBorder="1" applyAlignment="1">
      <alignment/>
    </xf>
    <xf numFmtId="167" fontId="8" fillId="0" borderId="20" xfId="55" applyNumberFormat="1" applyFont="1" applyFill="1" applyBorder="1" applyAlignment="1">
      <alignment/>
    </xf>
    <xf numFmtId="165" fontId="8" fillId="0" borderId="20" xfId="49" applyNumberFormat="1" applyFont="1" applyFill="1" applyBorder="1" applyAlignment="1">
      <alignment/>
    </xf>
    <xf numFmtId="167" fontId="4" fillId="0" borderId="0" xfId="55" applyNumberFormat="1" applyFont="1" applyAlignment="1">
      <alignment/>
    </xf>
    <xf numFmtId="169" fontId="4" fillId="0" borderId="0" xfId="0" applyNumberFormat="1" applyFont="1" applyBorder="1" applyAlignment="1">
      <alignment/>
    </xf>
    <xf numFmtId="10" fontId="41" fillId="0" borderId="2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50" fillId="0" borderId="0" xfId="0" applyFont="1" applyAlignment="1">
      <alignment/>
    </xf>
    <xf numFmtId="0" fontId="11" fillId="0" borderId="0" xfId="0" applyFont="1" applyAlignment="1">
      <alignment horizontal="center"/>
    </xf>
    <xf numFmtId="49" fontId="1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10" fontId="8" fillId="33" borderId="10" xfId="55" applyNumberFormat="1" applyFont="1" applyFill="1" applyBorder="1" applyAlignment="1">
      <alignment horizontal="center"/>
    </xf>
    <xf numFmtId="10" fontId="8" fillId="35" borderId="10" xfId="55" applyNumberFormat="1" applyFont="1" applyFill="1" applyBorder="1" applyAlignment="1">
      <alignment horizontal="center"/>
    </xf>
    <xf numFmtId="10" fontId="8" fillId="34" borderId="25" xfId="55" applyNumberFormat="1" applyFont="1" applyFill="1" applyBorder="1" applyAlignment="1">
      <alignment horizontal="center"/>
    </xf>
    <xf numFmtId="0" fontId="42" fillId="0" borderId="28" xfId="0" applyFont="1" applyBorder="1" applyAlignment="1">
      <alignment/>
    </xf>
    <xf numFmtId="0" fontId="4" fillId="0" borderId="28" xfId="0" applyFont="1" applyBorder="1" applyAlignment="1">
      <alignment/>
    </xf>
    <xf numFmtId="170" fontId="4" fillId="0" borderId="28" xfId="0" applyNumberFormat="1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5" xfId="0" applyFont="1" applyBorder="1" applyAlignment="1">
      <alignment/>
    </xf>
    <xf numFmtId="1" fontId="8" fillId="33" borderId="10" xfId="0" applyNumberFormat="1" applyFon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/>
    </xf>
    <xf numFmtId="1" fontId="8" fillId="34" borderId="25" xfId="0" applyNumberFormat="1" applyFont="1" applyFill="1" applyBorder="1" applyAlignment="1">
      <alignment horizontal="center"/>
    </xf>
    <xf numFmtId="10" fontId="4" fillId="0" borderId="0" xfId="49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10" fontId="37" fillId="0" borderId="15" xfId="55" applyNumberFormat="1" applyFont="1" applyFill="1" applyBorder="1" applyAlignment="1">
      <alignment/>
    </xf>
    <xf numFmtId="49" fontId="18" fillId="0" borderId="12" xfId="49" applyNumberFormat="1" applyFont="1" applyBorder="1" applyAlignment="1">
      <alignment horizontal="right"/>
    </xf>
    <xf numFmtId="1" fontId="51" fillId="0" borderId="0" xfId="0" applyNumberFormat="1" applyFont="1" applyFill="1" applyBorder="1" applyAlignment="1">
      <alignment horizontal="center"/>
    </xf>
    <xf numFmtId="165" fontId="4" fillId="0" borderId="0" xfId="49" applyNumberFormat="1" applyFont="1" applyFill="1" applyBorder="1" applyAlignment="1">
      <alignment/>
    </xf>
    <xf numFmtId="10" fontId="37" fillId="0" borderId="0" xfId="55" applyNumberFormat="1" applyFont="1" applyFill="1" applyBorder="1" applyAlignment="1">
      <alignment horizontal="center"/>
    </xf>
    <xf numFmtId="0" fontId="37" fillId="36" borderId="33" xfId="0" applyFont="1" applyFill="1" applyBorder="1" applyAlignment="1">
      <alignment/>
    </xf>
    <xf numFmtId="0" fontId="4" fillId="36" borderId="34" xfId="0" applyFont="1" applyFill="1" applyBorder="1" applyAlignment="1">
      <alignment/>
    </xf>
    <xf numFmtId="0" fontId="8" fillId="36" borderId="13" xfId="0" applyFont="1" applyFill="1" applyBorder="1" applyAlignment="1">
      <alignment horizontal="right"/>
    </xf>
    <xf numFmtId="1" fontId="8" fillId="36" borderId="12" xfId="0" applyNumberFormat="1" applyFont="1" applyFill="1" applyBorder="1" applyAlignment="1">
      <alignment horizontal="center" vertical="distributed"/>
    </xf>
    <xf numFmtId="164" fontId="37" fillId="0" borderId="0" xfId="49" applyNumberFormat="1" applyFont="1" applyFill="1" applyBorder="1" applyAlignment="1">
      <alignment horizontal="center"/>
    </xf>
    <xf numFmtId="0" fontId="37" fillId="37" borderId="12" xfId="0" applyFont="1" applyFill="1" applyBorder="1" applyAlignment="1">
      <alignment horizontal="center"/>
    </xf>
    <xf numFmtId="1" fontId="8" fillId="37" borderId="12" xfId="0" applyNumberFormat="1" applyFont="1" applyFill="1" applyBorder="1" applyAlignment="1">
      <alignment horizontal="center" vertical="distributed"/>
    </xf>
    <xf numFmtId="165" fontId="4" fillId="0" borderId="0" xfId="0" applyNumberFormat="1" applyFont="1" applyFill="1" applyBorder="1" applyAlignment="1">
      <alignment/>
    </xf>
    <xf numFmtId="164" fontId="37" fillId="38" borderId="15" xfId="0" applyNumberFormat="1" applyFont="1" applyFill="1" applyBorder="1" applyAlignment="1">
      <alignment horizontal="center"/>
    </xf>
    <xf numFmtId="43" fontId="44" fillId="38" borderId="13" xfId="49" applyFont="1" applyFill="1" applyBorder="1" applyAlignment="1">
      <alignment/>
    </xf>
    <xf numFmtId="43" fontId="8" fillId="38" borderId="13" xfId="49" applyFont="1" applyFill="1" applyBorder="1" applyAlignment="1">
      <alignment horizontal="right"/>
    </xf>
    <xf numFmtId="1" fontId="8" fillId="38" borderId="12" xfId="0" applyNumberFormat="1" applyFont="1" applyFill="1" applyBorder="1" applyAlignment="1">
      <alignment horizontal="center" vertical="distributed"/>
    </xf>
    <xf numFmtId="1" fontId="4" fillId="0" borderId="0" xfId="0" applyNumberFormat="1" applyFont="1" applyAlignment="1">
      <alignment horizontal="center"/>
    </xf>
    <xf numFmtId="0" fontId="4" fillId="0" borderId="13" xfId="0" applyFont="1" applyFill="1" applyBorder="1" applyAlignment="1">
      <alignment/>
    </xf>
    <xf numFmtId="0" fontId="37" fillId="36" borderId="35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49" fontId="7" fillId="0" borderId="0" xfId="0" applyNumberFormat="1" applyFont="1" applyAlignment="1">
      <alignment/>
    </xf>
    <xf numFmtId="0" fontId="37" fillId="34" borderId="15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8" fillId="34" borderId="17" xfId="0" applyFont="1" applyFill="1" applyBorder="1" applyAlignment="1">
      <alignment horizontal="right"/>
    </xf>
    <xf numFmtId="1" fontId="8" fillId="34" borderId="17" xfId="0" applyNumberFormat="1" applyFont="1" applyFill="1" applyBorder="1" applyAlignment="1">
      <alignment horizontal="center" vertical="distributed"/>
    </xf>
    <xf numFmtId="1" fontId="8" fillId="34" borderId="12" xfId="0" applyNumberFormat="1" applyFont="1" applyFill="1" applyBorder="1" applyAlignment="1">
      <alignment horizontal="center" vertical="distributed"/>
    </xf>
    <xf numFmtId="0" fontId="52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164" fontId="37" fillId="38" borderId="33" xfId="0" applyNumberFormat="1" applyFont="1" applyFill="1" applyBorder="1" applyAlignment="1">
      <alignment horizontal="center"/>
    </xf>
    <xf numFmtId="43" fontId="44" fillId="38" borderId="0" xfId="49" applyFont="1" applyFill="1" applyBorder="1" applyAlignment="1">
      <alignment/>
    </xf>
    <xf numFmtId="43" fontId="8" fillId="38" borderId="0" xfId="49" applyFont="1" applyFill="1" applyBorder="1" applyAlignment="1">
      <alignment horizontal="right"/>
    </xf>
    <xf numFmtId="0" fontId="4" fillId="0" borderId="3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4" fillId="0" borderId="3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right"/>
    </xf>
    <xf numFmtId="164" fontId="7" fillId="0" borderId="12" xfId="49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53" fillId="0" borderId="12" xfId="0" applyFont="1" applyFill="1" applyBorder="1" applyAlignment="1">
      <alignment horizontal="right"/>
    </xf>
    <xf numFmtId="43" fontId="4" fillId="0" borderId="12" xfId="49" applyFont="1" applyFill="1" applyBorder="1" applyAlignment="1">
      <alignment/>
    </xf>
    <xf numFmtId="0" fontId="46" fillId="0" borderId="12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164" fontId="11" fillId="0" borderId="12" xfId="49" applyNumberFormat="1" applyFont="1" applyFill="1" applyBorder="1" applyAlignment="1">
      <alignment/>
    </xf>
    <xf numFmtId="0" fontId="8" fillId="0" borderId="0" xfId="0" applyFont="1" applyBorder="1" applyAlignment="1">
      <alignment horizontal="right"/>
    </xf>
    <xf numFmtId="164" fontId="7" fillId="0" borderId="0" xfId="49" applyNumberFormat="1" applyFont="1" applyFill="1" applyBorder="1" applyAlignment="1">
      <alignment/>
    </xf>
    <xf numFmtId="164" fontId="11" fillId="0" borderId="0" xfId="49" applyNumberFormat="1" applyFont="1" applyFill="1" applyBorder="1" applyAlignment="1">
      <alignment/>
    </xf>
    <xf numFmtId="0" fontId="54" fillId="0" borderId="20" xfId="0" applyFont="1" applyBorder="1" applyAlignment="1">
      <alignment/>
    </xf>
    <xf numFmtId="164" fontId="7" fillId="0" borderId="0" xfId="49" applyNumberFormat="1" applyFont="1" applyAlignment="1">
      <alignment/>
    </xf>
    <xf numFmtId="43" fontId="54" fillId="0" borderId="12" xfId="49" applyFont="1" applyBorder="1" applyAlignment="1">
      <alignment/>
    </xf>
    <xf numFmtId="43" fontId="11" fillId="0" borderId="0" xfId="49" applyFont="1" applyAlignment="1">
      <alignment/>
    </xf>
    <xf numFmtId="164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Border="1" applyAlignment="1">
      <alignment horizontal="right"/>
    </xf>
    <xf numFmtId="43" fontId="7" fillId="40" borderId="0" xfId="0" applyNumberFormat="1" applyFont="1" applyFill="1" applyAlignment="1">
      <alignment/>
    </xf>
    <xf numFmtId="43" fontId="4" fillId="0" borderId="0" xfId="49" applyFont="1" applyBorder="1" applyAlignment="1">
      <alignment/>
    </xf>
    <xf numFmtId="0" fontId="8" fillId="0" borderId="28" xfId="0" applyFont="1" applyBorder="1" applyAlignment="1">
      <alignment horizontal="right"/>
    </xf>
    <xf numFmtId="43" fontId="8" fillId="0" borderId="25" xfId="0" applyNumberFormat="1" applyFont="1" applyBorder="1" applyAlignment="1">
      <alignment/>
    </xf>
    <xf numFmtId="43" fontId="7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4" fillId="0" borderId="22" xfId="0" applyFont="1" applyFill="1" applyBorder="1" applyAlignment="1">
      <alignment horizontal="right"/>
    </xf>
    <xf numFmtId="165" fontId="8" fillId="40" borderId="23" xfId="49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9" fontId="4" fillId="0" borderId="0" xfId="55" applyFont="1" applyFill="1" applyBorder="1" applyAlignment="1">
      <alignment/>
    </xf>
    <xf numFmtId="49" fontId="4" fillId="39" borderId="10" xfId="0" applyNumberFormat="1" applyFont="1" applyFill="1" applyBorder="1" applyAlignment="1">
      <alignment/>
    </xf>
    <xf numFmtId="49" fontId="4" fillId="39" borderId="11" xfId="0" applyNumberFormat="1" applyFont="1" applyFill="1" applyBorder="1" applyAlignment="1">
      <alignment/>
    </xf>
    <xf numFmtId="49" fontId="4" fillId="39" borderId="37" xfId="0" applyNumberFormat="1" applyFont="1" applyFill="1" applyBorder="1" applyAlignment="1">
      <alignment horizontal="right"/>
    </xf>
    <xf numFmtId="49" fontId="4" fillId="39" borderId="30" xfId="0" applyNumberFormat="1" applyFont="1" applyFill="1" applyBorder="1" applyAlignment="1">
      <alignment/>
    </xf>
    <xf numFmtId="164" fontId="4" fillId="39" borderId="0" xfId="0" applyNumberFormat="1" applyFont="1" applyFill="1" applyBorder="1" applyAlignment="1">
      <alignment/>
    </xf>
    <xf numFmtId="2" fontId="4" fillId="39" borderId="0" xfId="0" applyNumberFormat="1" applyFont="1" applyFill="1" applyBorder="1" applyAlignment="1">
      <alignment/>
    </xf>
    <xf numFmtId="1" fontId="4" fillId="39" borderId="0" xfId="0" applyNumberFormat="1" applyFont="1" applyFill="1" applyBorder="1" applyAlignment="1">
      <alignment horizontal="center"/>
    </xf>
    <xf numFmtId="49" fontId="4" fillId="39" borderId="20" xfId="0" applyNumberFormat="1" applyFont="1" applyFill="1" applyBorder="1" applyAlignment="1">
      <alignment/>
    </xf>
    <xf numFmtId="10" fontId="4" fillId="39" borderId="26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49" fontId="4" fillId="39" borderId="12" xfId="0" applyNumberFormat="1" applyFont="1" applyFill="1" applyBorder="1" applyAlignment="1">
      <alignment horizontal="center"/>
    </xf>
    <xf numFmtId="49" fontId="4" fillId="39" borderId="15" xfId="0" applyNumberFormat="1" applyFont="1" applyFill="1" applyBorder="1" applyAlignment="1">
      <alignment horizontal="center"/>
    </xf>
    <xf numFmtId="0" fontId="4" fillId="39" borderId="38" xfId="0" applyFont="1" applyFill="1" applyBorder="1" applyAlignment="1">
      <alignment horizontal="center"/>
    </xf>
    <xf numFmtId="0" fontId="4" fillId="39" borderId="20" xfId="0" applyFont="1" applyFill="1" applyBorder="1" applyAlignment="1">
      <alignment/>
    </xf>
    <xf numFmtId="49" fontId="4" fillId="39" borderId="22" xfId="0" applyNumberFormat="1" applyFont="1" applyFill="1" applyBorder="1" applyAlignment="1">
      <alignment/>
    </xf>
    <xf numFmtId="0" fontId="4" fillId="39" borderId="28" xfId="0" applyFont="1" applyFill="1" applyBorder="1" applyAlignment="1">
      <alignment/>
    </xf>
    <xf numFmtId="0" fontId="4" fillId="39" borderId="27" xfId="0" applyFont="1" applyFill="1" applyBorder="1" applyAlignment="1">
      <alignment/>
    </xf>
    <xf numFmtId="49" fontId="8" fillId="39" borderId="12" xfId="0" applyNumberFormat="1" applyFont="1" applyFill="1" applyBorder="1" applyAlignment="1">
      <alignment horizontal="center" vertical="distributed"/>
    </xf>
    <xf numFmtId="0" fontId="8" fillId="39" borderId="12" xfId="0" applyFont="1" applyFill="1" applyBorder="1" applyAlignment="1">
      <alignment horizontal="center" vertical="distributed"/>
    </xf>
    <xf numFmtId="0" fontId="4" fillId="0" borderId="0" xfId="0" applyFont="1" applyAlignment="1">
      <alignment vertical="distributed"/>
    </xf>
    <xf numFmtId="0" fontId="4" fillId="0" borderId="0" xfId="0" applyFont="1" applyFill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165" fontId="4" fillId="0" borderId="0" xfId="0" applyNumberFormat="1" applyFont="1" applyFill="1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distributed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  <protection/>
    </xf>
    <xf numFmtId="49" fontId="4" fillId="0" borderId="4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2" xfId="0" applyFont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10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10" fontId="4" fillId="0" borderId="37" xfId="0" applyNumberFormat="1" applyFont="1" applyFill="1" applyBorder="1" applyAlignment="1">
      <alignment horizontal="center" vertical="center"/>
    </xf>
    <xf numFmtId="49" fontId="55" fillId="0" borderId="53" xfId="0" applyNumberFormat="1" applyFont="1" applyFill="1" applyBorder="1" applyAlignment="1">
      <alignment horizontal="center" vertical="center"/>
    </xf>
    <xf numFmtId="10" fontId="4" fillId="0" borderId="12" xfId="0" applyNumberFormat="1" applyFont="1" applyFill="1" applyBorder="1" applyAlignment="1">
      <alignment horizontal="center" vertical="center"/>
    </xf>
    <xf numFmtId="49" fontId="55" fillId="0" borderId="38" xfId="0" applyNumberFormat="1" applyFont="1" applyFill="1" applyBorder="1" applyAlignment="1">
      <alignment horizontal="center" vertical="center"/>
    </xf>
    <xf numFmtId="49" fontId="57" fillId="0" borderId="38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/>
    </xf>
    <xf numFmtId="49" fontId="4" fillId="0" borderId="38" xfId="0" applyNumberFormat="1" applyFont="1" applyFill="1" applyBorder="1" applyAlignment="1">
      <alignment horizontal="center" vertical="center"/>
    </xf>
    <xf numFmtId="10" fontId="4" fillId="0" borderId="46" xfId="0" applyNumberFormat="1" applyFont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43" fillId="0" borderId="0" xfId="0" applyFont="1" applyAlignment="1">
      <alignment/>
    </xf>
    <xf numFmtId="174" fontId="59" fillId="0" borderId="0" xfId="55" applyNumberFormat="1" applyFont="1" applyAlignment="1">
      <alignment/>
    </xf>
    <xf numFmtId="43" fontId="43" fillId="0" borderId="0" xfId="49" applyFont="1" applyAlignment="1">
      <alignment/>
    </xf>
    <xf numFmtId="0" fontId="59" fillId="0" borderId="0" xfId="0" applyFont="1" applyAlignment="1">
      <alignment/>
    </xf>
    <xf numFmtId="43" fontId="43" fillId="0" borderId="0" xfId="0" applyNumberFormat="1" applyFont="1" applyAlignment="1">
      <alignment/>
    </xf>
    <xf numFmtId="0" fontId="43" fillId="0" borderId="13" xfId="0" applyFont="1" applyBorder="1" applyAlignment="1">
      <alignment/>
    </xf>
    <xf numFmtId="199" fontId="43" fillId="0" borderId="13" xfId="0" applyNumberFormat="1" applyFont="1" applyBorder="1" applyAlignment="1">
      <alignment/>
    </xf>
    <xf numFmtId="0" fontId="43" fillId="0" borderId="17" xfId="0" applyFont="1" applyBorder="1" applyAlignment="1">
      <alignment/>
    </xf>
    <xf numFmtId="197" fontId="59" fillId="0" borderId="14" xfId="0" applyNumberFormat="1" applyFont="1" applyBorder="1" applyAlignment="1">
      <alignment/>
    </xf>
    <xf numFmtId="197" fontId="59" fillId="0" borderId="12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8" xfId="0" applyFont="1" applyBorder="1" applyAlignment="1">
      <alignment/>
    </xf>
    <xf numFmtId="49" fontId="55" fillId="41" borderId="37" xfId="0" applyNumberFormat="1" applyFont="1" applyFill="1" applyBorder="1" applyAlignment="1">
      <alignment horizontal="center" vertical="center"/>
    </xf>
    <xf numFmtId="49" fontId="55" fillId="41" borderId="12" xfId="0" applyNumberFormat="1" applyFont="1" applyFill="1" applyBorder="1" applyAlignment="1">
      <alignment horizontal="center" vertical="center"/>
    </xf>
    <xf numFmtId="49" fontId="57" fillId="41" borderId="12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60" fillId="0" borderId="4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distributed"/>
    </xf>
    <xf numFmtId="0" fontId="61" fillId="0" borderId="30" xfId="0" applyFont="1" applyFill="1" applyBorder="1" applyAlignment="1">
      <alignment horizontal="right"/>
    </xf>
    <xf numFmtId="0" fontId="61" fillId="0" borderId="31" xfId="0" applyFont="1" applyBorder="1" applyAlignment="1">
      <alignment/>
    </xf>
    <xf numFmtId="0" fontId="61" fillId="0" borderId="32" xfId="0" applyFont="1" applyBorder="1" applyAlignment="1">
      <alignment/>
    </xf>
    <xf numFmtId="0" fontId="61" fillId="0" borderId="0" xfId="0" applyFont="1" applyAlignment="1">
      <alignment/>
    </xf>
    <xf numFmtId="0" fontId="61" fillId="0" borderId="20" xfId="0" applyFont="1" applyBorder="1" applyAlignment="1">
      <alignment horizontal="right" vertical="center"/>
    </xf>
    <xf numFmtId="10" fontId="61" fillId="41" borderId="12" xfId="0" applyNumberFormat="1" applyFont="1" applyFill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2" fontId="61" fillId="41" borderId="12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49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right" vertical="center"/>
    </xf>
    <xf numFmtId="10" fontId="61" fillId="42" borderId="38" xfId="0" applyNumberFormat="1" applyFont="1" applyFill="1" applyBorder="1" applyAlignment="1">
      <alignment vertical="center"/>
    </xf>
    <xf numFmtId="0" fontId="61" fillId="0" borderId="20" xfId="0" applyFont="1" applyFill="1" applyBorder="1" applyAlignment="1">
      <alignment horizontal="right" vertical="center"/>
    </xf>
    <xf numFmtId="43" fontId="61" fillId="41" borderId="12" xfId="49" applyNumberFormat="1" applyFont="1" applyFill="1" applyBorder="1" applyAlignment="1">
      <alignment vertical="center"/>
    </xf>
    <xf numFmtId="0" fontId="61" fillId="0" borderId="26" xfId="0" applyFont="1" applyBorder="1" applyAlignment="1">
      <alignment vertical="center"/>
    </xf>
    <xf numFmtId="0" fontId="61" fillId="0" borderId="22" xfId="0" applyFont="1" applyBorder="1" applyAlignment="1">
      <alignment horizontal="right" vertical="center"/>
    </xf>
    <xf numFmtId="10" fontId="61" fillId="42" borderId="55" xfId="55" applyNumberFormat="1" applyFont="1" applyFill="1" applyBorder="1" applyAlignment="1">
      <alignment vertical="center"/>
    </xf>
    <xf numFmtId="0" fontId="61" fillId="0" borderId="28" xfId="0" applyFont="1" applyBorder="1" applyAlignment="1">
      <alignment vertical="center"/>
    </xf>
    <xf numFmtId="0" fontId="61" fillId="0" borderId="27" xfId="0" applyFont="1" applyBorder="1" applyAlignment="1">
      <alignment vertical="center"/>
    </xf>
    <xf numFmtId="0" fontId="61" fillId="0" borderId="0" xfId="0" applyFont="1" applyFill="1" applyBorder="1" applyAlignment="1">
      <alignment horizontal="right"/>
    </xf>
    <xf numFmtId="176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61" fillId="0" borderId="0" xfId="0" applyFont="1" applyFill="1" applyAlignment="1">
      <alignment horizontal="right"/>
    </xf>
    <xf numFmtId="0" fontId="61" fillId="0" borderId="0" xfId="0" applyFont="1" applyFill="1" applyAlignment="1">
      <alignment/>
    </xf>
    <xf numFmtId="0" fontId="62" fillId="0" borderId="0" xfId="0" applyFont="1" applyAlignment="1">
      <alignment/>
    </xf>
    <xf numFmtId="0" fontId="15" fillId="0" borderId="0" xfId="0" applyFont="1" applyAlignment="1">
      <alignment/>
    </xf>
    <xf numFmtId="0" fontId="61" fillId="0" borderId="0" xfId="0" applyFont="1" applyAlignment="1">
      <alignment vertical="center"/>
    </xf>
    <xf numFmtId="0" fontId="15" fillId="0" borderId="56" xfId="0" applyFont="1" applyFill="1" applyBorder="1" applyAlignment="1">
      <alignment vertical="center"/>
    </xf>
    <xf numFmtId="10" fontId="61" fillId="43" borderId="14" xfId="55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170" fontId="61" fillId="0" borderId="57" xfId="0" applyNumberFormat="1" applyFont="1" applyBorder="1" applyAlignment="1">
      <alignment horizontal="right" vertical="center"/>
    </xf>
    <xf numFmtId="0" fontId="15" fillId="0" borderId="43" xfId="0" applyFont="1" applyFill="1" applyBorder="1" applyAlignment="1">
      <alignment vertical="center"/>
    </xf>
    <xf numFmtId="10" fontId="61" fillId="43" borderId="12" xfId="55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170" fontId="61" fillId="0" borderId="38" xfId="0" applyNumberFormat="1" applyFont="1" applyBorder="1" applyAlignment="1">
      <alignment horizontal="right" vertical="center"/>
    </xf>
    <xf numFmtId="0" fontId="61" fillId="0" borderId="43" xfId="0" applyFont="1" applyFill="1" applyBorder="1" applyAlignment="1">
      <alignment vertical="center"/>
    </xf>
    <xf numFmtId="170" fontId="61" fillId="0" borderId="12" xfId="0" applyNumberFormat="1" applyFont="1" applyBorder="1" applyAlignment="1">
      <alignment horizontal="right" vertical="center"/>
    </xf>
    <xf numFmtId="0" fontId="61" fillId="0" borderId="43" xfId="0" applyFont="1" applyBorder="1" applyAlignment="1">
      <alignment vertical="center"/>
    </xf>
    <xf numFmtId="9" fontId="61" fillId="41" borderId="12" xfId="55" applyFont="1" applyFill="1" applyBorder="1" applyAlignment="1">
      <alignment horizontal="right" vertical="center"/>
    </xf>
    <xf numFmtId="49" fontId="61" fillId="0" borderId="43" xfId="0" applyNumberFormat="1" applyFont="1" applyFill="1" applyBorder="1" applyAlignment="1">
      <alignment vertical="center"/>
    </xf>
    <xf numFmtId="0" fontId="63" fillId="0" borderId="15" xfId="0" applyFont="1" applyBorder="1" applyAlignment="1">
      <alignment/>
    </xf>
    <xf numFmtId="0" fontId="59" fillId="0" borderId="12" xfId="0" applyFont="1" applyBorder="1" applyAlignment="1">
      <alignment/>
    </xf>
    <xf numFmtId="43" fontId="43" fillId="0" borderId="13" xfId="0" applyNumberFormat="1" applyFont="1" applyBorder="1" applyAlignment="1">
      <alignment/>
    </xf>
    <xf numFmtId="200" fontId="61" fillId="0" borderId="12" xfId="0" applyNumberFormat="1" applyFont="1" applyBorder="1" applyAlignment="1">
      <alignment horizontal="right" vertical="center"/>
    </xf>
    <xf numFmtId="0" fontId="59" fillId="0" borderId="29" xfId="0" applyFont="1" applyBorder="1" applyAlignment="1">
      <alignment/>
    </xf>
    <xf numFmtId="0" fontId="4" fillId="0" borderId="18" xfId="0" applyFont="1" applyBorder="1" applyAlignment="1">
      <alignment/>
    </xf>
    <xf numFmtId="200" fontId="61" fillId="0" borderId="12" xfId="0" applyNumberFormat="1" applyFont="1" applyBorder="1" applyAlignment="1">
      <alignment vertical="center"/>
    </xf>
    <xf numFmtId="197" fontId="63" fillId="0" borderId="15" xfId="0" applyNumberFormat="1" applyFont="1" applyBorder="1" applyAlignment="1">
      <alignment/>
    </xf>
    <xf numFmtId="0" fontId="61" fillId="0" borderId="43" xfId="0" applyFont="1" applyBorder="1" applyAlignment="1">
      <alignment horizontal="right" vertical="center"/>
    </xf>
    <xf numFmtId="176" fontId="15" fillId="42" borderId="12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61" fillId="0" borderId="45" xfId="0" applyFont="1" applyBorder="1" applyAlignment="1">
      <alignment horizontal="right" vertical="center"/>
    </xf>
    <xf numFmtId="176" fontId="15" fillId="42" borderId="46" xfId="0" applyNumberFormat="1" applyFont="1" applyFill="1" applyBorder="1" applyAlignment="1">
      <alignment horizontal="right" vertical="center"/>
    </xf>
    <xf numFmtId="0" fontId="15" fillId="0" borderId="28" xfId="0" applyFont="1" applyBorder="1" applyAlignment="1">
      <alignment vertical="center"/>
    </xf>
    <xf numFmtId="10" fontId="61" fillId="0" borderId="0" xfId="55" applyNumberFormat="1" applyFont="1" applyAlignment="1">
      <alignment vertical="center"/>
    </xf>
    <xf numFmtId="10" fontId="61" fillId="0" borderId="0" xfId="0" applyNumberFormat="1" applyFont="1" applyAlignment="1">
      <alignment/>
    </xf>
    <xf numFmtId="0" fontId="64" fillId="0" borderId="0" xfId="0" applyFont="1" applyAlignment="1">
      <alignment/>
    </xf>
    <xf numFmtId="176" fontId="61" fillId="0" borderId="0" xfId="0" applyNumberFormat="1" applyFont="1" applyAlignment="1">
      <alignment/>
    </xf>
    <xf numFmtId="0" fontId="61" fillId="0" borderId="0" xfId="0" applyFont="1" applyAlignment="1">
      <alignment horizontal="right" vertical="center"/>
    </xf>
    <xf numFmtId="167" fontId="61" fillId="41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0" fontId="65" fillId="0" borderId="41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10" fontId="65" fillId="0" borderId="37" xfId="0" applyNumberFormat="1" applyFont="1" applyFill="1" applyBorder="1" applyAlignment="1">
      <alignment horizontal="center" vertical="center"/>
    </xf>
    <xf numFmtId="10" fontId="65" fillId="0" borderId="12" xfId="0" applyNumberFormat="1" applyFont="1" applyFill="1" applyBorder="1" applyAlignment="1">
      <alignment horizontal="center" vertical="center"/>
    </xf>
    <xf numFmtId="10" fontId="65" fillId="0" borderId="46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6" fillId="0" borderId="0" xfId="0" applyFont="1" applyAlignment="1">
      <alignment/>
    </xf>
    <xf numFmtId="0" fontId="8" fillId="0" borderId="10" xfId="0" applyFont="1" applyBorder="1" applyAlignment="1">
      <alignment horizontal="right" vertical="center"/>
    </xf>
    <xf numFmtId="10" fontId="4" fillId="41" borderId="24" xfId="55" applyNumberFormat="1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0" fontId="4" fillId="0" borderId="24" xfId="55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7" fillId="0" borderId="25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2" fontId="4" fillId="41" borderId="10" xfId="0" applyNumberFormat="1" applyFont="1" applyFill="1" applyBorder="1" applyAlignment="1">
      <alignment horizontal="center" vertical="center"/>
    </xf>
    <xf numFmtId="2" fontId="4" fillId="41" borderId="25" xfId="0" applyNumberFormat="1" applyFont="1" applyFill="1" applyBorder="1" applyAlignment="1">
      <alignment horizontal="center" vertical="center"/>
    </xf>
    <xf numFmtId="185" fontId="4" fillId="0" borderId="2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39" borderId="30" xfId="0" applyFont="1" applyFill="1" applyBorder="1" applyAlignment="1">
      <alignment/>
    </xf>
    <xf numFmtId="0" fontId="4" fillId="39" borderId="39" xfId="0" applyFont="1" applyFill="1" applyBorder="1" applyAlignment="1">
      <alignment horizontal="right"/>
    </xf>
    <xf numFmtId="0" fontId="4" fillId="39" borderId="10" xfId="0" applyFont="1" applyFill="1" applyBorder="1" applyAlignment="1">
      <alignment/>
    </xf>
    <xf numFmtId="0" fontId="4" fillId="39" borderId="24" xfId="0" applyFont="1" applyFill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36" borderId="14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6" borderId="58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8" borderId="14" xfId="0" applyFont="1" applyFill="1" applyBorder="1" applyAlignment="1">
      <alignment/>
    </xf>
    <xf numFmtId="43" fontId="44" fillId="38" borderId="14" xfId="49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4" fillId="0" borderId="0" xfId="49" applyFont="1" applyFill="1" applyBorder="1" applyAlignment="1">
      <alignment/>
    </xf>
    <xf numFmtId="0" fontId="4" fillId="39" borderId="36" xfId="0" applyFont="1" applyFill="1" applyBorder="1" applyAlignment="1">
      <alignment/>
    </xf>
    <xf numFmtId="0" fontId="4" fillId="39" borderId="16" xfId="0" applyFont="1" applyFill="1" applyBorder="1" applyAlignment="1">
      <alignment/>
    </xf>
    <xf numFmtId="0" fontId="4" fillId="39" borderId="35" xfId="0" applyFont="1" applyFill="1" applyBorder="1" applyAlignment="1">
      <alignment/>
    </xf>
    <xf numFmtId="10" fontId="4" fillId="39" borderId="0" xfId="0" applyNumberFormat="1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9" borderId="33" xfId="0" applyFont="1" applyFill="1" applyBorder="1" applyAlignment="1">
      <alignment/>
    </xf>
    <xf numFmtId="10" fontId="4" fillId="0" borderId="0" xfId="0" applyNumberFormat="1" applyFont="1" applyAlignment="1">
      <alignment/>
    </xf>
    <xf numFmtId="0" fontId="8" fillId="39" borderId="12" xfId="0" applyFont="1" applyFill="1" applyBorder="1" applyAlignment="1">
      <alignment horizontal="center" vertical="center"/>
    </xf>
    <xf numFmtId="166" fontId="4" fillId="0" borderId="0" xfId="49" applyNumberFormat="1" applyFont="1" applyFill="1" applyAlignment="1">
      <alignment/>
    </xf>
    <xf numFmtId="0" fontId="4" fillId="0" borderId="0" xfId="0" applyFont="1" applyAlignment="1">
      <alignment horizontal="center" vertical="center"/>
    </xf>
    <xf numFmtId="0" fontId="65" fillId="0" borderId="12" xfId="0" applyFont="1" applyBorder="1" applyAlignment="1">
      <alignment horizontal="center" vertical="distributed"/>
    </xf>
    <xf numFmtId="0" fontId="8" fillId="0" borderId="12" xfId="0" applyFont="1" applyFill="1" applyBorder="1" applyAlignment="1">
      <alignment horizontal="center" vertical="center" wrapText="1"/>
    </xf>
    <xf numFmtId="2" fontId="4" fillId="0" borderId="12" xfId="49" applyNumberFormat="1" applyFont="1" applyBorder="1" applyAlignment="1">
      <alignment horizontal="center" vertical="center" wrapText="1"/>
    </xf>
    <xf numFmtId="2" fontId="4" fillId="0" borderId="12" xfId="49" applyNumberFormat="1" applyFont="1" applyFill="1" applyBorder="1" applyAlignment="1">
      <alignment horizontal="center" vertical="center" wrapText="1"/>
    </xf>
    <xf numFmtId="2" fontId="4" fillId="0" borderId="15" xfId="49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vertical="center" wrapText="1"/>
    </xf>
    <xf numFmtId="2" fontId="8" fillId="35" borderId="1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Border="1" applyAlignment="1">
      <alignment/>
    </xf>
    <xf numFmtId="166" fontId="4" fillId="33" borderId="20" xfId="49" applyNumberFormat="1" applyFont="1" applyFill="1" applyBorder="1" applyAlignment="1">
      <alignment/>
    </xf>
    <xf numFmtId="10" fontId="8" fillId="33" borderId="43" xfId="55" applyNumberFormat="1" applyFont="1" applyFill="1" applyBorder="1" applyAlignment="1">
      <alignment/>
    </xf>
    <xf numFmtId="10" fontId="41" fillId="0" borderId="45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85" fontId="4" fillId="0" borderId="12" xfId="0" applyNumberFormat="1" applyFont="1" applyBorder="1" applyAlignment="1">
      <alignment horizontal="center" vertical="distributed"/>
    </xf>
    <xf numFmtId="18" fontId="4" fillId="0" borderId="30" xfId="49" applyNumberFormat="1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/>
    </xf>
    <xf numFmtId="18" fontId="4" fillId="0" borderId="20" xfId="49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43" xfId="0" applyFont="1" applyBorder="1" applyAlignment="1">
      <alignment horizontal="right"/>
    </xf>
    <xf numFmtId="164" fontId="8" fillId="41" borderId="14" xfId="0" applyNumberFormat="1" applyFont="1" applyFill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41" borderId="38" xfId="49" applyNumberFormat="1" applyFont="1" applyFill="1" applyBorder="1" applyAlignment="1">
      <alignment/>
    </xf>
    <xf numFmtId="164" fontId="8" fillId="41" borderId="12" xfId="0" applyNumberFormat="1" applyFont="1" applyFill="1" applyBorder="1" applyAlignment="1">
      <alignment/>
    </xf>
    <xf numFmtId="0" fontId="68" fillId="0" borderId="45" xfId="0" applyFont="1" applyBorder="1" applyAlignment="1">
      <alignment horizontal="right"/>
    </xf>
    <xf numFmtId="164" fontId="8" fillId="0" borderId="46" xfId="0" applyNumberFormat="1" applyFont="1" applyBorder="1" applyAlignment="1">
      <alignment horizontal="right"/>
    </xf>
    <xf numFmtId="164" fontId="8" fillId="0" borderId="54" xfId="0" applyNumberFormat="1" applyFont="1" applyBorder="1" applyAlignment="1">
      <alignment horizontal="right"/>
    </xf>
    <xf numFmtId="0" fontId="11" fillId="0" borderId="2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0" fontId="4" fillId="0" borderId="52" xfId="0" applyNumberFormat="1" applyFont="1" applyFill="1" applyBorder="1" applyAlignment="1">
      <alignment horizontal="center" vertical="center"/>
    </xf>
    <xf numFmtId="10" fontId="4" fillId="0" borderId="12" xfId="55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distributed"/>
    </xf>
    <xf numFmtId="0" fontId="8" fillId="0" borderId="55" xfId="0" applyFont="1" applyBorder="1" applyAlignment="1">
      <alignment horizontal="center" vertical="distributed"/>
    </xf>
    <xf numFmtId="0" fontId="4" fillId="0" borderId="56" xfId="0" applyFont="1" applyBorder="1" applyAlignment="1">
      <alignment horizontal="left" vertical="center" wrapText="1"/>
    </xf>
    <xf numFmtId="10" fontId="92" fillId="44" borderId="14" xfId="55" applyNumberFormat="1" applyFont="1" applyFill="1" applyBorder="1" applyAlignment="1">
      <alignment horizontal="center" vertical="center"/>
    </xf>
    <xf numFmtId="10" fontId="4" fillId="0" borderId="14" xfId="55" applyNumberFormat="1" applyFont="1" applyBorder="1" applyAlignment="1">
      <alignment horizontal="center" vertical="center"/>
    </xf>
    <xf numFmtId="165" fontId="4" fillId="0" borderId="57" xfId="0" applyNumberFormat="1" applyFont="1" applyBorder="1" applyAlignment="1">
      <alignment vertical="distributed"/>
    </xf>
    <xf numFmtId="0" fontId="4" fillId="0" borderId="43" xfId="0" applyFont="1" applyBorder="1" applyAlignment="1">
      <alignment horizontal="left" vertical="center" wrapText="1"/>
    </xf>
    <xf numFmtId="10" fontId="92" fillId="44" borderId="12" xfId="55" applyNumberFormat="1" applyFont="1" applyFill="1" applyBorder="1" applyAlignment="1">
      <alignment horizontal="center" vertical="center"/>
    </xf>
    <xf numFmtId="165" fontId="4" fillId="0" borderId="38" xfId="0" applyNumberFormat="1" applyFont="1" applyBorder="1" applyAlignment="1">
      <alignment vertical="distributed"/>
    </xf>
    <xf numFmtId="10" fontId="92" fillId="44" borderId="46" xfId="55" applyNumberFormat="1" applyFont="1" applyFill="1" applyBorder="1" applyAlignment="1">
      <alignment horizontal="center" vertical="center"/>
    </xf>
    <xf numFmtId="10" fontId="4" fillId="0" borderId="46" xfId="55" applyNumberFormat="1" applyFont="1" applyBorder="1" applyAlignment="1">
      <alignment horizontal="center" vertical="center"/>
    </xf>
    <xf numFmtId="165" fontId="4" fillId="0" borderId="54" xfId="0" applyNumberFormat="1" applyFont="1" applyBorder="1" applyAlignment="1">
      <alignment vertical="distributed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3" fontId="8" fillId="0" borderId="0" xfId="49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3" fontId="8" fillId="0" borderId="25" xfId="49" applyFont="1" applyBorder="1" applyAlignment="1">
      <alignment horizontal="center" vertical="center"/>
    </xf>
    <xf numFmtId="10" fontId="4" fillId="0" borderId="37" xfId="0" applyNumberFormat="1" applyFont="1" applyBorder="1" applyAlignment="1">
      <alignment horizontal="center" vertical="center"/>
    </xf>
    <xf numFmtId="10" fontId="4" fillId="0" borderId="53" xfId="0" applyNumberFormat="1" applyFont="1" applyBorder="1" applyAlignment="1">
      <alignment horizontal="center" vertical="center"/>
    </xf>
    <xf numFmtId="167" fontId="93" fillId="0" borderId="46" xfId="0" applyNumberFormat="1" applyFont="1" applyFill="1" applyBorder="1" applyAlignment="1">
      <alignment horizontal="center" vertical="center"/>
    </xf>
    <xf numFmtId="167" fontId="4" fillId="0" borderId="54" xfId="0" applyNumberFormat="1" applyFont="1" applyFill="1" applyBorder="1" applyAlignment="1" quotePrefix="1">
      <alignment horizontal="center" vertical="center"/>
    </xf>
    <xf numFmtId="0" fontId="4" fillId="0" borderId="37" xfId="0" applyFont="1" applyBorder="1" applyAlignment="1">
      <alignment horizontal="center" vertical="center"/>
    </xf>
    <xf numFmtId="43" fontId="4" fillId="0" borderId="53" xfId="49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left" vertical="center" wrapText="1"/>
    </xf>
    <xf numFmtId="43" fontId="8" fillId="0" borderId="60" xfId="49" applyFont="1" applyBorder="1" applyAlignment="1">
      <alignment horizontal="center" vertical="center" wrapText="1"/>
    </xf>
    <xf numFmtId="43" fontId="8" fillId="0" borderId="63" xfId="49" applyFont="1" applyBorder="1" applyAlignment="1">
      <alignment horizontal="center" vertical="center" wrapText="1"/>
    </xf>
    <xf numFmtId="0" fontId="70" fillId="0" borderId="40" xfId="0" applyFont="1" applyBorder="1" applyAlignment="1">
      <alignment horizontal="left" vertical="distributed"/>
    </xf>
    <xf numFmtId="0" fontId="70" fillId="0" borderId="41" xfId="0" applyFont="1" applyBorder="1" applyAlignment="1">
      <alignment horizontal="left" vertical="distributed"/>
    </xf>
    <xf numFmtId="0" fontId="70" fillId="0" borderId="52" xfId="0" applyFont="1" applyBorder="1" applyAlignment="1">
      <alignment horizontal="left" vertical="distributed"/>
    </xf>
    <xf numFmtId="0" fontId="7" fillId="0" borderId="14" xfId="0" applyFont="1" applyBorder="1" applyAlignment="1">
      <alignment horizontal="left" vertical="distributed"/>
    </xf>
    <xf numFmtId="0" fontId="8" fillId="0" borderId="15" xfId="0" applyFont="1" applyBorder="1" applyAlignment="1">
      <alignment horizontal="center" vertical="distributed"/>
    </xf>
    <xf numFmtId="0" fontId="8" fillId="0" borderId="17" xfId="0" applyFont="1" applyBorder="1" applyAlignment="1">
      <alignment horizontal="center" vertical="distributed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0" fontId="8" fillId="0" borderId="24" xfId="0" applyFont="1" applyBorder="1" applyAlignment="1">
      <alignment horizontal="center" vertical="distributed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8" fillId="0" borderId="39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distributed"/>
    </xf>
    <xf numFmtId="0" fontId="71" fillId="0" borderId="11" xfId="0" applyFont="1" applyBorder="1" applyAlignment="1">
      <alignment horizontal="left" vertical="distributed"/>
    </xf>
    <xf numFmtId="0" fontId="71" fillId="0" borderId="24" xfId="0" applyFont="1" applyBorder="1" applyAlignment="1">
      <alignment horizontal="left" vertical="distributed"/>
    </xf>
    <xf numFmtId="0" fontId="7" fillId="0" borderId="14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distributed"/>
    </xf>
    <xf numFmtId="0" fontId="18" fillId="0" borderId="11" xfId="0" applyFont="1" applyBorder="1" applyAlignment="1">
      <alignment horizontal="center" vertical="distributed"/>
    </xf>
    <xf numFmtId="0" fontId="18" fillId="0" borderId="24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distributed"/>
    </xf>
    <xf numFmtId="0" fontId="38" fillId="0" borderId="11" xfId="0" applyFont="1" applyBorder="1" applyAlignment="1">
      <alignment horizontal="center" vertical="distributed"/>
    </xf>
    <xf numFmtId="0" fontId="38" fillId="0" borderId="24" xfId="0" applyFont="1" applyBorder="1" applyAlignment="1">
      <alignment horizontal="center" vertical="distributed"/>
    </xf>
    <xf numFmtId="0" fontId="72" fillId="0" borderId="40" xfId="0" applyFont="1" applyBorder="1" applyAlignment="1">
      <alignment horizontal="left" vertical="distributed"/>
    </xf>
    <xf numFmtId="0" fontId="72" fillId="0" borderId="41" xfId="0" applyFont="1" applyBorder="1" applyAlignment="1">
      <alignment horizontal="left" vertical="distributed"/>
    </xf>
    <xf numFmtId="0" fontId="72" fillId="0" borderId="52" xfId="0" applyFont="1" applyBorder="1" applyAlignment="1">
      <alignment horizontal="left" vertical="distributed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'Incid Acumul'!#REF!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837807"/>
        <c:axId val="3431400"/>
      </c:lineChart>
      <c:catAx>
        <c:axId val="7837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1400"/>
        <c:crosses val="autoZero"/>
        <c:auto val="1"/>
        <c:lblOffset val="100"/>
        <c:tickLblSkip val="1"/>
        <c:noMultiLvlLbl val="0"/>
      </c:catAx>
      <c:valAx>
        <c:axId val="3431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37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'Incid Acumul'!#REF!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882601"/>
        <c:axId val="9507954"/>
      </c:lineChart>
      <c:catAx>
        <c:axId val="3088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07954"/>
        <c:crosses val="autoZero"/>
        <c:auto val="1"/>
        <c:lblOffset val="100"/>
        <c:tickLblSkip val="1"/>
        <c:noMultiLvlLbl val="0"/>
      </c:catAx>
      <c:valAx>
        <c:axId val="9507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82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'Incid Acumul'!#REF!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462723"/>
        <c:axId val="31946780"/>
      </c:lineChart>
      <c:catAx>
        <c:axId val="1846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6780"/>
        <c:crosses val="autoZero"/>
        <c:auto val="1"/>
        <c:lblOffset val="100"/>
        <c:tickLblSkip val="1"/>
        <c:noMultiLvlLbl val="0"/>
      </c:catAx>
      <c:valAx>
        <c:axId val="31946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62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'Incid Acumul'!#REF!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085565"/>
        <c:axId val="37552358"/>
      </c:lineChart>
      <c:catAx>
        <c:axId val="1908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52358"/>
        <c:crosses val="autoZero"/>
        <c:auto val="1"/>
        <c:lblOffset val="100"/>
        <c:tickLblSkip val="1"/>
        <c:noMultiLvlLbl val="0"/>
      </c:catAx>
      <c:valAx>
        <c:axId val="37552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85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0</xdr:col>
      <xdr:colOff>0</xdr:colOff>
      <xdr:row>42</xdr:row>
      <xdr:rowOff>38100</xdr:rowOff>
    </xdr:to>
    <xdr:graphicFrame>
      <xdr:nvGraphicFramePr>
        <xdr:cNvPr id="1" name="Gráfico 10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aphicFrame>
      <xdr:nvGraphicFramePr>
        <xdr:cNvPr id="2" name="Gráfico 11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aphicFrame>
      <xdr:nvGraphicFramePr>
        <xdr:cNvPr id="3" name="Gráfico 12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42</xdr:row>
      <xdr:rowOff>28575</xdr:rowOff>
    </xdr:to>
    <xdr:graphicFrame>
      <xdr:nvGraphicFramePr>
        <xdr:cNvPr id="4" name="Gráfico 13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1" name="Line 48"/>
        <xdr:cNvSpPr>
          <a:spLocks/>
        </xdr:cNvSpPr>
      </xdr:nvSpPr>
      <xdr:spPr>
        <a:xfrm>
          <a:off x="2990850" y="9715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34</xdr:row>
      <xdr:rowOff>0</xdr:rowOff>
    </xdr:from>
    <xdr:to>
      <xdr:col>3</xdr:col>
      <xdr:colOff>495300</xdr:colOff>
      <xdr:row>39</xdr:row>
      <xdr:rowOff>142875</xdr:rowOff>
    </xdr:to>
    <xdr:sp>
      <xdr:nvSpPr>
        <xdr:cNvPr id="2" name="Conector recto de flecha 3"/>
        <xdr:cNvSpPr>
          <a:spLocks/>
        </xdr:cNvSpPr>
      </xdr:nvSpPr>
      <xdr:spPr>
        <a:xfrm flipH="1">
          <a:off x="3409950" y="2828925"/>
          <a:ext cx="9525" cy="1752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4</xdr:row>
      <xdr:rowOff>209550</xdr:rowOff>
    </xdr:from>
    <xdr:to>
      <xdr:col>3</xdr:col>
      <xdr:colOff>457200</xdr:colOff>
      <xdr:row>33</xdr:row>
      <xdr:rowOff>85725</xdr:rowOff>
    </xdr:to>
    <xdr:sp>
      <xdr:nvSpPr>
        <xdr:cNvPr id="3" name="Conector recto de flecha 5"/>
        <xdr:cNvSpPr>
          <a:spLocks/>
        </xdr:cNvSpPr>
      </xdr:nvSpPr>
      <xdr:spPr>
        <a:xfrm>
          <a:off x="2686050" y="1076325"/>
          <a:ext cx="695325" cy="1485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16</xdr:row>
      <xdr:rowOff>104775</xdr:rowOff>
    </xdr:from>
    <xdr:to>
      <xdr:col>1</xdr:col>
      <xdr:colOff>790575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42950" y="2981325"/>
          <a:ext cx="1790700" cy="12763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17</xdr:row>
      <xdr:rowOff>161925</xdr:rowOff>
    </xdr:from>
    <xdr:to>
      <xdr:col>7</xdr:col>
      <xdr:colOff>47625</xdr:colOff>
      <xdr:row>23</xdr:row>
      <xdr:rowOff>19050</xdr:rowOff>
    </xdr:to>
    <xdr:sp>
      <xdr:nvSpPr>
        <xdr:cNvPr id="2" name="Line 2"/>
        <xdr:cNvSpPr>
          <a:spLocks/>
        </xdr:cNvSpPr>
      </xdr:nvSpPr>
      <xdr:spPr>
        <a:xfrm flipH="1" flipV="1">
          <a:off x="2590800" y="3238500"/>
          <a:ext cx="3514725" cy="10382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161925</xdr:rowOff>
    </xdr:from>
    <xdr:to>
      <xdr:col>7</xdr:col>
      <xdr:colOff>104775</xdr:colOff>
      <xdr:row>13</xdr:row>
      <xdr:rowOff>47625</xdr:rowOff>
    </xdr:to>
    <xdr:sp>
      <xdr:nvSpPr>
        <xdr:cNvPr id="3" name="Line 3"/>
        <xdr:cNvSpPr>
          <a:spLocks/>
        </xdr:cNvSpPr>
      </xdr:nvSpPr>
      <xdr:spPr>
        <a:xfrm flipH="1">
          <a:off x="2590800" y="1257300"/>
          <a:ext cx="3571875" cy="10668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6</xdr:row>
      <xdr:rowOff>123825</xdr:rowOff>
    </xdr:from>
    <xdr:to>
      <xdr:col>1</xdr:col>
      <xdr:colOff>685800</xdr:colOff>
      <xdr:row>14</xdr:row>
      <xdr:rowOff>95250</xdr:rowOff>
    </xdr:to>
    <xdr:sp>
      <xdr:nvSpPr>
        <xdr:cNvPr id="4" name="Line 4"/>
        <xdr:cNvSpPr>
          <a:spLocks/>
        </xdr:cNvSpPr>
      </xdr:nvSpPr>
      <xdr:spPr>
        <a:xfrm>
          <a:off x="2409825" y="1600200"/>
          <a:ext cx="19050" cy="9715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0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33.57421875" style="2" customWidth="1"/>
    <col min="2" max="2" width="18.421875" style="2" customWidth="1"/>
    <col min="3" max="3" width="18.7109375" style="2" customWidth="1"/>
    <col min="4" max="4" width="16.00390625" style="2" customWidth="1"/>
    <col min="5" max="5" width="24.421875" style="2" customWidth="1"/>
    <col min="6" max="6" width="22.8515625" style="2" customWidth="1"/>
    <col min="7" max="7" width="15.7109375" style="2" customWidth="1"/>
    <col min="8" max="8" width="11.28125" style="2" customWidth="1"/>
    <col min="9" max="9" width="13.57421875" style="2" customWidth="1"/>
    <col min="10" max="10" width="16.140625" style="2" bestFit="1" customWidth="1"/>
    <col min="11" max="11" width="14.421875" style="2" bestFit="1" customWidth="1"/>
    <col min="12" max="12" width="18.8515625" style="2" customWidth="1"/>
    <col min="13" max="13" width="14.7109375" style="2" bestFit="1" customWidth="1"/>
    <col min="14" max="14" width="14.28125" style="5" bestFit="1" customWidth="1"/>
    <col min="15" max="15" width="14.28125" style="5" customWidth="1"/>
    <col min="16" max="16" width="14.00390625" style="2" bestFit="1" customWidth="1"/>
    <col min="17" max="17" width="11.57421875" style="2" bestFit="1" customWidth="1"/>
    <col min="18" max="18" width="13.8515625" style="2" bestFit="1" customWidth="1"/>
    <col min="19" max="19" width="11.421875" style="2" customWidth="1"/>
    <col min="20" max="21" width="11.421875" style="5" customWidth="1"/>
    <col min="22" max="16384" width="11.421875" style="2" customWidth="1"/>
  </cols>
  <sheetData>
    <row r="1" spans="1:28" s="1" customFormat="1" ht="23.25" customHeight="1" thickBot="1">
      <c r="A1" s="561" t="s">
        <v>240</v>
      </c>
      <c r="B1" s="562"/>
      <c r="C1" s="562"/>
      <c r="D1" s="562"/>
      <c r="E1" s="562"/>
      <c r="F1" s="562"/>
      <c r="G1" s="562"/>
      <c r="H1" s="562"/>
      <c r="I1" s="563"/>
      <c r="J1" s="73"/>
      <c r="K1" s="9"/>
      <c r="L1" s="4"/>
      <c r="M1" s="4"/>
      <c r="N1" s="4"/>
      <c r="O1" s="4"/>
      <c r="P1" s="101"/>
      <c r="Q1" s="4"/>
      <c r="R1" s="4"/>
      <c r="S1" s="4"/>
      <c r="T1" s="102"/>
      <c r="U1" s="102"/>
      <c r="V1" s="102"/>
      <c r="W1" s="102"/>
      <c r="X1" s="102"/>
      <c r="Y1" s="102"/>
      <c r="Z1" s="102"/>
      <c r="AA1" s="102"/>
      <c r="AB1" s="102"/>
    </row>
    <row r="2" spans="1:29" ht="23.25" customHeight="1">
      <c r="A2" s="564" t="s">
        <v>241</v>
      </c>
      <c r="B2" s="564"/>
      <c r="C2" s="564"/>
      <c r="D2" s="564"/>
      <c r="E2" s="564"/>
      <c r="F2" s="564"/>
      <c r="G2" s="564"/>
      <c r="H2" s="564"/>
      <c r="I2" s="564"/>
      <c r="J2" s="31"/>
      <c r="K2" s="103"/>
      <c r="L2" s="104"/>
      <c r="M2" s="104"/>
      <c r="N2" s="105"/>
      <c r="O2" s="105"/>
      <c r="P2" s="106"/>
      <c r="Q2" s="105"/>
      <c r="R2" s="105"/>
      <c r="S2" s="105"/>
      <c r="T2" s="105"/>
      <c r="U2" s="105"/>
      <c r="V2" s="105"/>
      <c r="W2" s="5"/>
      <c r="X2" s="5"/>
      <c r="Y2" s="5"/>
      <c r="Z2" s="5"/>
      <c r="AA2" s="5"/>
      <c r="AB2" s="5"/>
      <c r="AC2" s="5"/>
    </row>
    <row r="3" spans="1:29" ht="12.75" customHeight="1" thickBot="1">
      <c r="A3" s="91"/>
      <c r="B3" s="107"/>
      <c r="C3" s="108"/>
      <c r="D3" s="108"/>
      <c r="E3" s="69"/>
      <c r="F3" s="109"/>
      <c r="G3" s="9"/>
      <c r="H3" s="110"/>
      <c r="I3" s="110"/>
      <c r="J3" s="111"/>
      <c r="K3" s="112"/>
      <c r="N3" s="105"/>
      <c r="O3" s="105"/>
      <c r="P3" s="113"/>
      <c r="Q3" s="105"/>
      <c r="R3" s="105"/>
      <c r="S3" s="109"/>
      <c r="U3" s="114"/>
      <c r="V3" s="114"/>
      <c r="W3" s="5"/>
      <c r="X3" s="114"/>
      <c r="Y3" s="115"/>
      <c r="Z3" s="5"/>
      <c r="AA3" s="5"/>
      <c r="AB3" s="5"/>
      <c r="AC3" s="5"/>
    </row>
    <row r="4" spans="1:29" ht="12.75">
      <c r="A4" s="116" t="s">
        <v>102</v>
      </c>
      <c r="B4" s="512"/>
      <c r="C4" s="513" t="s">
        <v>25</v>
      </c>
      <c r="D4" s="513" t="s">
        <v>26</v>
      </c>
      <c r="E4" s="514"/>
      <c r="F4" s="85"/>
      <c r="G4" s="85"/>
      <c r="H4" s="91"/>
      <c r="I4" s="91"/>
      <c r="J4" s="85"/>
      <c r="K4" s="85"/>
      <c r="N4" s="105"/>
      <c r="O4" s="105"/>
      <c r="P4" s="105"/>
      <c r="Q4" s="105"/>
      <c r="R4" s="105"/>
      <c r="S4" s="109"/>
      <c r="U4" s="114"/>
      <c r="V4" s="114"/>
      <c r="W4" s="5"/>
      <c r="X4" s="114"/>
      <c r="Y4" s="115"/>
      <c r="Z4" s="5"/>
      <c r="AA4" s="5"/>
      <c r="AB4" s="5"/>
      <c r="AC4" s="5"/>
    </row>
    <row r="5" spans="2:29" ht="12.75">
      <c r="B5" s="515"/>
      <c r="C5" s="516" t="s">
        <v>3</v>
      </c>
      <c r="D5" s="516" t="s">
        <v>2</v>
      </c>
      <c r="E5" s="517" t="s">
        <v>27</v>
      </c>
      <c r="G5" s="85"/>
      <c r="H5" s="91"/>
      <c r="I5" s="91"/>
      <c r="J5" s="91"/>
      <c r="K5" s="85"/>
      <c r="N5" s="105"/>
      <c r="O5" s="105"/>
      <c r="P5" s="105"/>
      <c r="Q5" s="105"/>
      <c r="R5" s="105"/>
      <c r="S5" s="109"/>
      <c r="U5" s="114"/>
      <c r="V5" s="114"/>
      <c r="W5" s="5"/>
      <c r="X5" s="114"/>
      <c r="Y5" s="5"/>
      <c r="Z5" s="5"/>
      <c r="AA5" s="5"/>
      <c r="AB5" s="5"/>
      <c r="AC5" s="5"/>
    </row>
    <row r="6" spans="2:29" ht="12.75" customHeight="1">
      <c r="B6" s="518" t="s">
        <v>234</v>
      </c>
      <c r="C6" s="519">
        <v>352</v>
      </c>
      <c r="D6" s="520">
        <f>E6-C6</f>
        <v>4776</v>
      </c>
      <c r="E6" s="521">
        <v>5128</v>
      </c>
      <c r="F6" s="117"/>
      <c r="G6" s="118"/>
      <c r="H6" s="20"/>
      <c r="I6" s="20"/>
      <c r="J6" s="20"/>
      <c r="K6" s="85"/>
      <c r="N6" s="105"/>
      <c r="O6" s="105"/>
      <c r="P6" s="105"/>
      <c r="Q6" s="105"/>
      <c r="R6" s="105"/>
      <c r="S6" s="109"/>
      <c r="U6" s="114"/>
      <c r="V6" s="114"/>
      <c r="W6" s="5"/>
      <c r="X6" s="114"/>
      <c r="Y6" s="5"/>
      <c r="Z6" s="5"/>
      <c r="AA6" s="5"/>
      <c r="AB6" s="5"/>
      <c r="AC6" s="5"/>
    </row>
    <row r="7" spans="2:29" ht="12.75" customHeight="1">
      <c r="B7" s="518" t="s">
        <v>235</v>
      </c>
      <c r="C7" s="522">
        <v>371</v>
      </c>
      <c r="D7" s="520">
        <f>E7-C7</f>
        <v>4752</v>
      </c>
      <c r="E7" s="521">
        <v>5123</v>
      </c>
      <c r="F7" s="119"/>
      <c r="G7" s="120"/>
      <c r="H7" s="121"/>
      <c r="I7" s="121"/>
      <c r="J7" s="121"/>
      <c r="K7" s="85"/>
      <c r="L7" s="122"/>
      <c r="N7" s="105"/>
      <c r="O7" s="105"/>
      <c r="P7" s="105"/>
      <c r="Q7" s="105"/>
      <c r="R7" s="105"/>
      <c r="S7" s="109"/>
      <c r="U7" s="114"/>
      <c r="V7" s="114"/>
      <c r="W7" s="5"/>
      <c r="X7" s="114"/>
      <c r="Y7" s="5"/>
      <c r="Z7" s="5"/>
      <c r="AA7" s="5"/>
      <c r="AB7" s="5"/>
      <c r="AC7" s="5"/>
    </row>
    <row r="8" spans="2:29" ht="13.5" thickBot="1">
      <c r="B8" s="523" t="s">
        <v>27</v>
      </c>
      <c r="C8" s="524">
        <f>SUM(C6:C7)</f>
        <v>723</v>
      </c>
      <c r="D8" s="524">
        <f>SUM(D6:D7)</f>
        <v>9528</v>
      </c>
      <c r="E8" s="525">
        <f>SUM(E6:E7)</f>
        <v>10251</v>
      </c>
      <c r="G8" s="92"/>
      <c r="H8" s="91"/>
      <c r="I8" s="91"/>
      <c r="J8" s="91"/>
      <c r="K8" s="85"/>
      <c r="L8" s="122"/>
      <c r="O8" s="123"/>
      <c r="P8" s="124"/>
      <c r="Q8" s="124"/>
      <c r="R8" s="124"/>
      <c r="S8" s="114"/>
      <c r="U8" s="114"/>
      <c r="V8" s="114"/>
      <c r="W8" s="5"/>
      <c r="X8" s="114"/>
      <c r="Y8" s="5"/>
      <c r="Z8" s="5"/>
      <c r="AA8" s="5"/>
      <c r="AB8" s="5"/>
      <c r="AC8" s="5"/>
    </row>
    <row r="9" spans="2:29" ht="12.75" customHeight="1" hidden="1">
      <c r="B9" s="125"/>
      <c r="C9" s="126"/>
      <c r="D9" s="92"/>
      <c r="E9" s="92"/>
      <c r="G9" s="14"/>
      <c r="H9" s="91"/>
      <c r="I9" s="91"/>
      <c r="J9" s="91"/>
      <c r="L9" s="122"/>
      <c r="O9" s="123"/>
      <c r="P9" s="124"/>
      <c r="Q9" s="124"/>
      <c r="R9" s="124"/>
      <c r="S9" s="114"/>
      <c r="U9" s="114"/>
      <c r="V9" s="114"/>
      <c r="W9" s="5"/>
      <c r="X9" s="114"/>
      <c r="Y9" s="5"/>
      <c r="Z9" s="5"/>
      <c r="AA9" s="5"/>
      <c r="AB9" s="5"/>
      <c r="AC9" s="5"/>
    </row>
    <row r="10" spans="1:22" s="1" customFormat="1" ht="12.75" customHeight="1" hidden="1">
      <c r="A10" s="94" t="s">
        <v>8</v>
      </c>
      <c r="B10" s="127"/>
      <c r="C10" s="95"/>
      <c r="D10" s="4"/>
      <c r="E10" s="122"/>
      <c r="F10" s="3"/>
      <c r="G10" s="122"/>
      <c r="H10" s="128"/>
      <c r="I10" s="122"/>
      <c r="L10" s="3"/>
      <c r="O10" s="4"/>
      <c r="P10" s="90"/>
      <c r="Q10" s="90"/>
      <c r="R10" s="90"/>
      <c r="S10" s="4"/>
      <c r="T10" s="4"/>
      <c r="U10" s="4"/>
      <c r="V10" s="4"/>
    </row>
    <row r="11" spans="1:22" s="1" customFormat="1" ht="12.75" customHeight="1" hidden="1">
      <c r="A11" s="2" t="s">
        <v>228</v>
      </c>
      <c r="B11" s="127"/>
      <c r="C11" s="95"/>
      <c r="D11" s="4"/>
      <c r="E11" s="122"/>
      <c r="F11" s="3"/>
      <c r="G11" s="122"/>
      <c r="H11" s="128"/>
      <c r="I11" s="122"/>
      <c r="J11" s="129"/>
      <c r="O11" s="4"/>
      <c r="P11" s="101"/>
      <c r="Q11" s="101"/>
      <c r="R11" s="101"/>
      <c r="S11" s="4"/>
      <c r="T11" s="4"/>
      <c r="U11" s="4"/>
      <c r="V11" s="4"/>
    </row>
    <row r="12" spans="1:22" s="1" customFormat="1" ht="37.5" customHeight="1" hidden="1">
      <c r="A12" s="499" t="s">
        <v>30</v>
      </c>
      <c r="B12" s="499" t="s">
        <v>229</v>
      </c>
      <c r="C12" s="499" t="s">
        <v>6</v>
      </c>
      <c r="D12" s="499" t="s">
        <v>230</v>
      </c>
      <c r="E12" s="499" t="s">
        <v>231</v>
      </c>
      <c r="F12" s="499" t="s">
        <v>5</v>
      </c>
      <c r="G12" s="499" t="s">
        <v>0</v>
      </c>
      <c r="H12" s="499" t="s">
        <v>1</v>
      </c>
      <c r="I12" s="122"/>
      <c r="J12" s="130" t="s">
        <v>67</v>
      </c>
      <c r="K12" s="131" t="s">
        <v>0</v>
      </c>
      <c r="L12" s="131" t="s">
        <v>1</v>
      </c>
      <c r="O12" s="4"/>
      <c r="P12" s="4"/>
      <c r="Q12" s="4"/>
      <c r="R12" s="4"/>
      <c r="S12" s="4"/>
      <c r="T12" s="4"/>
      <c r="U12" s="4"/>
      <c r="V12" s="4"/>
    </row>
    <row r="13" spans="1:22" s="1" customFormat="1" ht="12.75" customHeight="1" hidden="1">
      <c r="A13" s="500">
        <f>LN((C6/E6)/(C7/E7))</f>
        <v>-0.05354640167064175</v>
      </c>
      <c r="B13" s="500">
        <f>SQRT((D6/(C6*E6)+(D7/(C7*E7))))</f>
        <v>0.07173646878859108</v>
      </c>
      <c r="C13" s="501">
        <f>-NORMSINV(2.55/100)</f>
        <v>1.951479773475859</v>
      </c>
      <c r="D13" s="501">
        <f>A13-(C13*B13)</f>
        <v>-0.1935386695321595</v>
      </c>
      <c r="E13" s="502">
        <f>A13+(C13*B13)</f>
        <v>0.08644586619087599</v>
      </c>
      <c r="F13" s="503">
        <f>(C6/E6)/(C7/E7)</f>
        <v>0.9478619576049888</v>
      </c>
      <c r="G13" s="504">
        <f>EXP(D13)</f>
        <v>0.8240379704161997</v>
      </c>
      <c r="H13" s="505">
        <f>EXP(E13)</f>
        <v>1.090292344442553</v>
      </c>
      <c r="I13" s="122"/>
      <c r="J13" s="132">
        <f>1-F13</f>
        <v>0.052138042395011186</v>
      </c>
      <c r="K13" s="133">
        <f>1-G13</f>
        <v>0.17596202958380025</v>
      </c>
      <c r="L13" s="133">
        <f>1-H13</f>
        <v>-0.09029234444255296</v>
      </c>
      <c r="M13" s="134"/>
      <c r="O13" s="4"/>
      <c r="P13" s="4"/>
      <c r="Q13" s="4"/>
      <c r="R13" s="4"/>
      <c r="S13" s="4"/>
      <c r="T13" s="4"/>
      <c r="U13" s="4"/>
      <c r="V13" s="4"/>
    </row>
    <row r="14" spans="2:22" s="1" customFormat="1" ht="12.75" customHeight="1" hidden="1">
      <c r="B14" s="127"/>
      <c r="C14" s="135"/>
      <c r="D14" s="136"/>
      <c r="E14" s="137"/>
      <c r="F14" s="138"/>
      <c r="G14" s="139"/>
      <c r="H14" s="136"/>
      <c r="I14" s="122"/>
      <c r="J14" s="3"/>
      <c r="K14" s="3"/>
      <c r="L14" s="3"/>
      <c r="O14" s="4"/>
      <c r="P14" s="4"/>
      <c r="Q14" s="4"/>
      <c r="R14" s="4"/>
      <c r="S14" s="4"/>
      <c r="T14" s="4"/>
      <c r="U14" s="4"/>
      <c r="V14" s="4"/>
    </row>
    <row r="15" spans="2:13" s="5" customFormat="1" ht="12.75" customHeight="1" hidden="1">
      <c r="B15" s="140"/>
      <c r="C15" s="141"/>
      <c r="D15" s="142"/>
      <c r="E15" s="143"/>
      <c r="F15" s="144"/>
      <c r="G15" s="145"/>
      <c r="H15" s="146"/>
      <c r="I15" s="147"/>
      <c r="L15" s="6"/>
      <c r="M15" s="6"/>
    </row>
    <row r="16" spans="1:28" ht="18.75" customHeight="1" hidden="1">
      <c r="A16" s="148" t="s">
        <v>38</v>
      </c>
      <c r="B16" s="149"/>
      <c r="C16" s="150"/>
      <c r="D16" s="98"/>
      <c r="E16" s="147"/>
      <c r="F16" s="147"/>
      <c r="G16" s="147"/>
      <c r="H16" s="151"/>
      <c r="I16" s="147"/>
      <c r="J16" s="5"/>
      <c r="K16" s="32"/>
      <c r="L16" s="4"/>
      <c r="M16" s="13"/>
      <c r="N16" s="13"/>
      <c r="O16" s="4"/>
      <c r="P16" s="4"/>
      <c r="Q16" s="22"/>
      <c r="R16" s="13"/>
      <c r="S16" s="11"/>
      <c r="T16" s="11"/>
      <c r="U16" s="11"/>
      <c r="V16" s="5"/>
      <c r="W16" s="5"/>
      <c r="X16" s="5"/>
      <c r="Y16" s="5"/>
      <c r="Z16" s="5"/>
      <c r="AA16" s="5"/>
      <c r="AB16" s="5"/>
    </row>
    <row r="17" spans="1:27" ht="12.75" customHeight="1" hidden="1">
      <c r="A17" s="152" t="s">
        <v>15</v>
      </c>
      <c r="B17" s="153" t="s">
        <v>14</v>
      </c>
      <c r="C17" s="33"/>
      <c r="D17" s="154"/>
      <c r="E17" s="155"/>
      <c r="F17" s="155"/>
      <c r="G17" s="155"/>
      <c r="H17" s="156"/>
      <c r="I17" s="155"/>
      <c r="J17" s="157"/>
      <c r="K17" s="12"/>
      <c r="L17" s="158"/>
      <c r="M17" s="13"/>
      <c r="N17" s="4"/>
      <c r="O17" s="4"/>
      <c r="P17" s="22"/>
      <c r="Q17" s="13"/>
      <c r="R17" s="11"/>
      <c r="S17" s="11"/>
      <c r="T17" s="11"/>
      <c r="V17" s="5" t="s">
        <v>36</v>
      </c>
      <c r="W17" s="5"/>
      <c r="X17" s="5"/>
      <c r="Y17" s="5"/>
      <c r="Z17" s="5"/>
      <c r="AA17" s="5"/>
    </row>
    <row r="18" spans="1:29" ht="13.5" customHeight="1" hidden="1" thickBot="1">
      <c r="A18" s="159" t="s">
        <v>161</v>
      </c>
      <c r="B18" s="96" t="s">
        <v>11</v>
      </c>
      <c r="C18" s="160"/>
      <c r="D18" s="96" t="s">
        <v>162</v>
      </c>
      <c r="E18" s="96"/>
      <c r="F18" s="96" t="s">
        <v>9</v>
      </c>
      <c r="G18" s="96"/>
      <c r="H18" s="96" t="s">
        <v>10</v>
      </c>
      <c r="I18" s="161"/>
      <c r="J18" s="161"/>
      <c r="K18" s="161"/>
      <c r="L18" s="158"/>
      <c r="M18" s="5"/>
      <c r="O18" s="2"/>
      <c r="S18" s="5"/>
      <c r="U18" s="2"/>
      <c r="V18" s="2" t="s">
        <v>37</v>
      </c>
      <c r="X18" s="15"/>
      <c r="Y18" s="15"/>
      <c r="Z18" s="15"/>
      <c r="AA18" s="15"/>
      <c r="AB18" s="15"/>
      <c r="AC18" s="15"/>
    </row>
    <row r="19" spans="1:29" ht="38.25" customHeight="1" hidden="1">
      <c r="A19" s="162" t="s">
        <v>4</v>
      </c>
      <c r="B19" s="162" t="s">
        <v>31</v>
      </c>
      <c r="C19" s="163" t="s">
        <v>12</v>
      </c>
      <c r="D19" s="163" t="s">
        <v>11</v>
      </c>
      <c r="E19" s="163" t="s">
        <v>162</v>
      </c>
      <c r="F19" s="163" t="s">
        <v>9</v>
      </c>
      <c r="G19" s="163" t="s">
        <v>10</v>
      </c>
      <c r="H19" s="164" t="s">
        <v>6</v>
      </c>
      <c r="I19" s="165" t="s">
        <v>32</v>
      </c>
      <c r="J19" s="526" t="s">
        <v>0</v>
      </c>
      <c r="K19" s="527" t="s">
        <v>1</v>
      </c>
      <c r="L19" s="17"/>
      <c r="M19" s="166"/>
      <c r="N19" s="167" t="s">
        <v>17</v>
      </c>
      <c r="O19" s="168" t="s">
        <v>163</v>
      </c>
      <c r="P19" s="169"/>
      <c r="Q19" s="170"/>
      <c r="R19" s="171"/>
      <c r="S19" s="171"/>
      <c r="T19" s="172"/>
      <c r="V19" s="173"/>
      <c r="W19" s="167" t="s">
        <v>164</v>
      </c>
      <c r="X19" s="168" t="s">
        <v>33</v>
      </c>
      <c r="Y19" s="174"/>
      <c r="Z19" s="174"/>
      <c r="AA19" s="174"/>
      <c r="AB19" s="174"/>
      <c r="AC19" s="175"/>
    </row>
    <row r="20" spans="1:29" ht="12.75" customHeight="1" hidden="1">
      <c r="A20" s="176">
        <f>C6</f>
        <v>352</v>
      </c>
      <c r="B20" s="176">
        <f>E6</f>
        <v>5128</v>
      </c>
      <c r="C20" s="177">
        <f>A20/B20</f>
        <v>0.0686427457098284</v>
      </c>
      <c r="D20" s="178">
        <f>2*A20+H20^2</f>
        <v>707.8414588206941</v>
      </c>
      <c r="E20" s="178">
        <f>H20*SQRT((H20^2)+(4*A20*(1-C20)))</f>
        <v>71.07923554585676</v>
      </c>
      <c r="F20" s="179">
        <f>2*(B20+H20^2)</f>
        <v>10263.682917641388</v>
      </c>
      <c r="G20" s="180" t="s">
        <v>13</v>
      </c>
      <c r="H20" s="181">
        <f>-NORMSINV(2.5/100)</f>
        <v>1.9599639845400538</v>
      </c>
      <c r="I20" s="182">
        <f>C20</f>
        <v>0.0686427457098284</v>
      </c>
      <c r="J20" s="183">
        <f>(D20-E20)/F20</f>
        <v>0.062040324938366906</v>
      </c>
      <c r="K20" s="184">
        <f>(D20+E20)/F20</f>
        <v>0.07589095460341326</v>
      </c>
      <c r="L20" s="17"/>
      <c r="M20" s="185">
        <f>B20</f>
        <v>5128</v>
      </c>
      <c r="N20" s="85" t="s">
        <v>18</v>
      </c>
      <c r="O20" s="4"/>
      <c r="P20" s="22"/>
      <c r="Q20" s="13"/>
      <c r="R20" s="11"/>
      <c r="S20" s="11"/>
      <c r="T20" s="186"/>
      <c r="V20" s="187">
        <f>ABS(C20-C21)</f>
        <v>0.0037757590725256973</v>
      </c>
      <c r="W20" s="85" t="s">
        <v>34</v>
      </c>
      <c r="X20" s="4"/>
      <c r="Y20" s="85"/>
      <c r="Z20" s="85"/>
      <c r="AA20" s="85"/>
      <c r="AB20" s="85"/>
      <c r="AC20" s="97"/>
    </row>
    <row r="21" spans="1:29" ht="12.75" customHeight="1" hidden="1">
      <c r="A21" s="176">
        <f>C7</f>
        <v>371</v>
      </c>
      <c r="B21" s="176">
        <f>E7</f>
        <v>5123</v>
      </c>
      <c r="C21" s="177">
        <f>A21/B21</f>
        <v>0.07241850478235409</v>
      </c>
      <c r="D21" s="178">
        <f>2*A21+H21^2</f>
        <v>745.8414588206941</v>
      </c>
      <c r="E21" s="178">
        <f>H21*SQRT((H21^2)+(4*A21*(1-C21)))</f>
        <v>72.81925379374833</v>
      </c>
      <c r="F21" s="179">
        <f>2*(B21+H21^2)</f>
        <v>10253.682917641388</v>
      </c>
      <c r="G21" s="180" t="s">
        <v>13</v>
      </c>
      <c r="H21" s="181">
        <f>-NORMSINV(2.5/100)</f>
        <v>1.9599639845400538</v>
      </c>
      <c r="I21" s="182">
        <f>C21</f>
        <v>0.07241850478235409</v>
      </c>
      <c r="J21" s="183">
        <f>(D21-E21)/F21</f>
        <v>0.06563711891939002</v>
      </c>
      <c r="K21" s="184">
        <f>(D21+E21)/F21</f>
        <v>0.07984065034875835</v>
      </c>
      <c r="L21" s="17"/>
      <c r="M21" s="188">
        <f>I25</f>
        <v>0.0037757590725256973</v>
      </c>
      <c r="N21" s="85" t="s">
        <v>19</v>
      </c>
      <c r="O21" s="85"/>
      <c r="P21" s="85"/>
      <c r="Q21" s="85"/>
      <c r="R21" s="85"/>
      <c r="S21" s="85"/>
      <c r="T21" s="189"/>
      <c r="V21" s="190">
        <f>SQRT((C22*(1-C22)/B20)+(C22*(1-C22)/B21))</f>
        <v>0.0050576726855087245</v>
      </c>
      <c r="W21" s="18" t="s">
        <v>35</v>
      </c>
      <c r="X21" s="85"/>
      <c r="Y21" s="85"/>
      <c r="Z21" s="85"/>
      <c r="AA21" s="85"/>
      <c r="AB21" s="85"/>
      <c r="AC21" s="97"/>
    </row>
    <row r="22" spans="1:29" ht="12.75" customHeight="1" hidden="1">
      <c r="A22" s="191">
        <f>A20+A21</f>
        <v>723</v>
      </c>
      <c r="B22" s="191">
        <f>B20+B21</f>
        <v>10251</v>
      </c>
      <c r="C22" s="192">
        <f>A22/B22</f>
        <v>0.07052970441908106</v>
      </c>
      <c r="D22" s="193"/>
      <c r="E22" s="193"/>
      <c r="F22" s="194"/>
      <c r="G22" s="20"/>
      <c r="H22" s="195"/>
      <c r="I22" s="196"/>
      <c r="J22" s="196"/>
      <c r="K22" s="196"/>
      <c r="L22" s="17"/>
      <c r="M22" s="197">
        <f>(A20+A21)/(B20+B21)</f>
        <v>0.07052970441908106</v>
      </c>
      <c r="N22" s="85" t="s">
        <v>7</v>
      </c>
      <c r="O22" s="4"/>
      <c r="P22" s="22"/>
      <c r="Q22" s="13"/>
      <c r="R22" s="11"/>
      <c r="S22" s="11"/>
      <c r="T22" s="97"/>
      <c r="V22" s="198">
        <f>V20/V21</f>
        <v>0.7465408118133121</v>
      </c>
      <c r="W22" s="85" t="s">
        <v>56</v>
      </c>
      <c r="X22" s="4"/>
      <c r="Y22" s="85"/>
      <c r="Z22" s="85"/>
      <c r="AA22" s="85"/>
      <c r="AB22" s="85"/>
      <c r="AC22" s="97"/>
    </row>
    <row r="23" spans="1:29" ht="12.75" customHeight="1" hidden="1">
      <c r="A23" s="96"/>
      <c r="B23" s="153" t="s">
        <v>16</v>
      </c>
      <c r="C23" s="96"/>
      <c r="D23" s="96"/>
      <c r="E23" s="155"/>
      <c r="F23" s="155"/>
      <c r="G23" s="155"/>
      <c r="H23" s="156"/>
      <c r="I23" s="155"/>
      <c r="J23" s="157"/>
      <c r="K23" s="96"/>
      <c r="L23" s="17"/>
      <c r="M23" s="506">
        <f>SQRT(M20*M21^2/(2*M22*(1-M22)))-H20</f>
        <v>-1.2132410407345193</v>
      </c>
      <c r="N23" s="85" t="s">
        <v>165</v>
      </c>
      <c r="O23" s="85"/>
      <c r="P23" s="85"/>
      <c r="Q23" s="85"/>
      <c r="R23" s="85"/>
      <c r="S23" s="1"/>
      <c r="T23" s="186"/>
      <c r="V23" s="507">
        <f>NORMSDIST(-V22)</f>
        <v>0.22767039378957996</v>
      </c>
      <c r="W23" s="32" t="s">
        <v>72</v>
      </c>
      <c r="X23" s="85"/>
      <c r="Y23" s="1"/>
      <c r="Z23" s="1"/>
      <c r="AA23" s="1"/>
      <c r="AB23" s="1"/>
      <c r="AC23" s="189"/>
    </row>
    <row r="24" spans="1:29" ht="13.5" customHeight="1" hidden="1" thickBot="1">
      <c r="A24" s="96"/>
      <c r="B24" s="153" t="s">
        <v>166</v>
      </c>
      <c r="C24" s="33"/>
      <c r="D24" s="154"/>
      <c r="E24" s="155"/>
      <c r="F24" s="155"/>
      <c r="I24" s="199"/>
      <c r="J24" s="199"/>
      <c r="K24" s="199"/>
      <c r="L24" s="17"/>
      <c r="M24" s="508">
        <f>NORMSDIST(M23)</f>
        <v>0.11251883865632648</v>
      </c>
      <c r="N24" s="32" t="s">
        <v>21</v>
      </c>
      <c r="O24" s="200"/>
      <c r="P24" s="85"/>
      <c r="Q24" s="85"/>
      <c r="R24" s="85"/>
      <c r="S24" s="85"/>
      <c r="T24" s="97"/>
      <c r="V24" s="201">
        <f>1-V23</f>
        <v>0.77232960621042</v>
      </c>
      <c r="W24" s="202" t="s">
        <v>232</v>
      </c>
      <c r="X24" s="200"/>
      <c r="Y24" s="1"/>
      <c r="Z24" s="1"/>
      <c r="AA24" s="1"/>
      <c r="AB24" s="1"/>
      <c r="AC24" s="189"/>
    </row>
    <row r="25" spans="1:29" ht="15" customHeight="1" hidden="1" thickBot="1">
      <c r="A25" s="203" t="s">
        <v>101</v>
      </c>
      <c r="B25" s="204"/>
      <c r="D25" s="33"/>
      <c r="E25" s="205" t="s">
        <v>69</v>
      </c>
      <c r="F25" s="96"/>
      <c r="G25" s="33"/>
      <c r="H25" s="206" t="s">
        <v>28</v>
      </c>
      <c r="I25" s="207">
        <f>C21-C20</f>
        <v>0.0037757590725256973</v>
      </c>
      <c r="J25" s="208">
        <f>I25+SQRT((C21-J21)^2+(K20-C20)^2)</f>
        <v>0.013701670939324222</v>
      </c>
      <c r="K25" s="209">
        <f>I25-SQRT((C20-J20)^2+(K21-C21)^2)</f>
        <v>-0.00615803198891306</v>
      </c>
      <c r="L25" s="85"/>
      <c r="M25" s="509">
        <f>1-M24</f>
        <v>0.8874811613436735</v>
      </c>
      <c r="N25" s="210" t="s">
        <v>20</v>
      </c>
      <c r="O25" s="211"/>
      <c r="P25" s="212"/>
      <c r="Q25" s="211"/>
      <c r="R25" s="211"/>
      <c r="S25" s="211"/>
      <c r="T25" s="100"/>
      <c r="V25" s="213"/>
      <c r="W25" s="214"/>
      <c r="X25" s="211"/>
      <c r="Y25" s="214"/>
      <c r="Z25" s="214"/>
      <c r="AA25" s="214"/>
      <c r="AB25" s="214"/>
      <c r="AC25" s="215"/>
    </row>
    <row r="26" spans="3:28" ht="13.5" customHeight="1" hidden="1" thickBot="1">
      <c r="C26" s="16"/>
      <c r="E26" s="82"/>
      <c r="H26" s="216" t="s">
        <v>29</v>
      </c>
      <c r="I26" s="217">
        <f>1/I25</f>
        <v>264.84740704895546</v>
      </c>
      <c r="J26" s="218">
        <f>1/J25</f>
        <v>72.9837991605804</v>
      </c>
      <c r="K26" s="219">
        <f>1/K25</f>
        <v>-162.3895429254676</v>
      </c>
      <c r="L26" s="92"/>
      <c r="N26" s="2"/>
      <c r="O26" s="2"/>
      <c r="T26" s="2"/>
      <c r="U26" s="2"/>
      <c r="V26" s="5"/>
      <c r="W26" s="5"/>
      <c r="X26" s="5"/>
      <c r="Y26" s="5"/>
      <c r="Z26" s="5"/>
      <c r="AA26" s="5"/>
      <c r="AB26" s="5"/>
    </row>
    <row r="27" spans="1:21" ht="12.75" customHeight="1" hidden="1">
      <c r="A27" s="1"/>
      <c r="B27" s="53"/>
      <c r="C27" s="16"/>
      <c r="D27" s="220"/>
      <c r="I27" s="99"/>
      <c r="J27" s="221"/>
      <c r="K27" s="221"/>
      <c r="L27" s="222"/>
      <c r="M27" s="222"/>
      <c r="N27" s="69"/>
      <c r="O27" s="69"/>
      <c r="P27" s="69"/>
      <c r="Q27" s="69"/>
      <c r="R27" s="69"/>
      <c r="S27" s="69"/>
      <c r="T27" s="2"/>
      <c r="U27" s="2"/>
    </row>
    <row r="28" spans="1:21" ht="15.75" customHeight="1" hidden="1">
      <c r="A28" s="129"/>
      <c r="B28" s="129"/>
      <c r="C28" s="53"/>
      <c r="D28" s="220"/>
      <c r="E28" s="223"/>
      <c r="F28" s="47"/>
      <c r="G28" s="48" t="s">
        <v>92</v>
      </c>
      <c r="H28" s="224" t="s">
        <v>93</v>
      </c>
      <c r="I28" s="225">
        <f>I26</f>
        <v>264.84740704895546</v>
      </c>
      <c r="J28" s="225">
        <f>J26</f>
        <v>72.9837991605804</v>
      </c>
      <c r="K28" s="225">
        <f>K26</f>
        <v>-162.3895429254676</v>
      </c>
      <c r="L28" s="14"/>
      <c r="T28" s="2"/>
      <c r="U28" s="2"/>
    </row>
    <row r="29" spans="1:19" s="1" customFormat="1" ht="12.75" customHeight="1" hidden="1">
      <c r="A29" s="122"/>
      <c r="B29" s="220"/>
      <c r="C29" s="220"/>
      <c r="D29" s="226"/>
      <c r="E29" s="227"/>
      <c r="F29" s="228"/>
      <c r="G29" s="229"/>
      <c r="H29" s="230" t="s">
        <v>96</v>
      </c>
      <c r="I29" s="231">
        <f>(1-C21)*I26</f>
        <v>245.6675538349866</v>
      </c>
      <c r="J29" s="231">
        <f>(1-C21)*J26</f>
        <v>67.69842155203554</v>
      </c>
      <c r="K29" s="231">
        <f>(1-C21)*K26</f>
        <v>-150.62953503451533</v>
      </c>
      <c r="L29" s="2"/>
      <c r="M29" s="2"/>
      <c r="N29" s="5"/>
      <c r="O29" s="5"/>
      <c r="P29" s="2"/>
      <c r="Q29" s="2"/>
      <c r="R29" s="2"/>
      <c r="S29" s="2"/>
    </row>
    <row r="30" spans="2:11" s="1" customFormat="1" ht="12.75" customHeight="1" hidden="1">
      <c r="B30" s="53"/>
      <c r="C30" s="53"/>
      <c r="D30" s="53"/>
      <c r="E30" s="232"/>
      <c r="F30" s="233"/>
      <c r="G30" s="54"/>
      <c r="H30" s="55" t="s">
        <v>99</v>
      </c>
      <c r="I30" s="234">
        <f>I26*I25</f>
        <v>0.9999999999999999</v>
      </c>
      <c r="J30" s="234">
        <f>J26*J25</f>
        <v>1</v>
      </c>
      <c r="K30" s="234">
        <f>K26*K25</f>
        <v>1</v>
      </c>
    </row>
    <row r="31" spans="1:11" s="1" customFormat="1" ht="12.75" customHeight="1" hidden="1">
      <c r="A31" s="3"/>
      <c r="B31" s="235"/>
      <c r="D31" s="3"/>
      <c r="F31" s="236"/>
      <c r="G31" s="237"/>
      <c r="H31" s="238" t="s">
        <v>100</v>
      </c>
      <c r="I31" s="239">
        <f>(C21-I25)*I26</f>
        <v>18.179853213968862</v>
      </c>
      <c r="J31" s="239">
        <f>(C21-J25)*J26</f>
        <v>4.285377608544863</v>
      </c>
      <c r="K31" s="239">
        <f>(C21-K25)*K26</f>
        <v>-12.76000789095227</v>
      </c>
    </row>
    <row r="32" spans="1:11" s="1" customFormat="1" ht="12.75" customHeight="1" hidden="1">
      <c r="A32" s="3"/>
      <c r="F32" s="59"/>
      <c r="G32" s="59"/>
      <c r="H32" s="59"/>
      <c r="I32" s="240"/>
      <c r="J32" s="240"/>
      <c r="K32" s="240"/>
    </row>
    <row r="33" spans="5:16" s="1" customFormat="1" ht="15.75" customHeight="1" hidden="1">
      <c r="E33" s="63"/>
      <c r="F33" s="241"/>
      <c r="G33" s="48" t="s">
        <v>94</v>
      </c>
      <c r="H33" s="224" t="s">
        <v>95</v>
      </c>
      <c r="I33" s="225">
        <f>ABS(I26)</f>
        <v>264.84740704895546</v>
      </c>
      <c r="J33" s="225">
        <f>ABS(K26)</f>
        <v>162.3895429254676</v>
      </c>
      <c r="K33" s="225">
        <f>ABS(J26)</f>
        <v>72.9837991605804</v>
      </c>
      <c r="M33" s="61"/>
      <c r="N33" s="61"/>
      <c r="O33" s="64"/>
      <c r="P33" s="62"/>
    </row>
    <row r="34" spans="6:16" s="1" customFormat="1" ht="13.5" customHeight="1" hidden="1">
      <c r="F34" s="242"/>
      <c r="G34" s="243"/>
      <c r="H34" s="65" t="s">
        <v>96</v>
      </c>
      <c r="I34" s="231">
        <f>ABS((1-(C21-I25))*I26)</f>
        <v>246.6675538349866</v>
      </c>
      <c r="J34" s="231">
        <f>ABS((1-(C21-K25))*K26)</f>
        <v>149.62953503451533</v>
      </c>
      <c r="K34" s="231">
        <f>ABS((1-(C21-J25))*J26)</f>
        <v>68.69842155203554</v>
      </c>
      <c r="M34" s="61"/>
      <c r="N34" s="61"/>
      <c r="O34" s="61"/>
      <c r="P34" s="62"/>
    </row>
    <row r="35" spans="5:11" s="1" customFormat="1" ht="12.75" customHeight="1" hidden="1">
      <c r="E35" s="244"/>
      <c r="F35" s="245"/>
      <c r="G35" s="246"/>
      <c r="H35" s="247" t="s">
        <v>97</v>
      </c>
      <c r="I35" s="248">
        <f>I26*I25</f>
        <v>0.9999999999999999</v>
      </c>
      <c r="J35" s="249">
        <f>K26*K25</f>
        <v>1</v>
      </c>
      <c r="K35" s="249">
        <f>J26*J25</f>
        <v>1</v>
      </c>
    </row>
    <row r="36" spans="1:21" ht="15.75" customHeight="1" hidden="1">
      <c r="A36" s="250" t="s">
        <v>50</v>
      </c>
      <c r="B36" s="251"/>
      <c r="C36" s="251"/>
      <c r="D36" s="251"/>
      <c r="E36" s="59"/>
      <c r="F36" s="252"/>
      <c r="G36" s="253"/>
      <c r="H36" s="254" t="s">
        <v>98</v>
      </c>
      <c r="I36" s="239">
        <f>ABS(C21*I26)</f>
        <v>19.179853213968862</v>
      </c>
      <c r="J36" s="239">
        <f>ABS(C21*K26)</f>
        <v>11.76000789095227</v>
      </c>
      <c r="K36" s="239">
        <f>ABS(C21*J26)</f>
        <v>5.285377608544863</v>
      </c>
      <c r="M36" s="1"/>
      <c r="N36" s="1"/>
      <c r="O36" s="1"/>
      <c r="P36" s="1"/>
      <c r="Q36" s="1"/>
      <c r="T36" s="2"/>
      <c r="U36" s="2"/>
    </row>
    <row r="37" spans="1:17" s="5" customFormat="1" ht="12.75" customHeight="1" hidden="1">
      <c r="A37" s="2"/>
      <c r="B37" s="255" t="s">
        <v>25</v>
      </c>
      <c r="C37" s="256" t="s">
        <v>26</v>
      </c>
      <c r="D37" s="85"/>
      <c r="E37" s="59"/>
      <c r="F37" s="59"/>
      <c r="G37" s="70"/>
      <c r="H37" s="71"/>
      <c r="I37" s="72"/>
      <c r="J37" s="72"/>
      <c r="K37" s="72"/>
      <c r="M37" s="1"/>
      <c r="N37" s="1"/>
      <c r="O37" s="1"/>
      <c r="P37" s="1"/>
      <c r="Q37" s="1"/>
    </row>
    <row r="38" spans="1:21" ht="12.75" customHeight="1" hidden="1">
      <c r="A38" s="257" t="s">
        <v>42</v>
      </c>
      <c r="B38" s="258" t="s">
        <v>3</v>
      </c>
      <c r="C38" s="259" t="s">
        <v>2</v>
      </c>
      <c r="D38" s="260" t="s">
        <v>27</v>
      </c>
      <c r="M38" s="1"/>
      <c r="N38" s="1"/>
      <c r="O38" s="1"/>
      <c r="P38" s="1"/>
      <c r="Q38" s="1"/>
      <c r="T38" s="2"/>
      <c r="U38" s="2"/>
    </row>
    <row r="39" spans="1:21" ht="13.5" customHeight="1" hidden="1">
      <c r="A39" s="261" t="s">
        <v>22</v>
      </c>
      <c r="B39" s="262">
        <f>E6*C8/E8</f>
        <v>361.6763242610477</v>
      </c>
      <c r="C39" s="262">
        <f>E6*D8/E8</f>
        <v>4766.323675738952</v>
      </c>
      <c r="D39" s="262">
        <f>E6</f>
        <v>5128</v>
      </c>
      <c r="F39" s="263"/>
      <c r="G39" s="264" t="s">
        <v>40</v>
      </c>
      <c r="H39" s="265">
        <f>CHIINV(0.05,J40)</f>
        <v>3.8414588206941236</v>
      </c>
      <c r="M39" s="1"/>
      <c r="N39" s="61"/>
      <c r="O39" s="61"/>
      <c r="P39" s="61"/>
      <c r="Q39" s="1"/>
      <c r="T39" s="2"/>
      <c r="U39" s="2"/>
    </row>
    <row r="40" spans="1:21" ht="12.75" customHeight="1" hidden="1">
      <c r="A40" s="266" t="s">
        <v>23</v>
      </c>
      <c r="B40" s="262">
        <f>E7*C8/E8</f>
        <v>361.3236757389523</v>
      </c>
      <c r="C40" s="262">
        <f>E7*D8/E8</f>
        <v>4761.676324261048</v>
      </c>
      <c r="D40" s="262">
        <f>E7</f>
        <v>5123</v>
      </c>
      <c r="E40" s="5"/>
      <c r="F40" s="267"/>
      <c r="G40" s="267"/>
      <c r="H40" s="47"/>
      <c r="I40" s="268" t="s">
        <v>41</v>
      </c>
      <c r="J40" s="269">
        <f>(COUNT(B39:C39)-1)*(COUNT(B39:B40)-1)</f>
        <v>1</v>
      </c>
      <c r="N40" s="61"/>
      <c r="O40" s="61"/>
      <c r="P40" s="61"/>
      <c r="Q40" s="1"/>
      <c r="T40" s="2"/>
      <c r="U40" s="2"/>
    </row>
    <row r="41" spans="1:21" ht="12.75" customHeight="1" hidden="1">
      <c r="A41" s="33" t="s">
        <v>39</v>
      </c>
      <c r="B41" s="262">
        <f>SUM(B39:B40)</f>
        <v>723</v>
      </c>
      <c r="C41" s="262">
        <f>SUM(C39:C40)</f>
        <v>9528</v>
      </c>
      <c r="D41" s="270">
        <f>SUM(D39:D40)</f>
        <v>10251</v>
      </c>
      <c r="E41" s="5"/>
      <c r="F41" s="5"/>
      <c r="G41" s="271" t="s">
        <v>43</v>
      </c>
      <c r="H41" s="85" t="s">
        <v>44</v>
      </c>
      <c r="N41" s="61"/>
      <c r="O41" s="64"/>
      <c r="P41" s="61"/>
      <c r="Q41" s="1"/>
      <c r="T41" s="2"/>
      <c r="U41" s="2"/>
    </row>
    <row r="42" spans="1:21" ht="12.75" customHeight="1" hidden="1">
      <c r="A42" s="33"/>
      <c r="B42" s="272"/>
      <c r="C42" s="272"/>
      <c r="D42" s="273"/>
      <c r="E42" s="5"/>
      <c r="F42" s="5"/>
      <c r="G42" s="271" t="s">
        <v>45</v>
      </c>
      <c r="H42" s="85" t="s">
        <v>46</v>
      </c>
      <c r="N42" s="62"/>
      <c r="O42" s="62"/>
      <c r="P42" s="62"/>
      <c r="Q42" s="1"/>
      <c r="T42" s="2"/>
      <c r="U42" s="2"/>
    </row>
    <row r="43" spans="1:21" ht="26.25" customHeight="1" hidden="1">
      <c r="A43" s="274"/>
      <c r="B43" s="565" t="s">
        <v>53</v>
      </c>
      <c r="C43" s="566"/>
      <c r="F43" s="33"/>
      <c r="G43" s="275"/>
      <c r="H43" s="96"/>
      <c r="N43" s="2"/>
      <c r="O43" s="2"/>
      <c r="T43" s="2"/>
      <c r="U43" s="2"/>
    </row>
    <row r="44" spans="1:21" ht="12.75" customHeight="1" hidden="1">
      <c r="A44" s="274"/>
      <c r="B44" s="276">
        <f>(C6-B39)^2/B39</f>
        <v>0.2588813392644402</v>
      </c>
      <c r="C44" s="276">
        <f>(D6-C39)^2/C39</f>
        <v>0.019644333363580235</v>
      </c>
      <c r="E44" s="257"/>
      <c r="F44" s="277"/>
      <c r="I44" s="1"/>
      <c r="J44" s="1"/>
      <c r="K44" s="278"/>
      <c r="N44" s="2"/>
      <c r="O44" s="2"/>
      <c r="T44" s="2"/>
      <c r="U44" s="2"/>
    </row>
    <row r="45" spans="1:21" ht="12.75" customHeight="1" hidden="1">
      <c r="A45" s="274"/>
      <c r="B45" s="276">
        <f>(C7-B40)^2/B40</f>
        <v>0.25913400502597095</v>
      </c>
      <c r="C45" s="276">
        <f>(D7-C40)^2/C40</f>
        <v>0.01966350604888531</v>
      </c>
      <c r="D45" s="279"/>
      <c r="E45" s="280" t="s">
        <v>47</v>
      </c>
      <c r="F45" s="281">
        <f>B47-H39</f>
        <v>-3.284135636991247</v>
      </c>
      <c r="I45" s="1"/>
      <c r="J45" s="1"/>
      <c r="N45" s="2"/>
      <c r="O45" s="2"/>
      <c r="T45" s="2"/>
      <c r="U45" s="2"/>
    </row>
    <row r="46" spans="1:21" ht="13.5" customHeight="1" hidden="1" thickBot="1">
      <c r="A46" s="85" t="s">
        <v>49</v>
      </c>
      <c r="C46" s="282"/>
      <c r="F46" s="96" t="s">
        <v>51</v>
      </c>
      <c r="I46" s="1"/>
      <c r="J46" s="1"/>
      <c r="N46" s="2"/>
      <c r="O46" s="2"/>
      <c r="T46" s="2"/>
      <c r="U46" s="2"/>
    </row>
    <row r="47" spans="1:21" ht="13.5" customHeight="1" hidden="1" thickBot="1">
      <c r="A47" s="283" t="s">
        <v>48</v>
      </c>
      <c r="B47" s="284">
        <f>SUM(B44:C45)</f>
        <v>0.5573231837028767</v>
      </c>
      <c r="C47" s="85"/>
      <c r="F47" s="96" t="s">
        <v>52</v>
      </c>
      <c r="H47" s="285"/>
      <c r="I47" s="1"/>
      <c r="J47" s="1"/>
      <c r="K47" s="286"/>
      <c r="N47" s="2"/>
      <c r="O47" s="2"/>
      <c r="T47" s="2"/>
      <c r="U47" s="2"/>
    </row>
    <row r="48" spans="1:21" ht="14.25" customHeight="1" hidden="1" thickBot="1">
      <c r="A48" s="287" t="s">
        <v>167</v>
      </c>
      <c r="B48" s="288">
        <f>CHIDIST(B47,1)</f>
        <v>0.45534078757916086</v>
      </c>
      <c r="D48" s="85"/>
      <c r="E48" s="85"/>
      <c r="F48" s="85"/>
      <c r="G48" s="289"/>
      <c r="H48" s="85"/>
      <c r="I48" s="1"/>
      <c r="J48" s="1"/>
      <c r="K48" s="85"/>
      <c r="N48" s="2"/>
      <c r="O48" s="2"/>
      <c r="T48" s="2"/>
      <c r="U48" s="2"/>
    </row>
    <row r="49" spans="4:8" s="1" customFormat="1" ht="12.75" customHeight="1" hidden="1">
      <c r="D49" s="290"/>
      <c r="E49" s="290"/>
      <c r="H49" s="291"/>
    </row>
    <row r="50" spans="9:21" ht="12.75" customHeight="1" hidden="1">
      <c r="I50" s="1"/>
      <c r="J50" s="1"/>
      <c r="N50" s="2"/>
      <c r="O50" s="2"/>
      <c r="T50" s="2"/>
      <c r="U50" s="2"/>
    </row>
    <row r="51" spans="6:21" ht="13.5" customHeight="1" hidden="1" thickBot="1">
      <c r="F51" s="99"/>
      <c r="I51" s="1"/>
      <c r="J51" s="1"/>
      <c r="N51" s="2"/>
      <c r="O51" s="2"/>
      <c r="T51" s="2"/>
      <c r="U51" s="2"/>
    </row>
    <row r="52" spans="1:21" ht="13.5" customHeight="1" hidden="1" thickBot="1">
      <c r="A52" s="292" t="s">
        <v>233</v>
      </c>
      <c r="B52" s="293"/>
      <c r="C52" s="293"/>
      <c r="D52" s="294" t="s">
        <v>83</v>
      </c>
      <c r="E52" s="294" t="s">
        <v>84</v>
      </c>
      <c r="F52" s="294" t="s">
        <v>85</v>
      </c>
      <c r="G52" s="175"/>
      <c r="I52" s="1"/>
      <c r="J52" s="1"/>
      <c r="N52" s="2"/>
      <c r="O52" s="2"/>
      <c r="T52" s="2"/>
      <c r="U52" s="2"/>
    </row>
    <row r="53" spans="1:21" ht="12.75" customHeight="1" hidden="1">
      <c r="A53" s="295" t="s">
        <v>73</v>
      </c>
      <c r="B53" s="296">
        <f>ROUND(E6,0)</f>
        <v>5128</v>
      </c>
      <c r="C53" s="296">
        <f>ROUND(E7,0)</f>
        <v>5123</v>
      </c>
      <c r="D53" s="297">
        <f>ROUND(F13,2)</f>
        <v>0.95</v>
      </c>
      <c r="E53" s="77">
        <f>ROUND(I25,4)</f>
        <v>0.0038</v>
      </c>
      <c r="F53" s="298">
        <f>ROUND(I26,0)</f>
        <v>265</v>
      </c>
      <c r="G53" s="97"/>
      <c r="I53" s="1"/>
      <c r="J53" s="1"/>
      <c r="N53" s="2"/>
      <c r="O53" s="2"/>
      <c r="T53" s="2"/>
      <c r="U53" s="2"/>
    </row>
    <row r="54" spans="1:21" ht="12.75" customHeight="1" hidden="1">
      <c r="A54" s="299" t="s">
        <v>75</v>
      </c>
      <c r="B54" s="296">
        <f>ROUND(C6,0)</f>
        <v>352</v>
      </c>
      <c r="C54" s="296">
        <f>ROUND(C7,0)</f>
        <v>371</v>
      </c>
      <c r="D54" s="297">
        <f>ROUND(G13,2)</f>
        <v>0.82</v>
      </c>
      <c r="E54" s="77">
        <f>ROUND(K25,4)</f>
        <v>-0.0062</v>
      </c>
      <c r="F54" s="298">
        <f>ROUND(J26,0)</f>
        <v>73</v>
      </c>
      <c r="G54" s="97"/>
      <c r="I54" s="1"/>
      <c r="J54" s="1"/>
      <c r="N54" s="2"/>
      <c r="O54" s="2"/>
      <c r="T54" s="2"/>
      <c r="U54" s="2"/>
    </row>
    <row r="55" spans="1:10" s="5" customFormat="1" ht="12.75" customHeight="1" hidden="1">
      <c r="A55" s="299" t="s">
        <v>74</v>
      </c>
      <c r="B55" s="77">
        <f>ROUND(C20,4)</f>
        <v>0.0686</v>
      </c>
      <c r="C55" s="77">
        <f>ROUND(C21,4)</f>
        <v>0.0724</v>
      </c>
      <c r="D55" s="297">
        <f>ROUND(H13,2)</f>
        <v>1.09</v>
      </c>
      <c r="E55" s="77">
        <f>ROUND(J25,4)</f>
        <v>0.0137</v>
      </c>
      <c r="F55" s="298">
        <f>ROUND(K26,0)</f>
        <v>-162</v>
      </c>
      <c r="G55" s="300">
        <f>ROUND(M24,4)</f>
        <v>0.1125</v>
      </c>
      <c r="I55" s="301"/>
      <c r="J55" s="1"/>
    </row>
    <row r="56" spans="1:10" ht="12.75" customHeight="1" hidden="1">
      <c r="A56" s="299" t="s">
        <v>76</v>
      </c>
      <c r="B56" s="302" t="s">
        <v>103</v>
      </c>
      <c r="C56" s="302" t="s">
        <v>104</v>
      </c>
      <c r="D56" s="302" t="s">
        <v>5</v>
      </c>
      <c r="E56" s="302" t="s">
        <v>86</v>
      </c>
      <c r="F56" s="303" t="s">
        <v>81</v>
      </c>
      <c r="G56" s="304" t="s">
        <v>87</v>
      </c>
      <c r="I56" s="301"/>
      <c r="J56" s="1"/>
    </row>
    <row r="57" spans="1:21" ht="12.75" customHeight="1" hidden="1">
      <c r="A57" s="305" t="s">
        <v>24</v>
      </c>
      <c r="B57" s="81" t="str">
        <f>CONCATENATE(B54,A58,B53," ",A53,B55*100,A56,A55)</f>
        <v>352/5128 (6,86%)</v>
      </c>
      <c r="C57" s="81" t="str">
        <f>CONCATENATE(C54,A58,C53," ",A53,C55*100,A56,A55)</f>
        <v>371/5123 (7,24%)</v>
      </c>
      <c r="D57" s="81" t="str">
        <f>CONCATENATE(D53," ",A53,D54,A54,D55,A55)</f>
        <v>0,95 (0,82-1,09)</v>
      </c>
      <c r="E57" s="81" t="str">
        <f>CONCATENATE(E53*100,A56," ",A53,E54*100,A56," ",A57," ",E55*100,A56,A55)</f>
        <v>0,38% (-0,62% a 1,37%)</v>
      </c>
      <c r="F57" s="81" t="str">
        <f>CONCATENATE(F53," ",A53,F54," ",A57," ",F55,A55)</f>
        <v>265 (73 a -162)</v>
      </c>
      <c r="G57" s="304" t="str">
        <f>CONCATENATE(G55*100,A56)</f>
        <v>11,25%</v>
      </c>
      <c r="I57" s="1"/>
      <c r="J57" s="1"/>
      <c r="N57" s="2"/>
      <c r="O57" s="2"/>
      <c r="T57" s="2"/>
      <c r="U57" s="2"/>
    </row>
    <row r="58" spans="1:21" ht="13.5" customHeight="1" hidden="1" thickBot="1">
      <c r="A58" s="306" t="s">
        <v>82</v>
      </c>
      <c r="B58" s="307"/>
      <c r="C58" s="307"/>
      <c r="D58" s="307"/>
      <c r="E58" s="307"/>
      <c r="F58" s="307"/>
      <c r="G58" s="308"/>
      <c r="I58" s="1"/>
      <c r="J58" s="1"/>
      <c r="N58" s="2"/>
      <c r="O58" s="2"/>
      <c r="T58" s="2"/>
      <c r="U58" s="2"/>
    </row>
    <row r="59" spans="11:21" ht="12.75">
      <c r="K59" s="1"/>
      <c r="N59" s="2"/>
      <c r="O59" s="2"/>
      <c r="T59" s="2"/>
      <c r="U59" s="2"/>
    </row>
    <row r="60" spans="2:21" ht="27" customHeight="1">
      <c r="B60" s="309" t="s">
        <v>103</v>
      </c>
      <c r="C60" s="309" t="s">
        <v>104</v>
      </c>
      <c r="D60" s="310" t="s">
        <v>77</v>
      </c>
      <c r="E60" s="310" t="s">
        <v>70</v>
      </c>
      <c r="F60" s="310" t="s">
        <v>71</v>
      </c>
      <c r="G60" s="310" t="s">
        <v>88</v>
      </c>
      <c r="H60" s="311"/>
      <c r="I60" s="310" t="s">
        <v>168</v>
      </c>
      <c r="K60" s="312"/>
      <c r="N60" s="2"/>
      <c r="O60" s="2"/>
      <c r="T60" s="2"/>
      <c r="U60" s="2"/>
    </row>
    <row r="61" spans="2:21" ht="23.25" customHeight="1">
      <c r="B61" s="313" t="str">
        <f aca="true" t="shared" si="0" ref="B61:G61">B57</f>
        <v>352/5128 (6,86%)</v>
      </c>
      <c r="C61" s="313" t="str">
        <f t="shared" si="0"/>
        <v>371/5123 (7,24%)</v>
      </c>
      <c r="D61" s="313" t="str">
        <f t="shared" si="0"/>
        <v>0,95 (0,82-1,09)</v>
      </c>
      <c r="E61" s="313" t="str">
        <f t="shared" si="0"/>
        <v>0,38% (-0,62% a 1,37%)</v>
      </c>
      <c r="F61" s="313" t="str">
        <f t="shared" si="0"/>
        <v>265 (73 a -162)</v>
      </c>
      <c r="G61" s="313" t="str">
        <f t="shared" si="0"/>
        <v>11,25%</v>
      </c>
      <c r="H61" s="510"/>
      <c r="I61" s="511">
        <f>B48</f>
        <v>0.45534078757916086</v>
      </c>
      <c r="K61" s="314"/>
      <c r="N61" s="2"/>
      <c r="O61" s="2"/>
      <c r="T61" s="2"/>
      <c r="U61" s="2"/>
    </row>
    <row r="62" ht="12.75">
      <c r="K62" s="1"/>
    </row>
    <row r="64" ht="13.5" thickBot="1"/>
    <row r="65" spans="1:7" ht="23.25" customHeight="1" thickBot="1">
      <c r="A65" s="570" t="s">
        <v>237</v>
      </c>
      <c r="B65" s="571"/>
      <c r="C65" s="571"/>
      <c r="D65" s="571"/>
      <c r="E65" s="571"/>
      <c r="F65" s="571"/>
      <c r="G65" s="572"/>
    </row>
    <row r="66" spans="1:7" ht="26.25" thickBot="1">
      <c r="A66" s="573" t="s">
        <v>122</v>
      </c>
      <c r="B66" s="315" t="s">
        <v>170</v>
      </c>
      <c r="C66" s="315" t="s">
        <v>171</v>
      </c>
      <c r="D66" s="567" t="s">
        <v>169</v>
      </c>
      <c r="E66" s="568"/>
      <c r="F66" s="568"/>
      <c r="G66" s="569"/>
    </row>
    <row r="67" spans="1:7" ht="13.5" thickBot="1">
      <c r="A67" s="574"/>
      <c r="B67" s="87" t="s">
        <v>120</v>
      </c>
      <c r="C67" s="87" t="s">
        <v>121</v>
      </c>
      <c r="D67" s="89" t="s">
        <v>77</v>
      </c>
      <c r="E67" s="89" t="s">
        <v>70</v>
      </c>
      <c r="F67" s="89" t="s">
        <v>71</v>
      </c>
      <c r="G67" s="316" t="s">
        <v>88</v>
      </c>
    </row>
    <row r="68" spans="1:7" ht="19.5" customHeight="1" thickBot="1">
      <c r="A68" s="317" t="s">
        <v>147</v>
      </c>
      <c r="B68" s="318"/>
      <c r="C68" s="318"/>
      <c r="D68" s="318"/>
      <c r="E68" s="318"/>
      <c r="F68" s="318"/>
      <c r="G68" s="318"/>
    </row>
    <row r="69" spans="1:7" ht="19.5" customHeight="1" thickBot="1">
      <c r="A69" s="319" t="s">
        <v>172</v>
      </c>
      <c r="B69" s="320" t="s">
        <v>188</v>
      </c>
      <c r="C69" s="320" t="s">
        <v>189</v>
      </c>
      <c r="D69" s="321" t="s">
        <v>190</v>
      </c>
      <c r="E69" s="322" t="s">
        <v>191</v>
      </c>
      <c r="F69" s="323" t="s">
        <v>192</v>
      </c>
      <c r="G69" s="528">
        <v>0.1121</v>
      </c>
    </row>
    <row r="70" spans="1:7" ht="19.5" customHeight="1" thickBot="1">
      <c r="A70" s="317" t="s">
        <v>108</v>
      </c>
      <c r="B70" s="324"/>
      <c r="C70" s="324"/>
      <c r="D70" s="318"/>
      <c r="E70" s="354"/>
      <c r="F70" s="355"/>
      <c r="G70" s="355"/>
    </row>
    <row r="71" spans="1:7" ht="19.5" customHeight="1">
      <c r="A71" s="325" t="s">
        <v>109</v>
      </c>
      <c r="B71" s="326">
        <v>257</v>
      </c>
      <c r="C71" s="326">
        <v>203</v>
      </c>
      <c r="D71" s="326"/>
      <c r="E71" s="326"/>
      <c r="F71" s="382"/>
      <c r="G71" s="388"/>
    </row>
    <row r="72" spans="1:7" ht="19.5" customHeight="1">
      <c r="A72" s="328" t="s">
        <v>110</v>
      </c>
      <c r="B72" s="329">
        <v>135</v>
      </c>
      <c r="C72" s="329">
        <v>94</v>
      </c>
      <c r="D72" s="329"/>
      <c r="E72" s="329"/>
      <c r="F72" s="383"/>
      <c r="G72" s="366"/>
    </row>
    <row r="73" spans="1:7" ht="19.5" customHeight="1">
      <c r="A73" s="328" t="s">
        <v>112</v>
      </c>
      <c r="B73" s="329">
        <v>186</v>
      </c>
      <c r="C73" s="329">
        <v>235</v>
      </c>
      <c r="D73" s="329"/>
      <c r="E73" s="329"/>
      <c r="F73" s="384"/>
      <c r="G73" s="366"/>
    </row>
    <row r="74" spans="1:7" ht="19.5" customHeight="1">
      <c r="A74" s="331" t="s">
        <v>114</v>
      </c>
      <c r="B74" s="329">
        <v>67</v>
      </c>
      <c r="C74" s="329">
        <v>61</v>
      </c>
      <c r="D74" s="329"/>
      <c r="E74" s="329"/>
      <c r="F74" s="330"/>
      <c r="G74" s="366"/>
    </row>
    <row r="75" spans="1:7" ht="19.5" customHeight="1" thickBot="1">
      <c r="A75" s="332" t="s">
        <v>116</v>
      </c>
      <c r="B75" s="333">
        <v>152</v>
      </c>
      <c r="C75" s="333">
        <v>124</v>
      </c>
      <c r="D75" s="334"/>
      <c r="E75" s="334"/>
      <c r="F75" s="335"/>
      <c r="G75" s="368"/>
    </row>
    <row r="76" spans="1:7" ht="19.5" customHeight="1" thickBot="1">
      <c r="A76" s="553" t="s">
        <v>133</v>
      </c>
      <c r="B76" s="553"/>
      <c r="C76" s="553"/>
      <c r="D76" s="336"/>
      <c r="E76" s="356"/>
      <c r="F76" s="356"/>
      <c r="G76" s="356"/>
    </row>
    <row r="77" spans="1:7" ht="19.5" customHeight="1">
      <c r="A77" s="337" t="s">
        <v>135</v>
      </c>
      <c r="B77" s="326" t="s">
        <v>125</v>
      </c>
      <c r="C77" s="338" t="s">
        <v>126</v>
      </c>
      <c r="D77" s="339"/>
      <c r="E77" s="340"/>
      <c r="F77" s="327"/>
      <c r="G77" s="389"/>
    </row>
    <row r="78" spans="1:7" ht="19.5" customHeight="1" thickBot="1">
      <c r="A78" s="341" t="s">
        <v>136</v>
      </c>
      <c r="B78" s="334" t="s">
        <v>127</v>
      </c>
      <c r="C78" s="342" t="s">
        <v>128</v>
      </c>
      <c r="D78" s="343"/>
      <c r="E78" s="344"/>
      <c r="F78" s="335"/>
      <c r="G78" s="390"/>
    </row>
    <row r="79" spans="1:7" ht="4.5" customHeight="1" thickBot="1">
      <c r="A79" s="345"/>
      <c r="B79" s="346"/>
      <c r="C79" s="346"/>
      <c r="D79" s="336"/>
      <c r="E79" s="346"/>
      <c r="F79" s="347"/>
      <c r="G79" s="357"/>
    </row>
    <row r="80" spans="1:7" ht="19.5" customHeight="1">
      <c r="A80" s="337" t="s">
        <v>123</v>
      </c>
      <c r="B80" s="326" t="s">
        <v>129</v>
      </c>
      <c r="C80" s="338" t="s">
        <v>130</v>
      </c>
      <c r="D80" s="339"/>
      <c r="E80" s="340"/>
      <c r="F80" s="327"/>
      <c r="G80" s="388"/>
    </row>
    <row r="81" spans="1:7" ht="19.5" customHeight="1">
      <c r="A81" s="348" t="s">
        <v>137</v>
      </c>
      <c r="B81" s="329" t="s">
        <v>131</v>
      </c>
      <c r="C81" s="349" t="s">
        <v>132</v>
      </c>
      <c r="D81" s="350"/>
      <c r="E81" s="351"/>
      <c r="F81" s="330"/>
      <c r="G81" s="366"/>
    </row>
    <row r="82" spans="1:7" ht="19.5" customHeight="1" thickBot="1">
      <c r="A82" s="341" t="s">
        <v>124</v>
      </c>
      <c r="B82" s="334" t="s">
        <v>173</v>
      </c>
      <c r="C82" s="342" t="s">
        <v>174</v>
      </c>
      <c r="D82" s="343"/>
      <c r="E82" s="344"/>
      <c r="F82" s="335"/>
      <c r="G82" s="390"/>
    </row>
    <row r="83" spans="1:7" ht="19.5" customHeight="1" thickBot="1">
      <c r="A83" s="553" t="s">
        <v>138</v>
      </c>
      <c r="B83" s="553"/>
      <c r="C83" s="553"/>
      <c r="D83" s="318"/>
      <c r="E83" s="346"/>
      <c r="F83" s="347"/>
      <c r="G83" s="357"/>
    </row>
    <row r="84" spans="1:7" ht="19.5" customHeight="1">
      <c r="A84" s="337" t="s">
        <v>134</v>
      </c>
      <c r="B84" s="326" t="s">
        <v>175</v>
      </c>
      <c r="C84" s="338" t="s">
        <v>176</v>
      </c>
      <c r="D84" s="339"/>
      <c r="E84" s="340"/>
      <c r="F84" s="327"/>
      <c r="G84" s="389"/>
    </row>
    <row r="85" spans="1:7" ht="19.5" customHeight="1" thickBot="1">
      <c r="A85" s="352" t="s">
        <v>139</v>
      </c>
      <c r="B85" s="333" t="s">
        <v>140</v>
      </c>
      <c r="C85" s="353" t="s">
        <v>141</v>
      </c>
      <c r="D85" s="333"/>
      <c r="E85" s="344"/>
      <c r="F85" s="334"/>
      <c r="G85" s="387"/>
    </row>
    <row r="88" ht="13.5" thickBot="1"/>
    <row r="89" spans="1:4" ht="24" customHeight="1" thickBot="1">
      <c r="A89" s="554" t="s">
        <v>238</v>
      </c>
      <c r="B89" s="555"/>
      <c r="C89" s="555"/>
      <c r="D89" s="556"/>
    </row>
    <row r="90" spans="1:4" ht="25.5">
      <c r="A90" s="557"/>
      <c r="B90" s="530" t="s">
        <v>177</v>
      </c>
      <c r="C90" s="530" t="s">
        <v>178</v>
      </c>
      <c r="D90" s="559" t="s">
        <v>236</v>
      </c>
    </row>
    <row r="91" spans="1:4" ht="13.5" thickBot="1">
      <c r="A91" s="558"/>
      <c r="B91" s="531" t="s">
        <v>120</v>
      </c>
      <c r="C91" s="531" t="s">
        <v>121</v>
      </c>
      <c r="D91" s="560"/>
    </row>
    <row r="92" spans="1:4" ht="19.5" customHeight="1">
      <c r="A92" s="532" t="s">
        <v>135</v>
      </c>
      <c r="B92" s="533">
        <v>0.012742614967756609</v>
      </c>
      <c r="C92" s="534">
        <v>0.0042437811220494065</v>
      </c>
      <c r="D92" s="535"/>
    </row>
    <row r="93" spans="1:4" ht="19.5" customHeight="1">
      <c r="A93" s="536" t="s">
        <v>136</v>
      </c>
      <c r="B93" s="537">
        <v>0.019658681084085472</v>
      </c>
      <c r="C93" s="529">
        <v>0.006187859624887683</v>
      </c>
      <c r="D93" s="538"/>
    </row>
    <row r="94" spans="1:4" ht="19.5" customHeight="1">
      <c r="A94" s="365" t="s">
        <v>116</v>
      </c>
      <c r="B94" s="529">
        <v>0.0036001440057602304</v>
      </c>
      <c r="C94" s="529">
        <v>0.002939826028682271</v>
      </c>
      <c r="D94" s="538"/>
    </row>
    <row r="95" spans="1:4" ht="19.5" customHeight="1">
      <c r="A95" s="348" t="s">
        <v>123</v>
      </c>
      <c r="B95" s="529">
        <v>0.00021719002759922168</v>
      </c>
      <c r="C95" s="529">
        <v>0.00033191584194799825</v>
      </c>
      <c r="D95" s="538"/>
    </row>
    <row r="96" spans="1:4" ht="19.5" customHeight="1">
      <c r="A96" s="536" t="s">
        <v>137</v>
      </c>
      <c r="B96" s="529">
        <v>0.0026764228463875394</v>
      </c>
      <c r="C96" s="529">
        <v>0.001944078502838276</v>
      </c>
      <c r="D96" s="538"/>
    </row>
    <row r="97" spans="1:4" ht="19.5" customHeight="1">
      <c r="A97" s="348" t="s">
        <v>124</v>
      </c>
      <c r="B97" s="529">
        <v>0.08511398607954068</v>
      </c>
      <c r="C97" s="529">
        <v>0.08008655100716702</v>
      </c>
      <c r="D97" s="538"/>
    </row>
    <row r="98" spans="1:4" ht="19.5" customHeight="1" thickBot="1">
      <c r="A98" s="341" t="s">
        <v>134</v>
      </c>
      <c r="B98" s="539">
        <v>0.03374087139397955</v>
      </c>
      <c r="C98" s="540">
        <v>0.016903999664923057</v>
      </c>
      <c r="D98" s="541"/>
    </row>
    <row r="100" ht="13.5" thickBot="1"/>
    <row r="101" spans="1:3" ht="19.5" customHeight="1" thickBot="1">
      <c r="A101" s="554" t="s">
        <v>239</v>
      </c>
      <c r="B101" s="555"/>
      <c r="C101" s="556"/>
    </row>
    <row r="102" spans="1:4" ht="19.5" customHeight="1" thickBot="1">
      <c r="A102" s="542"/>
      <c r="B102" s="545" t="s">
        <v>194</v>
      </c>
      <c r="C102" s="546" t="s">
        <v>195</v>
      </c>
      <c r="D102" s="85"/>
    </row>
    <row r="103" spans="1:4" ht="4.5" customHeight="1" thickBot="1">
      <c r="A103" s="542"/>
      <c r="B103" s="543"/>
      <c r="C103" s="544"/>
      <c r="D103" s="85"/>
    </row>
    <row r="104" spans="1:3" ht="19.5" customHeight="1">
      <c r="A104" s="337" t="s">
        <v>148</v>
      </c>
      <c r="B104" s="547">
        <v>0.081</v>
      </c>
      <c r="C104" s="548">
        <v>0.081</v>
      </c>
    </row>
    <row r="105" spans="1:3" ht="19.5" customHeight="1">
      <c r="A105" s="348" t="s">
        <v>149</v>
      </c>
      <c r="B105" s="329" t="s">
        <v>150</v>
      </c>
      <c r="C105" s="385" t="s">
        <v>151</v>
      </c>
    </row>
    <row r="106" spans="1:3" ht="19.5" customHeight="1" thickBot="1">
      <c r="A106" s="341" t="s">
        <v>193</v>
      </c>
      <c r="B106" s="549">
        <v>0.017</v>
      </c>
      <c r="C106" s="550">
        <v>0.006</v>
      </c>
    </row>
    <row r="107" spans="1:3" ht="5.25" customHeight="1" thickBot="1">
      <c r="A107" s="345"/>
      <c r="B107" s="346"/>
      <c r="C107" s="346"/>
    </row>
    <row r="108" spans="1:3" ht="19.5" customHeight="1">
      <c r="A108" s="337" t="s">
        <v>146</v>
      </c>
      <c r="B108" s="551" t="s">
        <v>143</v>
      </c>
      <c r="C108" s="552" t="s">
        <v>144</v>
      </c>
    </row>
    <row r="109" spans="1:3" ht="19.5" customHeight="1">
      <c r="A109" s="348" t="s">
        <v>145</v>
      </c>
      <c r="B109" s="329">
        <v>97</v>
      </c>
      <c r="C109" s="385">
        <v>94</v>
      </c>
    </row>
    <row r="110" spans="1:3" ht="19.5" customHeight="1" thickBot="1">
      <c r="A110" s="341" t="s">
        <v>193</v>
      </c>
      <c r="B110" s="386">
        <v>3.5</v>
      </c>
      <c r="C110" s="387">
        <v>0.4</v>
      </c>
    </row>
  </sheetData>
  <sheetProtection/>
  <mergeCells count="12">
    <mergeCell ref="A1:I1"/>
    <mergeCell ref="A2:I2"/>
    <mergeCell ref="B43:C43"/>
    <mergeCell ref="D66:G66"/>
    <mergeCell ref="A65:G65"/>
    <mergeCell ref="A66:A67"/>
    <mergeCell ref="A76:C76"/>
    <mergeCell ref="A83:C83"/>
    <mergeCell ref="A89:D89"/>
    <mergeCell ref="A90:A91"/>
    <mergeCell ref="D90:D91"/>
    <mergeCell ref="A101:C101"/>
  </mergeCells>
  <printOptions/>
  <pageMargins left="0.17" right="0.26" top="0.21" bottom="0.7" header="0" footer="0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8"/>
  <sheetViews>
    <sheetView zoomScalePageLayoutView="0" workbookViewId="0" topLeftCell="A1">
      <selection activeCell="F36" sqref="F36"/>
    </sheetView>
  </sheetViews>
  <sheetFormatPr defaultColWidth="11.421875" defaultRowHeight="12.75"/>
  <cols>
    <col min="1" max="1" width="7.140625" style="2" customWidth="1"/>
    <col min="2" max="2" width="23.00390625" style="2" customWidth="1"/>
    <col min="3" max="3" width="13.7109375" style="2" customWidth="1"/>
    <col min="4" max="4" width="16.421875" style="2" customWidth="1"/>
    <col min="5" max="5" width="20.7109375" style="2" customWidth="1"/>
    <col min="6" max="6" width="23.8515625" style="2" customWidth="1"/>
    <col min="7" max="7" width="18.8515625" style="2" customWidth="1"/>
    <col min="8" max="8" width="8.28125" style="2" customWidth="1"/>
    <col min="9" max="9" width="14.57421875" style="2" bestFit="1" customWidth="1"/>
    <col min="10" max="10" width="14.140625" style="5" bestFit="1" customWidth="1"/>
    <col min="11" max="11" width="11.421875" style="5" customWidth="1"/>
    <col min="12" max="12" width="15.57421875" style="2" customWidth="1"/>
    <col min="13" max="13" width="11.421875" style="2" customWidth="1"/>
    <col min="14" max="14" width="13.8515625" style="2" bestFit="1" customWidth="1"/>
    <col min="15" max="15" width="11.421875" style="2" customWidth="1"/>
    <col min="16" max="17" width="11.421875" style="5" customWidth="1"/>
    <col min="18" max="16384" width="11.421875" style="2" customWidth="1"/>
  </cols>
  <sheetData>
    <row r="1" ht="3" customHeight="1" thickBot="1"/>
    <row r="2" spans="1:18" s="1" customFormat="1" ht="20.25" customHeight="1" thickBot="1">
      <c r="A2" s="575" t="s">
        <v>214</v>
      </c>
      <c r="B2" s="576"/>
      <c r="C2" s="576"/>
      <c r="D2" s="576"/>
      <c r="E2" s="576"/>
      <c r="F2" s="576"/>
      <c r="G2" s="577"/>
      <c r="H2" s="3"/>
      <c r="K2" s="4"/>
      <c r="L2" s="4"/>
      <c r="M2" s="4"/>
      <c r="N2" s="4"/>
      <c r="O2" s="4"/>
      <c r="P2" s="4"/>
      <c r="Q2" s="4"/>
      <c r="R2" s="4"/>
    </row>
    <row r="3" spans="1:12" s="5" customFormat="1" ht="31.5" customHeight="1">
      <c r="A3" s="578" t="s">
        <v>215</v>
      </c>
      <c r="B3" s="578"/>
      <c r="C3" s="578"/>
      <c r="D3" s="578"/>
      <c r="E3" s="578"/>
      <c r="F3" s="578"/>
      <c r="G3" s="578"/>
      <c r="H3" s="6"/>
      <c r="I3" s="6"/>
      <c r="J3" s="458" t="s">
        <v>216</v>
      </c>
      <c r="L3" s="7"/>
    </row>
    <row r="4" spans="1:12" s="5" customFormat="1" ht="13.5" customHeight="1" thickBot="1">
      <c r="A4" s="459"/>
      <c r="B4" s="2"/>
      <c r="C4" s="2"/>
      <c r="D4" s="2"/>
      <c r="E4" s="2"/>
      <c r="F4" s="2"/>
      <c r="G4" s="2"/>
      <c r="H4" s="6"/>
      <c r="I4" s="6"/>
      <c r="J4" s="458" t="s">
        <v>217</v>
      </c>
      <c r="L4" s="7"/>
    </row>
    <row r="5" spans="2:24" ht="19.5" customHeight="1" thickBot="1">
      <c r="B5" s="460" t="s">
        <v>218</v>
      </c>
      <c r="C5" s="461">
        <v>0.0229</v>
      </c>
      <c r="D5" s="462" t="s">
        <v>158</v>
      </c>
      <c r="E5" s="463" t="s">
        <v>219</v>
      </c>
      <c r="F5" s="464">
        <f>1-C5</f>
        <v>0.9771</v>
      </c>
      <c r="H5" s="9"/>
      <c r="I5" s="10"/>
      <c r="J5" s="458" t="s">
        <v>220</v>
      </c>
      <c r="K5" s="4"/>
      <c r="L5" s="7"/>
      <c r="M5" s="5"/>
      <c r="N5" s="5"/>
      <c r="O5" s="11"/>
      <c r="P5" s="11"/>
      <c r="Q5" s="11"/>
      <c r="R5" s="5"/>
      <c r="S5" s="5"/>
      <c r="T5" s="5"/>
      <c r="U5" s="5"/>
      <c r="V5" s="5"/>
      <c r="W5" s="5"/>
      <c r="X5" s="5"/>
    </row>
    <row r="6" spans="8:26" ht="15.75" thickBot="1">
      <c r="H6" s="12"/>
      <c r="I6" s="13"/>
      <c r="J6" s="458" t="s">
        <v>221</v>
      </c>
      <c r="L6" s="14"/>
      <c r="M6" s="5"/>
      <c r="N6" s="5"/>
      <c r="U6" s="15"/>
      <c r="V6" s="15"/>
      <c r="W6" s="15"/>
      <c r="X6" s="15"/>
      <c r="Y6" s="15"/>
      <c r="Z6" s="15"/>
    </row>
    <row r="7" spans="2:34" ht="21" customHeight="1" thickBot="1">
      <c r="B7" s="117"/>
      <c r="D7" s="579" t="s">
        <v>79</v>
      </c>
      <c r="E7" s="580"/>
      <c r="F7" s="581"/>
      <c r="H7" s="17"/>
      <c r="I7" s="13"/>
      <c r="J7" s="465" t="s">
        <v>222</v>
      </c>
      <c r="K7" s="19"/>
      <c r="N7" s="16"/>
      <c r="O7" s="11"/>
      <c r="P7" s="11"/>
      <c r="Q7" s="11"/>
      <c r="R7" s="1"/>
      <c r="S7" s="1"/>
      <c r="T7" s="19"/>
      <c r="U7" s="1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2:34" ht="19.5" customHeight="1" thickBot="1">
      <c r="B8" s="16"/>
      <c r="D8" s="466" t="s">
        <v>223</v>
      </c>
      <c r="E8" s="467" t="s">
        <v>224</v>
      </c>
      <c r="F8" s="466" t="s">
        <v>225</v>
      </c>
      <c r="H8" s="21"/>
      <c r="I8" s="13"/>
      <c r="J8" s="458" t="s">
        <v>226</v>
      </c>
      <c r="K8" s="1"/>
      <c r="L8" s="4"/>
      <c r="M8" s="22"/>
      <c r="N8" s="13"/>
      <c r="O8" s="11"/>
      <c r="P8" s="11"/>
      <c r="Q8" s="11"/>
      <c r="R8" s="1"/>
      <c r="S8" s="23"/>
      <c r="T8" s="1"/>
      <c r="U8" s="4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4:34" ht="19.5" customHeight="1" thickBot="1">
      <c r="D9" s="468">
        <v>0.9</v>
      </c>
      <c r="E9" s="469">
        <v>0.78</v>
      </c>
      <c r="F9" s="469">
        <v>1.46</v>
      </c>
      <c r="H9" s="24"/>
      <c r="I9" s="1"/>
      <c r="J9" s="465" t="s">
        <v>227</v>
      </c>
      <c r="K9" s="1"/>
      <c r="L9" s="1"/>
      <c r="M9" s="1"/>
      <c r="N9" s="1"/>
      <c r="O9" s="1"/>
      <c r="P9" s="1"/>
      <c r="Q9" s="1"/>
      <c r="R9" s="1"/>
      <c r="S9" s="25"/>
      <c r="T9" s="18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2:34" ht="16.5" hidden="1" thickBot="1">
      <c r="B10" s="8"/>
      <c r="C10" s="26" t="s">
        <v>159</v>
      </c>
      <c r="D10" s="27">
        <f>F5^D9</f>
        <v>0.979366200985082</v>
      </c>
      <c r="E10" s="27">
        <f>F5^E9</f>
        <v>0.9820925811990256</v>
      </c>
      <c r="F10" s="470">
        <f>F5^F9</f>
        <v>0.9667428292244451</v>
      </c>
      <c r="H10" s="17"/>
      <c r="I10" s="1"/>
      <c r="K10" s="1"/>
      <c r="L10" s="4"/>
      <c r="M10" s="22"/>
      <c r="N10" s="13"/>
      <c r="O10" s="11"/>
      <c r="P10" s="11"/>
      <c r="Q10" s="1"/>
      <c r="R10" s="1"/>
      <c r="S10" s="28"/>
      <c r="T10" s="1"/>
      <c r="U10" s="4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2:34" ht="12.75" hidden="1">
      <c r="B11" s="29"/>
      <c r="C11" s="30" t="s">
        <v>80</v>
      </c>
      <c r="D11" s="31">
        <f>1-D10</f>
        <v>0.02063379901491802</v>
      </c>
      <c r="E11" s="31">
        <f>1-E10</f>
        <v>0.01790741880097435</v>
      </c>
      <c r="F11" s="31">
        <f>1-F10</f>
        <v>0.0332571707755549</v>
      </c>
      <c r="H11" s="17"/>
      <c r="I11" s="1"/>
      <c r="J11" s="3"/>
      <c r="K11" s="1"/>
      <c r="L11" s="1"/>
      <c r="M11" s="1"/>
      <c r="N11" s="1"/>
      <c r="O11" s="1"/>
      <c r="P11" s="1"/>
      <c r="Q11" s="11"/>
      <c r="R11" s="1"/>
      <c r="S11" s="23"/>
      <c r="T11" s="3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2:34" ht="12.75" hidden="1">
      <c r="B12" s="471"/>
      <c r="C12" s="33"/>
      <c r="D12" s="471"/>
      <c r="E12" s="471"/>
      <c r="F12" s="471"/>
      <c r="H12" s="34"/>
      <c r="I12" s="1"/>
      <c r="J12" s="35"/>
      <c r="K12" s="32"/>
      <c r="L12" s="36"/>
      <c r="M12" s="1"/>
      <c r="N12" s="1"/>
      <c r="O12" s="1"/>
      <c r="P12" s="1"/>
      <c r="Q12" s="1"/>
      <c r="R12" s="1"/>
      <c r="S12" s="37"/>
      <c r="T12" s="38"/>
      <c r="U12" s="36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2:34" ht="15" hidden="1" thickBot="1">
      <c r="B13" s="472"/>
      <c r="C13" s="473" t="s">
        <v>160</v>
      </c>
      <c r="D13" s="39" t="s">
        <v>28</v>
      </c>
      <c r="E13" s="40">
        <f>D10-F5</f>
        <v>0.002266200985082012</v>
      </c>
      <c r="F13" s="41">
        <f>F10-F5</f>
        <v>-0.01035717077555487</v>
      </c>
      <c r="G13" s="42">
        <f>E10-F5</f>
        <v>0.004992581199025681</v>
      </c>
      <c r="H13" s="17"/>
      <c r="I13" s="1"/>
      <c r="J13" s="37"/>
      <c r="K13" s="38"/>
      <c r="L13" s="1"/>
      <c r="M13" s="4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2:24" ht="13.5" hidden="1" thickBot="1">
      <c r="B14" s="474"/>
      <c r="C14" s="475" t="s">
        <v>68</v>
      </c>
      <c r="D14" s="476" t="s">
        <v>29</v>
      </c>
      <c r="E14" s="44">
        <f>1/E13</f>
        <v>441.2671279303194</v>
      </c>
      <c r="F14" s="45">
        <f>1/G13</f>
        <v>200.2971930021195</v>
      </c>
      <c r="G14" s="46">
        <f>1/F13</f>
        <v>-96.55146387662286</v>
      </c>
      <c r="J14" s="2"/>
      <c r="K14" s="2"/>
      <c r="P14" s="2"/>
      <c r="Q14" s="2"/>
      <c r="R14" s="5"/>
      <c r="S14" s="5"/>
      <c r="T14" s="5"/>
      <c r="U14" s="5"/>
      <c r="V14" s="5"/>
      <c r="W14" s="5"/>
      <c r="X14" s="5"/>
    </row>
    <row r="15" spans="2:17" ht="12.75" hidden="1">
      <c r="B15" s="471"/>
      <c r="C15" s="471"/>
      <c r="D15" s="471"/>
      <c r="E15" s="471"/>
      <c r="F15" s="471"/>
      <c r="J15" s="2"/>
      <c r="K15" s="2"/>
      <c r="P15" s="2"/>
      <c r="Q15" s="2"/>
    </row>
    <row r="16" spans="2:17" ht="15.75" hidden="1">
      <c r="B16" s="477"/>
      <c r="C16" s="48" t="s">
        <v>92</v>
      </c>
      <c r="D16" s="49" t="s">
        <v>93</v>
      </c>
      <c r="E16" s="50">
        <f>E14</f>
        <v>441.2671279303194</v>
      </c>
      <c r="F16" s="50">
        <f>F14</f>
        <v>200.2971930021195</v>
      </c>
      <c r="G16" s="50">
        <f>G14</f>
        <v>-96.55146387662286</v>
      </c>
      <c r="J16" s="2"/>
      <c r="K16" s="2"/>
      <c r="P16" s="2"/>
      <c r="Q16" s="2"/>
    </row>
    <row r="17" spans="1:9" s="1" customFormat="1" ht="12.75" hidden="1">
      <c r="A17" s="2"/>
      <c r="B17" s="478"/>
      <c r="C17" s="478"/>
      <c r="D17" s="51" t="s">
        <v>54</v>
      </c>
      <c r="E17" s="52">
        <f>(1-C5)*E14</f>
        <v>431.1621107007151</v>
      </c>
      <c r="F17" s="52">
        <f>(1-C5)*F14</f>
        <v>195.71038728237096</v>
      </c>
      <c r="G17" s="52">
        <f>(1-C5)*G14</f>
        <v>-94.34043535384819</v>
      </c>
      <c r="I17" s="53"/>
    </row>
    <row r="18" spans="1:7" s="1" customFormat="1" ht="12.75" hidden="1">
      <c r="A18" s="2"/>
      <c r="B18" s="479"/>
      <c r="C18" s="479"/>
      <c r="D18" s="55" t="s">
        <v>89</v>
      </c>
      <c r="E18" s="56">
        <f>E14*E13</f>
        <v>1</v>
      </c>
      <c r="F18" s="56">
        <f>F14*G13</f>
        <v>1</v>
      </c>
      <c r="G18" s="56">
        <f>G14*F13</f>
        <v>0.9999999999999999</v>
      </c>
    </row>
    <row r="19" spans="1:7" s="1" customFormat="1" ht="12.75" hidden="1">
      <c r="A19" s="2"/>
      <c r="B19" s="480"/>
      <c r="C19" s="480"/>
      <c r="D19" s="57" t="s">
        <v>55</v>
      </c>
      <c r="E19" s="58">
        <f>(C5-E13)*E14</f>
        <v>9.105017229604314</v>
      </c>
      <c r="F19" s="58">
        <f>(C5-G13)*F14</f>
        <v>3.586805719748537</v>
      </c>
      <c r="G19" s="58">
        <f>(C5-F13)*G14</f>
        <v>-3.2110285227746638</v>
      </c>
    </row>
    <row r="20" spans="1:12" s="1" customFormat="1" ht="12.75" hidden="1">
      <c r="A20" s="2"/>
      <c r="B20" s="481"/>
      <c r="C20" s="481"/>
      <c r="D20" s="481"/>
      <c r="E20" s="60"/>
      <c r="F20" s="60"/>
      <c r="G20" s="60"/>
      <c r="J20" s="61"/>
      <c r="K20" s="61"/>
      <c r="L20" s="62"/>
    </row>
    <row r="21" spans="1:12" s="1" customFormat="1" ht="15.75" hidden="1">
      <c r="A21" s="2"/>
      <c r="B21" s="477"/>
      <c r="C21" s="48" t="s">
        <v>94</v>
      </c>
      <c r="D21" s="49" t="s">
        <v>95</v>
      </c>
      <c r="E21" s="50">
        <f>E14</f>
        <v>441.2671279303194</v>
      </c>
      <c r="F21" s="50">
        <f>F14</f>
        <v>200.2971930021195</v>
      </c>
      <c r="G21" s="50">
        <f>G14</f>
        <v>-96.55146387662286</v>
      </c>
      <c r="I21" s="61"/>
      <c r="J21" s="61"/>
      <c r="K21" s="64"/>
      <c r="L21" s="62"/>
    </row>
    <row r="22" spans="1:12" s="1" customFormat="1" ht="12.75" hidden="1">
      <c r="A22" s="2"/>
      <c r="B22" s="482"/>
      <c r="C22" s="482"/>
      <c r="D22" s="65" t="s">
        <v>54</v>
      </c>
      <c r="E22" s="52">
        <f>ABS((1-(C5-E13))*E14)</f>
        <v>432.1621107007151</v>
      </c>
      <c r="F22" s="52">
        <f>ABS((1-(C5-G13))*F14)</f>
        <v>196.71038728237096</v>
      </c>
      <c r="G22" s="52">
        <f>ABS((1-(C5-F13))*G14)</f>
        <v>93.34043535384819</v>
      </c>
      <c r="I22" s="61"/>
      <c r="J22" s="61"/>
      <c r="K22" s="61"/>
      <c r="L22" s="62"/>
    </row>
    <row r="23" spans="2:17" ht="12.75" hidden="1">
      <c r="B23" s="483"/>
      <c r="C23" s="483"/>
      <c r="D23" s="66" t="s">
        <v>90</v>
      </c>
      <c r="E23" s="67">
        <f>E14*E13</f>
        <v>1</v>
      </c>
      <c r="F23" s="45">
        <f>F14*G13</f>
        <v>1</v>
      </c>
      <c r="G23" s="45">
        <f>G14*F13</f>
        <v>0.9999999999999999</v>
      </c>
      <c r="J23" s="2"/>
      <c r="K23" s="2"/>
      <c r="P23" s="2"/>
      <c r="Q23" s="2"/>
    </row>
    <row r="24" spans="2:17" ht="12.75" hidden="1">
      <c r="B24" s="484"/>
      <c r="C24" s="485"/>
      <c r="D24" s="68" t="s">
        <v>91</v>
      </c>
      <c r="E24" s="58">
        <f>ABS(C5*E14)</f>
        <v>10.105017229604314</v>
      </c>
      <c r="F24" s="58">
        <f>ABS(C5*F14)</f>
        <v>4.586805719748537</v>
      </c>
      <c r="G24" s="58">
        <f>ABS(C5*G14)</f>
        <v>2.2110285227746633</v>
      </c>
      <c r="I24" s="69"/>
      <c r="J24" s="69"/>
      <c r="K24" s="69"/>
      <c r="P24" s="2"/>
      <c r="Q24" s="2"/>
    </row>
    <row r="25" spans="1:11" s="1" customFormat="1" ht="12.75" hidden="1">
      <c r="A25" s="2"/>
      <c r="B25" s="486"/>
      <c r="C25" s="487"/>
      <c r="D25" s="71"/>
      <c r="E25" s="72"/>
      <c r="F25" s="72"/>
      <c r="G25" s="72"/>
      <c r="I25" s="73"/>
      <c r="J25" s="73"/>
      <c r="K25" s="73"/>
    </row>
    <row r="26" spans="2:17" ht="12.75" hidden="1">
      <c r="B26" s="488" t="s">
        <v>73</v>
      </c>
      <c r="C26" s="489"/>
      <c r="D26" s="489"/>
      <c r="E26" s="74">
        <f>ROUND(D9,2)</f>
        <v>0.9</v>
      </c>
      <c r="F26" s="75">
        <f>ROUND(E13,4)</f>
        <v>0.0023</v>
      </c>
      <c r="G26" s="76">
        <f>ROUND(E14,0)</f>
        <v>441</v>
      </c>
      <c r="J26" s="2"/>
      <c r="K26" s="2"/>
      <c r="P26" s="2"/>
      <c r="Q26" s="2"/>
    </row>
    <row r="27" spans="2:17" ht="12.75" hidden="1">
      <c r="B27" s="490" t="s">
        <v>75</v>
      </c>
      <c r="C27" s="491">
        <f>ROUND(D11,4)</f>
        <v>0.0206</v>
      </c>
      <c r="D27" s="491">
        <f>ROUND(C5,4)</f>
        <v>0.0229</v>
      </c>
      <c r="E27" s="78">
        <f>ROUND(E9,2)</f>
        <v>0.78</v>
      </c>
      <c r="F27" s="79">
        <f>ROUND(F13,4)</f>
        <v>-0.0104</v>
      </c>
      <c r="G27" s="80">
        <f>ROUND(F14,0)</f>
        <v>200</v>
      </c>
      <c r="P27" s="2"/>
      <c r="Q27" s="2"/>
    </row>
    <row r="28" spans="2:17" ht="12.75" hidden="1">
      <c r="B28" s="490" t="s">
        <v>74</v>
      </c>
      <c r="C28" s="492"/>
      <c r="D28" s="492"/>
      <c r="E28" s="78">
        <f>ROUND(F9,2)</f>
        <v>1.46</v>
      </c>
      <c r="F28" s="79">
        <f>ROUND(G13,4)</f>
        <v>0.005</v>
      </c>
      <c r="G28" s="80">
        <f>ROUND(G14,0)</f>
        <v>-97</v>
      </c>
      <c r="P28" s="2"/>
      <c r="Q28" s="2"/>
    </row>
    <row r="29" spans="2:17" ht="12.75" hidden="1">
      <c r="B29" s="490" t="s">
        <v>76</v>
      </c>
      <c r="C29" s="81" t="s">
        <v>105</v>
      </c>
      <c r="D29" s="81" t="s">
        <v>106</v>
      </c>
      <c r="E29" s="81" t="s">
        <v>79</v>
      </c>
      <c r="F29" s="81" t="s">
        <v>78</v>
      </c>
      <c r="G29" s="81" t="s">
        <v>71</v>
      </c>
      <c r="J29" s="2"/>
      <c r="K29" s="2"/>
      <c r="P29" s="2"/>
      <c r="Q29" s="2"/>
    </row>
    <row r="30" spans="2:17" ht="12.75" hidden="1">
      <c r="B30" s="493" t="s">
        <v>24</v>
      </c>
      <c r="C30" s="81" t="str">
        <f>CONCATENATE(C27*100,B29)</f>
        <v>2,06%</v>
      </c>
      <c r="D30" s="81" t="str">
        <f>CONCATENATE(D27*100,B29)</f>
        <v>2,29%</v>
      </c>
      <c r="E30" s="81" t="str">
        <f>CONCATENATE(E26," ",B26,E27,B27,E28,B28)</f>
        <v>0,9 (0,78-1,46)</v>
      </c>
      <c r="F30" s="81" t="str">
        <f>CONCATENATE(F26*100,B29," ",B26,F27*100,B29," ",B30," ",F28*100,B29,B28)</f>
        <v>0,23% (-1,04% a 0,5%)</v>
      </c>
      <c r="G30" s="81" t="str">
        <f>CONCATENATE(G26," ",B26,G27," ",B30," ",G28,B28)</f>
        <v>441 (200 a -97)</v>
      </c>
      <c r="J30" s="2"/>
      <c r="K30" s="2"/>
      <c r="P30" s="2"/>
      <c r="Q30" s="2"/>
    </row>
    <row r="31" spans="1:7" s="5" customFormat="1" ht="12.75" hidden="1">
      <c r="A31" s="2"/>
      <c r="B31" s="486"/>
      <c r="C31" s="4"/>
      <c r="D31" s="486"/>
      <c r="E31" s="486"/>
      <c r="F31" s="486"/>
      <c r="G31" s="1"/>
    </row>
    <row r="32" spans="2:17" ht="12.75">
      <c r="B32" s="471"/>
      <c r="C32" s="471"/>
      <c r="D32" s="494"/>
      <c r="E32" s="471"/>
      <c r="F32" s="471"/>
      <c r="J32" s="2"/>
      <c r="K32" s="2"/>
      <c r="P32" s="2"/>
      <c r="Q32" s="2"/>
    </row>
    <row r="33" spans="3:13" ht="18.75" customHeight="1">
      <c r="C33" s="495" t="s">
        <v>105</v>
      </c>
      <c r="D33" s="495" t="s">
        <v>106</v>
      </c>
      <c r="E33" s="495" t="s">
        <v>79</v>
      </c>
      <c r="F33" s="495" t="s">
        <v>70</v>
      </c>
      <c r="G33" s="495" t="s">
        <v>71</v>
      </c>
      <c r="L33" s="14"/>
      <c r="M33" s="496"/>
    </row>
    <row r="34" spans="3:13" ht="27.75" customHeight="1">
      <c r="C34" s="313" t="str">
        <f>C30</f>
        <v>2,06%</v>
      </c>
      <c r="D34" s="498" t="str">
        <f>D30</f>
        <v>2,29%</v>
      </c>
      <c r="E34" s="313" t="str">
        <f>E30</f>
        <v>0,9 (0,78-1,46)</v>
      </c>
      <c r="F34" s="313" t="str">
        <f>F30</f>
        <v>0,23% (-1,04% a 0,5%)</v>
      </c>
      <c r="G34" s="313" t="str">
        <f>G30</f>
        <v>441 (200 a -97)</v>
      </c>
      <c r="L34" s="14"/>
      <c r="M34" s="496"/>
    </row>
    <row r="35" spans="2:13" ht="13.5" thickBot="1">
      <c r="B35" s="99"/>
      <c r="G35" s="497"/>
      <c r="L35" s="14"/>
      <c r="M35" s="496"/>
    </row>
    <row r="36" ht="13.5" thickBot="1">
      <c r="B36" s="99"/>
    </row>
    <row r="37" spans="2:7" ht="31.5" customHeight="1" thickBot="1">
      <c r="B37" s="570" t="s">
        <v>142</v>
      </c>
      <c r="C37" s="571"/>
      <c r="D37" s="571"/>
      <c r="E37" s="571"/>
      <c r="F37" s="571"/>
      <c r="G37" s="572"/>
    </row>
    <row r="38" spans="2:7" ht="39" thickBot="1">
      <c r="B38" s="582" t="s">
        <v>122</v>
      </c>
      <c r="C38" s="83" t="s">
        <v>152</v>
      </c>
      <c r="D38" s="84" t="s">
        <v>179</v>
      </c>
      <c r="E38" s="584" t="s">
        <v>180</v>
      </c>
      <c r="F38" s="585"/>
      <c r="G38" s="586"/>
    </row>
    <row r="39" spans="2:7" ht="29.25" customHeight="1" thickBot="1">
      <c r="B39" s="583"/>
      <c r="C39" s="86" t="s">
        <v>120</v>
      </c>
      <c r="D39" s="87" t="s">
        <v>121</v>
      </c>
      <c r="E39" s="88" t="s">
        <v>79</v>
      </c>
      <c r="F39" s="89" t="s">
        <v>70</v>
      </c>
      <c r="G39" s="89" t="s">
        <v>71</v>
      </c>
    </row>
    <row r="40" spans="2:7" ht="13.5" thickBot="1">
      <c r="B40" s="32" t="s">
        <v>147</v>
      </c>
      <c r="C40" s="85"/>
      <c r="D40" s="85"/>
      <c r="E40" s="85"/>
      <c r="F40" s="85"/>
      <c r="G40" s="85"/>
    </row>
    <row r="41" spans="2:7" ht="19.5" thickBot="1">
      <c r="B41" s="319" t="s">
        <v>118</v>
      </c>
      <c r="C41" s="358"/>
      <c r="D41" s="453">
        <v>0.0229</v>
      </c>
      <c r="E41" s="321" t="s">
        <v>107</v>
      </c>
      <c r="F41" s="323"/>
      <c r="G41" s="359"/>
    </row>
    <row r="42" spans="2:7" ht="9.75" customHeight="1">
      <c r="B42" s="345"/>
      <c r="C42" s="324"/>
      <c r="D42" s="454"/>
      <c r="E42" s="318"/>
      <c r="F42" s="355"/>
      <c r="G42" s="355"/>
    </row>
    <row r="43" spans="2:7" ht="19.5" thickBot="1">
      <c r="B43" s="317" t="s">
        <v>108</v>
      </c>
      <c r="C43" s="324"/>
      <c r="D43" s="454"/>
      <c r="E43" s="318"/>
      <c r="F43" s="355"/>
      <c r="G43" s="355"/>
    </row>
    <row r="44" spans="2:7" ht="18.75">
      <c r="B44" s="325" t="s">
        <v>109</v>
      </c>
      <c r="C44" s="360"/>
      <c r="D44" s="455">
        <v>0.0114</v>
      </c>
      <c r="E44" s="326" t="s">
        <v>119</v>
      </c>
      <c r="F44" s="327"/>
      <c r="G44" s="361"/>
    </row>
    <row r="45" spans="2:7" ht="18.75">
      <c r="B45" s="328" t="s">
        <v>110</v>
      </c>
      <c r="C45" s="362"/>
      <c r="D45" s="456">
        <v>0.0056</v>
      </c>
      <c r="E45" s="329" t="s">
        <v>111</v>
      </c>
      <c r="F45" s="330"/>
      <c r="G45" s="363"/>
    </row>
    <row r="46" spans="2:7" ht="18.75">
      <c r="B46" s="328" t="s">
        <v>112</v>
      </c>
      <c r="C46" s="362"/>
      <c r="D46" s="456">
        <v>0.0145</v>
      </c>
      <c r="E46" s="329" t="s">
        <v>113</v>
      </c>
      <c r="F46" s="330"/>
      <c r="G46" s="364"/>
    </row>
    <row r="47" spans="2:7" ht="18.75">
      <c r="B47" s="365" t="s">
        <v>114</v>
      </c>
      <c r="C47" s="362"/>
      <c r="D47" s="456">
        <v>0.0037</v>
      </c>
      <c r="E47" s="329" t="s">
        <v>115</v>
      </c>
      <c r="F47" s="330"/>
      <c r="G47" s="366"/>
    </row>
    <row r="48" spans="2:7" ht="19.5" thickBot="1">
      <c r="B48" s="332" t="s">
        <v>116</v>
      </c>
      <c r="C48" s="367"/>
      <c r="D48" s="457">
        <v>0.0037</v>
      </c>
      <c r="E48" s="334" t="s">
        <v>117</v>
      </c>
      <c r="F48" s="335"/>
      <c r="G48" s="368"/>
    </row>
  </sheetData>
  <sheetProtection/>
  <mergeCells count="6">
    <mergeCell ref="A2:G2"/>
    <mergeCell ref="A3:G3"/>
    <mergeCell ref="D7:F7"/>
    <mergeCell ref="B37:G37"/>
    <mergeCell ref="B38:B39"/>
    <mergeCell ref="E38:G3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L17" sqref="L17"/>
    </sheetView>
  </sheetViews>
  <sheetFormatPr defaultColWidth="11.421875" defaultRowHeight="12.75"/>
  <cols>
    <col min="1" max="1" width="26.140625" style="0" customWidth="1"/>
    <col min="2" max="2" width="12.7109375" style="0" customWidth="1"/>
    <col min="5" max="5" width="6.28125" style="0" customWidth="1"/>
    <col min="10" max="10" width="26.8515625" style="0" customWidth="1"/>
    <col min="11" max="11" width="1.421875" style="0" customWidth="1"/>
  </cols>
  <sheetData>
    <row r="1" spans="1:8" ht="19.5" thickBot="1">
      <c r="A1" s="587" t="s">
        <v>181</v>
      </c>
      <c r="B1" s="588"/>
      <c r="C1" s="588"/>
      <c r="D1" s="588"/>
      <c r="E1" s="588"/>
      <c r="F1" s="588"/>
      <c r="G1" s="588"/>
      <c r="H1" s="589"/>
    </row>
    <row r="2" spans="1:8" ht="33" customHeight="1">
      <c r="A2" s="578" t="s">
        <v>196</v>
      </c>
      <c r="B2" s="578"/>
      <c r="C2" s="578"/>
      <c r="D2" s="578"/>
      <c r="E2" s="578"/>
      <c r="F2" s="578"/>
      <c r="G2" s="578"/>
      <c r="H2" s="578"/>
    </row>
    <row r="3" spans="1:8" ht="18.75" thickBot="1">
      <c r="A3" s="391"/>
      <c r="B3" s="391"/>
      <c r="C3" s="391"/>
      <c r="D3" s="391"/>
      <c r="E3" s="391"/>
      <c r="F3" s="391"/>
      <c r="G3" s="391"/>
      <c r="H3" s="391"/>
    </row>
    <row r="4" spans="1:11" ht="15">
      <c r="A4" s="392" t="s">
        <v>197</v>
      </c>
      <c r="B4" s="393" t="s">
        <v>198</v>
      </c>
      <c r="C4" s="393"/>
      <c r="D4" s="393"/>
      <c r="E4" s="393"/>
      <c r="F4" s="393"/>
      <c r="G4" s="393"/>
      <c r="H4" s="394"/>
      <c r="I4" s="395"/>
      <c r="J4" s="395"/>
      <c r="K4" s="395"/>
    </row>
    <row r="5" spans="1:11" ht="15">
      <c r="A5" s="396" t="s">
        <v>199</v>
      </c>
      <c r="B5" s="397">
        <v>0.029</v>
      </c>
      <c r="C5" s="398" t="s">
        <v>200</v>
      </c>
      <c r="D5" s="399">
        <v>4.91</v>
      </c>
      <c r="E5" s="400" t="s">
        <v>85</v>
      </c>
      <c r="F5" s="401"/>
      <c r="G5" s="402" t="s">
        <v>201</v>
      </c>
      <c r="H5" s="403">
        <f>D5*B5</f>
        <v>0.14239000000000002</v>
      </c>
      <c r="I5" s="395"/>
      <c r="J5" s="395"/>
      <c r="K5" s="395"/>
    </row>
    <row r="6" spans="1:11" ht="15">
      <c r="A6" s="404" t="s">
        <v>202</v>
      </c>
      <c r="B6" s="405">
        <v>0.85</v>
      </c>
      <c r="C6" s="400"/>
      <c r="D6" s="400"/>
      <c r="E6" s="400"/>
      <c r="F6" s="400"/>
      <c r="G6" s="400"/>
      <c r="H6" s="406"/>
      <c r="I6" s="395"/>
      <c r="J6" s="395"/>
      <c r="K6" s="395"/>
    </row>
    <row r="7" spans="1:11" ht="15.75" thickBot="1">
      <c r="A7" s="407" t="s">
        <v>203</v>
      </c>
      <c r="B7" s="408">
        <f>H5*B6</f>
        <v>0.12103150000000001</v>
      </c>
      <c r="C7" s="409"/>
      <c r="D7" s="409"/>
      <c r="E7" s="409"/>
      <c r="F7" s="409"/>
      <c r="G7" s="409"/>
      <c r="H7" s="410"/>
      <c r="I7" s="395"/>
      <c r="J7" s="395"/>
      <c r="K7" s="395"/>
    </row>
    <row r="8" spans="1:11" ht="15.75" thickBot="1">
      <c r="A8" s="395"/>
      <c r="B8" s="395"/>
      <c r="C8" s="395"/>
      <c r="D8" s="395"/>
      <c r="E8" s="395"/>
      <c r="F8" s="395"/>
      <c r="G8" s="395"/>
      <c r="H8" s="395"/>
      <c r="I8" s="395"/>
      <c r="J8" s="395"/>
      <c r="K8" s="395"/>
    </row>
    <row r="9" spans="1:11" ht="15" hidden="1">
      <c r="A9" s="411"/>
      <c r="B9" s="412"/>
      <c r="C9" s="413"/>
      <c r="D9" s="414"/>
      <c r="E9" s="415"/>
      <c r="F9" s="395"/>
      <c r="G9" s="395"/>
      <c r="H9" s="395"/>
      <c r="I9" s="415"/>
      <c r="J9" s="415"/>
      <c r="K9" s="415"/>
    </row>
    <row r="10" spans="1:11" ht="15" hidden="1">
      <c r="A10" s="416" t="s">
        <v>182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</row>
    <row r="11" spans="1:11" ht="18.75" hidden="1">
      <c r="A11" s="395" t="s">
        <v>59</v>
      </c>
      <c r="B11" s="395"/>
      <c r="C11" s="417" t="s">
        <v>204</v>
      </c>
      <c r="D11" s="395"/>
      <c r="E11" s="395"/>
      <c r="F11" s="395"/>
      <c r="G11" s="395"/>
      <c r="H11" s="395"/>
      <c r="I11" s="395"/>
      <c r="J11" s="395"/>
      <c r="K11" s="395"/>
    </row>
    <row r="12" spans="1:11" ht="18" hidden="1" thickBot="1">
      <c r="A12" s="418" t="s">
        <v>183</v>
      </c>
      <c r="B12" s="395"/>
      <c r="C12" s="417"/>
      <c r="D12" s="395"/>
      <c r="E12" s="395"/>
      <c r="F12" s="417" t="s">
        <v>205</v>
      </c>
      <c r="G12" s="395"/>
      <c r="H12" s="395"/>
      <c r="I12" s="395"/>
      <c r="J12" s="395"/>
      <c r="K12" s="395"/>
    </row>
    <row r="13" spans="1:11" ht="31.5" customHeight="1" thickBot="1">
      <c r="A13" s="590" t="s">
        <v>184</v>
      </c>
      <c r="B13" s="591"/>
      <c r="C13" s="591"/>
      <c r="D13" s="592"/>
      <c r="E13" s="395"/>
      <c r="F13" s="369" t="s">
        <v>213</v>
      </c>
      <c r="G13" s="370"/>
      <c r="H13" s="370"/>
      <c r="I13" s="370"/>
      <c r="J13" s="2"/>
      <c r="K13" s="395"/>
    </row>
    <row r="14" spans="1:11" ht="15.75">
      <c r="A14" s="419" t="s">
        <v>106</v>
      </c>
      <c r="B14" s="420">
        <f>H5</f>
        <v>0.14239000000000002</v>
      </c>
      <c r="C14" s="421" t="s">
        <v>60</v>
      </c>
      <c r="D14" s="422">
        <f>1-B14</f>
        <v>0.85761</v>
      </c>
      <c r="E14" s="418"/>
      <c r="F14" s="371" t="s">
        <v>206</v>
      </c>
      <c r="G14" s="372"/>
      <c r="H14" s="370"/>
      <c r="I14" s="370"/>
      <c r="J14" s="2"/>
      <c r="K14" s="395"/>
    </row>
    <row r="15" spans="1:11" ht="15.75">
      <c r="A15" s="423" t="s">
        <v>185</v>
      </c>
      <c r="B15" s="424">
        <f>B7</f>
        <v>0.12103150000000001</v>
      </c>
      <c r="C15" s="425" t="s">
        <v>61</v>
      </c>
      <c r="D15" s="426">
        <f>1-B15</f>
        <v>0.8789685</v>
      </c>
      <c r="E15" s="418"/>
      <c r="F15" s="373" t="s">
        <v>207</v>
      </c>
      <c r="G15" s="372"/>
      <c r="H15" s="370"/>
      <c r="I15" s="370"/>
      <c r="J15" s="2"/>
      <c r="K15" s="395"/>
    </row>
    <row r="16" spans="1:11" ht="15.75">
      <c r="A16" s="427" t="s">
        <v>153</v>
      </c>
      <c r="B16" s="428">
        <f>(B14+B15)/2</f>
        <v>0.13171075000000002</v>
      </c>
      <c r="C16" s="425" t="s">
        <v>62</v>
      </c>
      <c r="D16" s="426">
        <f>1-B16</f>
        <v>0.86828925</v>
      </c>
      <c r="E16" s="418"/>
      <c r="F16" s="370"/>
      <c r="G16" s="370"/>
      <c r="H16" s="374"/>
      <c r="I16" s="370"/>
      <c r="J16" s="2"/>
      <c r="K16" s="395"/>
    </row>
    <row r="17" spans="1:11" ht="15.75">
      <c r="A17" s="429" t="s">
        <v>63</v>
      </c>
      <c r="B17" s="430">
        <v>0.05</v>
      </c>
      <c r="C17" s="431" t="s">
        <v>64</v>
      </c>
      <c r="D17" s="426">
        <f>-NORMSINV((B17*100/2)/100)</f>
        <v>1.9599639845400538</v>
      </c>
      <c r="E17" s="418"/>
      <c r="F17" s="432" t="s">
        <v>154</v>
      </c>
      <c r="G17" s="375"/>
      <c r="H17" s="376"/>
      <c r="I17" s="375"/>
      <c r="J17" s="93"/>
      <c r="K17" s="395"/>
    </row>
    <row r="18" spans="1:11" ht="15.75">
      <c r="A18" s="429" t="s">
        <v>65</v>
      </c>
      <c r="B18" s="430">
        <v>0.11</v>
      </c>
      <c r="C18" s="431" t="s">
        <v>66</v>
      </c>
      <c r="D18" s="426">
        <f>-NORMSINV(B18)</f>
        <v>1.2265281200366105</v>
      </c>
      <c r="E18" s="418"/>
      <c r="F18" s="378">
        <f>B14*B21</f>
        <v>724.90749</v>
      </c>
      <c r="G18" s="433" t="s">
        <v>208</v>
      </c>
      <c r="H18" s="434"/>
      <c r="I18" s="377"/>
      <c r="J18" s="93"/>
      <c r="K18" s="395"/>
    </row>
    <row r="19" spans="1:11" ht="15.75">
      <c r="A19" s="429" t="s">
        <v>186</v>
      </c>
      <c r="B19" s="435">
        <f>2*B16*D16*(D17+D18)^2</f>
        <v>2.3224230654002893</v>
      </c>
      <c r="C19" s="398"/>
      <c r="D19" s="406"/>
      <c r="E19" s="418"/>
      <c r="F19" s="379">
        <f>B15*B21</f>
        <v>616.1713665000001</v>
      </c>
      <c r="G19" s="436" t="s">
        <v>209</v>
      </c>
      <c r="H19" s="380"/>
      <c r="I19" s="381"/>
      <c r="J19" s="437"/>
      <c r="K19" s="395"/>
    </row>
    <row r="20" spans="1:11" ht="15.75">
      <c r="A20" s="429" t="s">
        <v>187</v>
      </c>
      <c r="B20" s="438">
        <f>(B14-B15)^2</f>
        <v>0.0004561855222500001</v>
      </c>
      <c r="C20" s="400"/>
      <c r="D20" s="406"/>
      <c r="E20" s="418"/>
      <c r="F20" s="439">
        <v>1340.4166693500001</v>
      </c>
      <c r="G20" s="432" t="s">
        <v>155</v>
      </c>
      <c r="H20" s="375"/>
      <c r="I20" s="375"/>
      <c r="J20" s="93"/>
      <c r="K20" s="395"/>
    </row>
    <row r="21" spans="1:11" ht="15">
      <c r="A21" s="440" t="s">
        <v>57</v>
      </c>
      <c r="B21" s="441">
        <f>ROUNDUP(B19/B20,0)</f>
        <v>5091</v>
      </c>
      <c r="C21" s="442"/>
      <c r="D21" s="406"/>
      <c r="E21" s="418"/>
      <c r="F21" s="395"/>
      <c r="G21" s="395"/>
      <c r="H21" s="395"/>
      <c r="I21" s="395"/>
      <c r="J21" s="395"/>
      <c r="K21" s="395"/>
    </row>
    <row r="22" spans="1:11" ht="15.75" thickBot="1">
      <c r="A22" s="443" t="s">
        <v>58</v>
      </c>
      <c r="B22" s="444">
        <f>B21*2</f>
        <v>10182</v>
      </c>
      <c r="C22" s="445"/>
      <c r="D22" s="410"/>
      <c r="E22" s="418"/>
      <c r="F22" s="418"/>
      <c r="G22" s="418"/>
      <c r="H22" s="446"/>
      <c r="I22" s="418"/>
      <c r="J22" s="395"/>
      <c r="K22" s="395"/>
    </row>
    <row r="23" spans="1:11" ht="15">
      <c r="A23" s="395"/>
      <c r="B23" s="395"/>
      <c r="C23" s="395"/>
      <c r="D23" s="395"/>
      <c r="E23" s="395"/>
      <c r="F23" s="395"/>
      <c r="G23" s="447"/>
      <c r="H23" s="395"/>
      <c r="I23" s="395"/>
      <c r="J23" s="395"/>
      <c r="K23" s="395"/>
    </row>
    <row r="24" spans="1:11" ht="15">
      <c r="A24" s="448" t="s">
        <v>156</v>
      </c>
      <c r="B24" s="449"/>
      <c r="C24" s="448" t="s">
        <v>157</v>
      </c>
      <c r="D24" s="395"/>
      <c r="E24" s="395"/>
      <c r="F24" s="395"/>
      <c r="G24" s="395"/>
      <c r="H24" s="395"/>
      <c r="I24" s="395"/>
      <c r="J24" s="395"/>
      <c r="K24" s="395"/>
    </row>
    <row r="25" spans="1:11" ht="15">
      <c r="A25" s="395"/>
      <c r="B25" s="395"/>
      <c r="C25" s="395"/>
      <c r="D25" s="395"/>
      <c r="E25" s="395"/>
      <c r="F25" s="395"/>
      <c r="G25" s="395"/>
      <c r="H25" s="395"/>
      <c r="I25" s="395"/>
      <c r="J25" s="395"/>
      <c r="K25" s="395"/>
    </row>
    <row r="26" spans="1:11" ht="15">
      <c r="A26" s="450" t="s">
        <v>210</v>
      </c>
      <c r="B26" s="451">
        <v>0</v>
      </c>
      <c r="C26" s="418" t="s">
        <v>211</v>
      </c>
      <c r="D26" s="441">
        <f>B21*1/(1-B26)</f>
        <v>5091</v>
      </c>
      <c r="E26" s="395" t="s">
        <v>212</v>
      </c>
      <c r="F26" s="449"/>
      <c r="G26" s="449"/>
      <c r="H26" s="395"/>
      <c r="I26" s="395"/>
      <c r="J26" s="395"/>
      <c r="K26" s="395"/>
    </row>
    <row r="27" spans="1:11" ht="5.25" customHeight="1">
      <c r="A27" s="452"/>
      <c r="B27" s="452"/>
      <c r="C27" s="452"/>
      <c r="D27" s="452"/>
      <c r="E27" s="452"/>
      <c r="F27" s="452"/>
      <c r="G27" s="452"/>
      <c r="H27" s="2"/>
      <c r="I27" s="452"/>
      <c r="J27" s="452"/>
      <c r="K27" s="452"/>
    </row>
  </sheetData>
  <sheetProtection/>
  <mergeCells count="3">
    <mergeCell ref="A1:H1"/>
    <mergeCell ref="A2:H2"/>
    <mergeCell ref="A13:D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gasanchez</dc:creator>
  <cp:keywords/>
  <dc:description/>
  <cp:lastModifiedBy>Galo</cp:lastModifiedBy>
  <cp:lastPrinted>2012-04-13T11:30:53Z</cp:lastPrinted>
  <dcterms:created xsi:type="dcterms:W3CDTF">2009-05-28T14:19:22Z</dcterms:created>
  <dcterms:modified xsi:type="dcterms:W3CDTF">2019-10-05T17:02:10Z</dcterms:modified>
  <cp:category/>
  <cp:version/>
  <cp:contentType/>
  <cp:contentStatus/>
</cp:coreProperties>
</file>