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20181218-Galo\0-Datos\040-Metodol\00-Hojas cálc con ayuda\"/>
    </mc:Choice>
  </mc:AlternateContent>
  <bookViews>
    <workbookView xWindow="0" yWindow="0" windowWidth="20490" windowHeight="7365"/>
  </bookViews>
  <sheets>
    <sheet name="Si OR casos y controles" sheetId="2" r:id="rId1"/>
    <sheet name="Si OR y RR intercambiables" sheetId="1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9" i="1" l="1"/>
  <c r="M8" i="1"/>
  <c r="M7" i="1"/>
  <c r="C9" i="2"/>
  <c r="D9" i="2"/>
  <c r="C9" i="1"/>
  <c r="D9" i="1"/>
  <c r="E7" i="1"/>
  <c r="E7" i="2"/>
  <c r="E8" i="2"/>
  <c r="E9" i="2" s="1"/>
  <c r="E8" i="1"/>
  <c r="E9" i="1"/>
  <c r="J9" i="1"/>
  <c r="A15" i="1"/>
  <c r="B17" i="1"/>
  <c r="B21" i="1"/>
  <c r="B25" i="1" s="1"/>
  <c r="C17" i="2"/>
  <c r="J7" i="2" s="1"/>
  <c r="L17" i="2"/>
  <c r="B17" i="2"/>
  <c r="B21" i="2"/>
  <c r="B25" i="2" s="1"/>
  <c r="F15" i="2"/>
  <c r="D17" i="2"/>
  <c r="C15" i="2"/>
  <c r="E15" i="2" s="1"/>
  <c r="H15" i="2" s="1"/>
  <c r="D19" i="2" s="1"/>
  <c r="B15" i="2"/>
  <c r="A15" i="2"/>
  <c r="C17" i="1"/>
  <c r="C21" i="1"/>
  <c r="C25" i="1" s="1"/>
  <c r="H6" i="1" s="1"/>
  <c r="J6" i="1" s="1"/>
  <c r="L18" i="2"/>
  <c r="L21" i="2" s="1"/>
  <c r="K25" i="2" s="1"/>
  <c r="L19" i="2"/>
  <c r="C15" i="1"/>
  <c r="B15" i="1"/>
  <c r="F15" i="1"/>
  <c r="D17" i="1"/>
  <c r="L7" i="1" s="1"/>
  <c r="M19" i="1"/>
  <c r="M21" i="1"/>
  <c r="M25" i="1" s="1"/>
  <c r="C21" i="2"/>
  <c r="C25" i="2" s="1"/>
  <c r="E15" i="1"/>
  <c r="H15" i="1"/>
  <c r="D19" i="1" s="1"/>
  <c r="L9" i="1" s="1"/>
  <c r="D15" i="1"/>
  <c r="G15" i="1" s="1"/>
  <c r="D18" i="1" s="1"/>
  <c r="L8" i="1" s="1"/>
  <c r="K7" i="2" l="1"/>
  <c r="J19" i="2" s="1"/>
  <c r="J21" i="2" s="1"/>
  <c r="I25" i="2" s="1"/>
  <c r="K19" i="2"/>
  <c r="K21" i="2" s="1"/>
  <c r="J25" i="2" s="1"/>
  <c r="D15" i="2"/>
  <c r="G15" i="2" s="1"/>
  <c r="D18" i="2" s="1"/>
  <c r="D21" i="2" s="1"/>
  <c r="D25" i="2" s="1"/>
  <c r="N9" i="1"/>
  <c r="N19" i="1" s="1"/>
  <c r="O9" i="1"/>
  <c r="P9" i="1" s="1"/>
  <c r="R19" i="1"/>
  <c r="O8" i="1"/>
  <c r="P8" i="1" s="1"/>
  <c r="N8" i="1"/>
  <c r="N18" i="1" s="1"/>
  <c r="R18" i="1"/>
  <c r="O7" i="1"/>
  <c r="N7" i="1"/>
  <c r="N17" i="1" s="1"/>
  <c r="R17" i="1"/>
  <c r="D21" i="1"/>
  <c r="D25" i="1" s="1"/>
  <c r="N21" i="1" l="1"/>
  <c r="N25" i="1" s="1"/>
  <c r="Q8" i="1"/>
  <c r="P18" i="1" s="1"/>
  <c r="O18" i="1"/>
  <c r="P7" i="1"/>
  <c r="L19" i="1"/>
  <c r="L21" i="1" s="1"/>
  <c r="L25" i="1" s="1"/>
  <c r="Q9" i="1"/>
  <c r="P19" i="1" s="1"/>
  <c r="O19" i="1"/>
  <c r="R21" i="1"/>
  <c r="O17" i="1" l="1"/>
  <c r="O21" i="1" s="1"/>
  <c r="O25" i="1" s="1"/>
  <c r="Q7" i="1"/>
  <c r="P17" i="1" s="1"/>
  <c r="P21" i="1" s="1"/>
  <c r="P25" i="1" s="1"/>
</calcChain>
</file>

<file path=xl/sharedStrings.xml><?xml version="1.0" encoding="utf-8"?>
<sst xmlns="http://schemas.openxmlformats.org/spreadsheetml/2006/main" count="119" uniqueCount="66">
  <si>
    <t>odds = p ((1-p) =&gt;  p = odds / (1+odds)</t>
  </si>
  <si>
    <t>Ver pág 334 Mét Inv Clín y Epid. Argimón y Jiménez Villa</t>
  </si>
  <si>
    <t>Para transformar OR en RR, tenemos que conocer el RAc</t>
  </si>
  <si>
    <t>Enfermos</t>
  </si>
  <si>
    <t>No enfermos</t>
  </si>
  <si>
    <t xml:space="preserve">OR =  (RAi/(1-RAi)) / ((RAc /(1-RAc))  </t>
  </si>
  <si>
    <t>RAi = OR*RAc / (1-RAc + OR*RAc)</t>
  </si>
  <si>
    <t>Casos</t>
  </si>
  <si>
    <t>Controles</t>
  </si>
  <si>
    <t>Total</t>
  </si>
  <si>
    <t>RR = RAi / RAc = OR / [ (1-RAc) + (OR*RAc) ]</t>
  </si>
  <si>
    <t>Expuestos</t>
  </si>
  <si>
    <t>a</t>
  </si>
  <si>
    <t>OR</t>
  </si>
  <si>
    <t>RR</t>
  </si>
  <si>
    <t>RAi</t>
  </si>
  <si>
    <t>RAR</t>
  </si>
  <si>
    <t>NNT</t>
  </si>
  <si>
    <t>No expuestos</t>
  </si>
  <si>
    <r>
      <t>ln OR</t>
    </r>
    <r>
      <rPr>
        <b/>
        <sz val="10"/>
        <color indexed="17"/>
        <rFont val="Calibri"/>
        <family val="2"/>
      </rPr>
      <t xml:space="preserve"> = bi</t>
    </r>
  </si>
  <si>
    <t>EE (ln OR) = Raíz (1/a + 1/b + 1/c + 1/d)</t>
  </si>
  <si>
    <t>Z α/2 (0,05)</t>
  </si>
  <si>
    <t>ln de límite inferior</t>
  </si>
  <si>
    <t>ln de límite superior</t>
  </si>
  <si>
    <t>Límite inferior del IC</t>
  </si>
  <si>
    <t>Límite superior del IC</t>
  </si>
  <si>
    <t>Este es el método de Woolf</t>
  </si>
  <si>
    <t>Los límites del intervalos de confianza son los exponentes neperianos o antilogaritmos de la ecuación [ln OR +- Z α/2 x EE (ln OR) ]</t>
  </si>
  <si>
    <t>(</t>
  </si>
  <si>
    <t>-</t>
  </si>
  <si>
    <t>)</t>
  </si>
  <si>
    <t>%</t>
  </si>
  <si>
    <t>Nº event Interv (%)</t>
  </si>
  <si>
    <t>Nº event Control (%)</t>
  </si>
  <si>
    <t>/</t>
  </si>
  <si>
    <r>
      <rPr>
        <b/>
        <sz val="10"/>
        <color rgb="FF0000FF"/>
        <rFont val="Calibri"/>
        <family val="2"/>
        <scheme val="minor"/>
      </rPr>
      <t>Abreviaturas</t>
    </r>
    <r>
      <rPr>
        <sz val="10"/>
        <rFont val="Calibri"/>
        <family val="2"/>
        <scheme val="minor"/>
      </rPr>
      <t xml:space="preserve">: </t>
    </r>
    <r>
      <rPr>
        <b/>
        <sz val="10"/>
        <rFont val="Calibri"/>
        <family val="2"/>
        <scheme val="minor"/>
      </rPr>
      <t xml:space="preserve">OR: </t>
    </r>
    <r>
      <rPr>
        <sz val="10"/>
        <rFont val="Calibri"/>
        <family val="2"/>
        <scheme val="minor"/>
      </rPr>
      <t xml:space="preserve">odds ratio; </t>
    </r>
    <r>
      <rPr>
        <b/>
        <sz val="10"/>
        <rFont val="Calibri"/>
        <family val="2"/>
        <scheme val="minor"/>
      </rPr>
      <t xml:space="preserve">IC 95%: </t>
    </r>
    <r>
      <rPr>
        <sz val="10"/>
        <rFont val="Calibri"/>
        <family val="2"/>
        <scheme val="minor"/>
      </rPr>
      <t>intervalo de confianza al 95%</t>
    </r>
  </si>
  <si>
    <t>RAR (IC 95%)</t>
  </si>
  <si>
    <t>NNT (IC 95%)</t>
  </si>
  <si>
    <t>Cálculo de la odds ratio (OR) con sus IC para casos y controles</t>
  </si>
  <si>
    <t>OR cruda (IC 95%)</t>
  </si>
  <si>
    <t>OR ajustada (IC 95%)</t>
  </si>
  <si>
    <t>Odds ajustada grupo expuesto</t>
  </si>
  <si>
    <t>Estimac puntual</t>
  </si>
  <si>
    <t>Límite inf del IC</t>
  </si>
  <si>
    <t>Límite sup del IC</t>
  </si>
  <si>
    <t>Odds cruda grupo NO expuesto</t>
  </si>
  <si>
    <t>% event crudos, Grupo control</t>
  </si>
  <si>
    <t>RR (IC 95%) ajustado (obtenido desde el OR ajustado)</t>
  </si>
  <si>
    <t>% event ajustados, Grupo Interv</t>
  </si>
  <si>
    <t>% RAc crudo</t>
  </si>
  <si>
    <t>Cálculo de la odds ratio (OR) con sus IC, cuando es intercambiable por el RR (ECA y Est Cohortes)</t>
  </si>
  <si>
    <t>Paso de Odds a Probabilidad</t>
  </si>
  <si>
    <r>
      <rPr>
        <b/>
        <sz val="10"/>
        <rFont val="Calibri"/>
        <family val="2"/>
      </rPr>
      <t xml:space="preserve">Si </t>
    </r>
    <r>
      <rPr>
        <b/>
        <sz val="10"/>
        <color indexed="12"/>
        <rFont val="Calibri"/>
        <family val="2"/>
      </rPr>
      <t>Odds =</t>
    </r>
  </si>
  <si>
    <t>=&gt; Probablidad =</t>
  </si>
  <si>
    <t>Paso de Probabilidad a Odds</t>
  </si>
  <si>
    <r>
      <rPr>
        <b/>
        <sz val="10"/>
        <rFont val="Calibri"/>
        <family val="2"/>
      </rPr>
      <t xml:space="preserve">Si </t>
    </r>
    <r>
      <rPr>
        <b/>
        <sz val="10"/>
        <color indexed="14"/>
        <rFont val="Calibri"/>
        <family val="2"/>
      </rPr>
      <t>Probablidad =</t>
    </r>
  </si>
  <si>
    <t>=&gt; Odds =</t>
  </si>
  <si>
    <t>Odds (expuestos / no expuestos) CASOS</t>
  </si>
  <si>
    <t>Odds (expuestos / no expuestos) CONTROLES</t>
  </si>
  <si>
    <t>Odds cruda (expuestos / no expuestos) CASOS</t>
  </si>
  <si>
    <t>Odds cruda (expuestos / no expuestos) CONTROLES</t>
  </si>
  <si>
    <t>Odds ajustada (expuestos / no expuestos) CASOS</t>
  </si>
  <si>
    <t>EE (ln OR) = Raíz (varianza) = Raíz (1/a + 1/b + 1/c + 1/d)</t>
  </si>
  <si>
    <r>
      <t xml:space="preserve">EE de ln OR= Raíz (varianza del ln OR) = Raíz [1/a + 1/b + 1/c + 1/d] ; </t>
    </r>
    <r>
      <rPr>
        <sz val="10"/>
        <color indexed="17"/>
        <rFont val="Calibri"/>
        <family val="2"/>
      </rPr>
      <t>Recuérdese que el "ln OR" es el coeficiente de regresión (logística) llamado "bi"; ln OR = b; =&gt; OR=antilog bi = e^bi</t>
    </r>
  </si>
  <si>
    <r>
      <t xml:space="preserve">EE del ln OR= Raíz (varianza del ln OR) = (1/a + 1/b + 1/c + 1/d); </t>
    </r>
    <r>
      <rPr>
        <sz val="10"/>
        <color indexed="17"/>
        <rFont val="Calibri"/>
        <family val="2"/>
      </rPr>
      <t>Recuérdese que el "ln OR" es el coeficiente de regresión (logística) llamado "bi"; ln OR = b; =&gt; OR=antilog bi = e^bi</t>
    </r>
  </si>
  <si>
    <t>OR (IC 95%)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</si>
</sst>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€_-;\-* #,##0.00\ _€_-;_-* &quot;-&quot;??\ _€_-;_-@_-"/>
    <numFmt numFmtId="164" formatCode="_-* #,##0\ _€_-;\-* #,##0\ _€_-;_-* &quot;-&quot;??\ _€_-;_-@_-"/>
    <numFmt numFmtId="165" formatCode="0.0%"/>
    <numFmt numFmtId="166" formatCode="_-* #,##0.000\ _€_-;\-* #,##0.000\ _€_-;_-* &quot;-&quot;??\ _€_-;_-@_-"/>
    <numFmt numFmtId="167" formatCode="0.000"/>
    <numFmt numFmtId="168" formatCode="_-* #,##0.000\ _€_-;\-* #,##0.000\ _€_-;_-* &quot;-&quot;???\ _€_-;_-@_-"/>
    <numFmt numFmtId="169" formatCode="_-* #,##0.0000\ _€_-;\-* #,##0.0000\ _€_-;_-* &quot;-&quot;??\ _€_-;_-@_-"/>
    <numFmt numFmtId="170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52"/>
      <name val="Calibri"/>
      <family val="2"/>
      <scheme val="minor"/>
    </font>
    <font>
      <sz val="10"/>
      <color indexed="5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indexed="12"/>
      <name val="Calibri"/>
      <family val="2"/>
      <scheme val="minor"/>
    </font>
    <font>
      <sz val="10"/>
      <color indexed="61"/>
      <name val="Calibri"/>
      <family val="2"/>
      <scheme val="minor"/>
    </font>
    <font>
      <sz val="10"/>
      <color indexed="63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17"/>
      <name val="Calibri"/>
      <family val="2"/>
    </font>
    <font>
      <b/>
      <sz val="10"/>
      <color indexed="50"/>
      <name val="Calibri"/>
      <family val="2"/>
      <scheme val="minor"/>
    </font>
    <font>
      <b/>
      <sz val="10"/>
      <color indexed="17"/>
      <name val="Calibri"/>
      <family val="2"/>
    </font>
    <font>
      <b/>
      <sz val="10"/>
      <color rgb="FF0000FF"/>
      <name val="Calibri"/>
      <family val="2"/>
      <scheme val="minor"/>
    </font>
    <font>
      <b/>
      <u/>
      <sz val="14"/>
      <color rgb="FF0000FF"/>
      <name val="Calibri"/>
      <family val="2"/>
      <scheme val="minor"/>
    </font>
    <font>
      <b/>
      <u/>
      <sz val="14"/>
      <color rgb="FFCC6600"/>
      <name val="Calibri"/>
      <family val="2"/>
      <scheme val="minor"/>
    </font>
    <font>
      <b/>
      <sz val="10"/>
      <name val="Calibri"/>
      <family val="2"/>
    </font>
    <font>
      <b/>
      <sz val="10"/>
      <color indexed="12"/>
      <name val="Calibri"/>
      <family val="2"/>
    </font>
    <font>
      <b/>
      <sz val="10"/>
      <color indexed="14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0">
    <xf numFmtId="0" fontId="0" fillId="0" borderId="0" xfId="0"/>
    <xf numFmtId="0" fontId="2" fillId="0" borderId="0" xfId="0" applyFont="1" applyFill="1"/>
    <xf numFmtId="10" fontId="2" fillId="0" borderId="0" xfId="2" applyNumberFormat="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10" fontId="2" fillId="0" borderId="0" xfId="0" applyNumberFormat="1" applyFont="1" applyFill="1" applyBorder="1"/>
    <xf numFmtId="43" fontId="2" fillId="0" borderId="0" xfId="1" applyFont="1" applyFill="1" applyBorder="1"/>
    <xf numFmtId="43" fontId="2" fillId="0" borderId="0" xfId="0" applyNumberFormat="1" applyFont="1"/>
    <xf numFmtId="0" fontId="2" fillId="0" borderId="0" xfId="0" applyFont="1" applyFill="1" applyBorder="1" applyAlignment="1">
      <alignment horizontal="center" vertical="distributed"/>
    </xf>
    <xf numFmtId="0" fontId="3" fillId="0" borderId="0" xfId="0" applyFont="1" applyAlignment="1">
      <alignment horizontal="right"/>
    </xf>
    <xf numFmtId="43" fontId="4" fillId="0" borderId="0" xfId="0" applyNumberFormat="1" applyFont="1" applyFill="1" applyBorder="1"/>
    <xf numFmtId="0" fontId="2" fillId="0" borderId="0" xfId="0" applyFont="1"/>
    <xf numFmtId="0" fontId="3" fillId="0" borderId="0" xfId="0" applyFont="1" applyFill="1" applyBorder="1" applyAlignment="1">
      <alignment horizontal="right"/>
    </xf>
    <xf numFmtId="0" fontId="2" fillId="0" borderId="0" xfId="0" applyFont="1" applyBorder="1"/>
    <xf numFmtId="0" fontId="2" fillId="0" borderId="0" xfId="0" applyFont="1" applyFill="1" applyBorder="1" applyAlignment="1">
      <alignment vertical="center"/>
    </xf>
    <xf numFmtId="43" fontId="2" fillId="0" borderId="0" xfId="0" applyNumberFormat="1" applyFont="1" applyFill="1" applyBorder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3" fontId="6" fillId="0" borderId="0" xfId="1" applyFont="1" applyFill="1" applyBorder="1"/>
    <xf numFmtId="164" fontId="7" fillId="0" borderId="0" xfId="1" applyNumberFormat="1" applyFont="1" applyBorder="1"/>
    <xf numFmtId="164" fontId="7" fillId="0" borderId="0" xfId="0" applyNumberFormat="1" applyFont="1" applyBorder="1"/>
    <xf numFmtId="164" fontId="8" fillId="0" borderId="0" xfId="1" applyNumberFormat="1" applyFont="1" applyBorder="1"/>
    <xf numFmtId="164" fontId="8" fillId="0" borderId="0" xfId="0" applyNumberFormat="1" applyFont="1" applyBorder="1"/>
    <xf numFmtId="0" fontId="2" fillId="0" borderId="2" xfId="0" applyFont="1" applyFill="1" applyBorder="1" applyAlignment="1"/>
    <xf numFmtId="0" fontId="2" fillId="0" borderId="3" xfId="0" applyFont="1" applyFill="1" applyBorder="1" applyAlignment="1"/>
    <xf numFmtId="0" fontId="2" fillId="0" borderId="4" xfId="0" applyFont="1" applyFill="1" applyBorder="1" applyAlignment="1"/>
    <xf numFmtId="0" fontId="2" fillId="0" borderId="6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7" xfId="0" applyFont="1" applyFill="1" applyBorder="1"/>
    <xf numFmtId="164" fontId="2" fillId="0" borderId="0" xfId="1" applyNumberFormat="1" applyFont="1" applyFill="1" applyBorder="1" applyAlignment="1"/>
    <xf numFmtId="2" fontId="2" fillId="2" borderId="10" xfId="1" applyNumberFormat="1" applyFont="1" applyFill="1" applyBorder="1" applyAlignment="1">
      <alignment horizontal="center"/>
    </xf>
    <xf numFmtId="166" fontId="2" fillId="3" borderId="10" xfId="0" applyNumberFormat="1" applyFont="1" applyFill="1" applyBorder="1" applyAlignment="1">
      <alignment wrapText="1"/>
    </xf>
    <xf numFmtId="10" fontId="2" fillId="3" borderId="10" xfId="2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165" fontId="2" fillId="0" borderId="0" xfId="2" applyNumberFormat="1" applyFont="1" applyFill="1" applyBorder="1" applyAlignment="1">
      <alignment horizontal="center"/>
    </xf>
    <xf numFmtId="165" fontId="2" fillId="0" borderId="0" xfId="2" applyNumberFormat="1" applyFont="1" applyFill="1" applyBorder="1" applyAlignment="1"/>
    <xf numFmtId="0" fontId="2" fillId="0" borderId="0" xfId="0" applyFont="1" applyAlignment="1">
      <alignment horizontal="right"/>
    </xf>
    <xf numFmtId="43" fontId="2" fillId="0" borderId="0" xfId="1" applyFont="1" applyFill="1" applyBorder="1" applyAlignment="1">
      <alignment horizontal="center"/>
    </xf>
    <xf numFmtId="10" fontId="2" fillId="0" borderId="0" xfId="2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165" fontId="10" fillId="0" borderId="0" xfId="2" applyNumberFormat="1" applyFont="1" applyFill="1" applyBorder="1" applyAlignment="1"/>
    <xf numFmtId="0" fontId="8" fillId="0" borderId="0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8" fontId="2" fillId="0" borderId="0" xfId="0" applyNumberFormat="1" applyFont="1" applyFill="1"/>
    <xf numFmtId="0" fontId="2" fillId="0" borderId="0" xfId="0" applyFont="1" applyFill="1" applyBorder="1" applyAlignment="1">
      <alignment wrapText="1"/>
    </xf>
    <xf numFmtId="165" fontId="12" fillId="0" borderId="0" xfId="2" applyNumberFormat="1" applyFont="1" applyFill="1" applyBorder="1" applyAlignment="1"/>
    <xf numFmtId="0" fontId="5" fillId="0" borderId="1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3" fontId="2" fillId="0" borderId="10" xfId="1" applyFont="1" applyFill="1" applyBorder="1"/>
    <xf numFmtId="166" fontId="2" fillId="0" borderId="10" xfId="1" applyNumberFormat="1" applyFont="1" applyFill="1" applyBorder="1"/>
    <xf numFmtId="0" fontId="7" fillId="0" borderId="0" xfId="0" applyFont="1" applyFill="1"/>
    <xf numFmtId="164" fontId="2" fillId="5" borderId="0" xfId="0" applyNumberFormat="1" applyFont="1" applyFill="1" applyBorder="1"/>
    <xf numFmtId="10" fontId="2" fillId="5" borderId="0" xfId="0" applyNumberFormat="1" applyFont="1" applyFill="1" applyBorder="1"/>
    <xf numFmtId="49" fontId="2" fillId="5" borderId="10" xfId="0" applyNumberFormat="1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49" fontId="2" fillId="5" borderId="2" xfId="0" applyNumberFormat="1" applyFont="1" applyFill="1" applyBorder="1"/>
    <xf numFmtId="49" fontId="2" fillId="5" borderId="6" xfId="0" applyNumberFormat="1" applyFont="1" applyFill="1" applyBorder="1"/>
    <xf numFmtId="0" fontId="2" fillId="5" borderId="6" xfId="0" applyFont="1" applyFill="1" applyBorder="1"/>
    <xf numFmtId="49" fontId="2" fillId="5" borderId="11" xfId="0" applyNumberFormat="1" applyFont="1" applyFill="1" applyBorder="1"/>
    <xf numFmtId="0" fontId="2" fillId="5" borderId="12" xfId="0" applyFont="1" applyFill="1" applyBorder="1"/>
    <xf numFmtId="0" fontId="5" fillId="5" borderId="10" xfId="0" applyFont="1" applyFill="1" applyBorder="1" applyAlignment="1">
      <alignment horizontal="center" vertical="distributed"/>
    </xf>
    <xf numFmtId="0" fontId="5" fillId="5" borderId="10" xfId="0" applyFont="1" applyFill="1" applyBorder="1" applyAlignment="1">
      <alignment horizontal="center" vertical="center"/>
    </xf>
    <xf numFmtId="2" fontId="2" fillId="3" borderId="10" xfId="1" applyNumberFormat="1" applyFont="1" applyFill="1" applyBorder="1" applyAlignment="1">
      <alignment horizontal="center"/>
    </xf>
    <xf numFmtId="43" fontId="2" fillId="0" borderId="0" xfId="1" applyNumberFormat="1" applyFont="1"/>
    <xf numFmtId="43" fontId="2" fillId="0" borderId="0" xfId="1" applyFont="1"/>
    <xf numFmtId="165" fontId="2" fillId="0" borderId="0" xfId="2" applyNumberFormat="1" applyFont="1"/>
    <xf numFmtId="0" fontId="2" fillId="0" borderId="10" xfId="0" applyFont="1" applyBorder="1" applyAlignment="1">
      <alignment horizontal="center" vertical="center"/>
    </xf>
    <xf numFmtId="10" fontId="2" fillId="5" borderId="10" xfId="0" applyNumberFormat="1" applyFont="1" applyFill="1" applyBorder="1" applyAlignment="1">
      <alignment horizontal="center"/>
    </xf>
    <xf numFmtId="165" fontId="2" fillId="0" borderId="10" xfId="2" applyNumberFormat="1" applyFont="1" applyBorder="1" applyAlignment="1">
      <alignment horizontal="center" vertical="center"/>
    </xf>
    <xf numFmtId="43" fontId="5" fillId="0" borderId="10" xfId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165" fontId="5" fillId="0" borderId="10" xfId="2" applyNumberFormat="1" applyFont="1" applyFill="1" applyBorder="1" applyAlignment="1">
      <alignment horizontal="center"/>
    </xf>
    <xf numFmtId="169" fontId="2" fillId="5" borderId="3" xfId="0" applyNumberFormat="1" applyFont="1" applyFill="1" applyBorder="1"/>
    <xf numFmtId="169" fontId="2" fillId="5" borderId="10" xfId="0" applyNumberFormat="1" applyFont="1" applyFill="1" applyBorder="1" applyAlignment="1">
      <alignment horizontal="center"/>
    </xf>
    <xf numFmtId="49" fontId="5" fillId="5" borderId="10" xfId="0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6" fillId="0" borderId="0" xfId="0" applyFont="1"/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vertical="center"/>
    </xf>
    <xf numFmtId="164" fontId="2" fillId="0" borderId="10" xfId="1" applyNumberFormat="1" applyFont="1" applyFill="1" applyBorder="1" applyAlignment="1">
      <alignment vertical="center"/>
    </xf>
    <xf numFmtId="10" fontId="2" fillId="0" borderId="0" xfId="2" applyNumberFormat="1" applyFont="1" applyFill="1" applyBorder="1" applyAlignment="1">
      <alignment vertical="center"/>
    </xf>
    <xf numFmtId="43" fontId="2" fillId="0" borderId="0" xfId="1" applyFont="1" applyFill="1" applyBorder="1" applyAlignment="1">
      <alignment vertical="center"/>
    </xf>
    <xf numFmtId="43" fontId="2" fillId="0" borderId="10" xfId="1" applyFont="1" applyFill="1" applyBorder="1" applyAlignment="1">
      <alignment vertical="center"/>
    </xf>
    <xf numFmtId="2" fontId="2" fillId="2" borderId="10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4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43" fontId="2" fillId="0" borderId="10" xfId="1" applyFont="1" applyFill="1" applyBorder="1" applyAlignment="1">
      <alignment horizontal="center" vertical="center"/>
    </xf>
    <xf numFmtId="43" fontId="2" fillId="0" borderId="10" xfId="0" applyNumberFormat="1" applyFont="1" applyFill="1" applyBorder="1" applyAlignment="1">
      <alignment vertical="center"/>
    </xf>
    <xf numFmtId="169" fontId="2" fillId="0" borderId="10" xfId="1" applyNumberFormat="1" applyFont="1" applyFill="1" applyBorder="1" applyAlignment="1">
      <alignment vertical="center"/>
    </xf>
    <xf numFmtId="169" fontId="2" fillId="0" borderId="10" xfId="0" applyNumberFormat="1" applyFont="1" applyFill="1" applyBorder="1" applyAlignment="1">
      <alignment horizontal="center" vertical="center"/>
    </xf>
    <xf numFmtId="169" fontId="2" fillId="5" borderId="3" xfId="0" applyNumberFormat="1" applyFont="1" applyFill="1" applyBorder="1" applyAlignment="1">
      <alignment vertical="center"/>
    </xf>
    <xf numFmtId="2" fontId="2" fillId="5" borderId="3" xfId="0" applyNumberFormat="1" applyFont="1" applyFill="1" applyBorder="1" applyAlignment="1">
      <alignment vertical="center"/>
    </xf>
    <xf numFmtId="10" fontId="2" fillId="5" borderId="3" xfId="0" applyNumberFormat="1" applyFont="1" applyFill="1" applyBorder="1" applyAlignment="1">
      <alignment vertical="center"/>
    </xf>
    <xf numFmtId="1" fontId="2" fillId="5" borderId="3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164" fontId="2" fillId="5" borderId="0" xfId="0" applyNumberFormat="1" applyFont="1" applyFill="1" applyBorder="1" applyAlignment="1">
      <alignment vertical="center"/>
    </xf>
    <xf numFmtId="2" fontId="2" fillId="5" borderId="0" xfId="0" applyNumberFormat="1" applyFont="1" applyFill="1" applyBorder="1" applyAlignment="1">
      <alignment vertical="center"/>
    </xf>
    <xf numFmtId="10" fontId="2" fillId="5" borderId="0" xfId="0" applyNumberFormat="1" applyFont="1" applyFill="1" applyBorder="1" applyAlignment="1">
      <alignment vertical="center"/>
    </xf>
    <xf numFmtId="1" fontId="2" fillId="5" borderId="0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166" fontId="2" fillId="5" borderId="0" xfId="1" applyNumberFormat="1" applyFont="1" applyFill="1" applyBorder="1" applyAlignment="1">
      <alignment vertical="center"/>
    </xf>
    <xf numFmtId="49" fontId="2" fillId="5" borderId="10" xfId="0" applyNumberFormat="1" applyFont="1" applyFill="1" applyBorder="1" applyAlignment="1">
      <alignment horizontal="center" vertical="center"/>
    </xf>
    <xf numFmtId="169" fontId="2" fillId="5" borderId="10" xfId="0" applyNumberFormat="1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166" fontId="2" fillId="5" borderId="10" xfId="0" applyNumberFormat="1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vertical="center"/>
    </xf>
    <xf numFmtId="1" fontId="2" fillId="5" borderId="12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43" fontId="2" fillId="0" borderId="0" xfId="1" applyNumberFormat="1" applyFont="1" applyAlignment="1">
      <alignment vertical="center"/>
    </xf>
    <xf numFmtId="43" fontId="2" fillId="0" borderId="0" xfId="1" applyFont="1" applyAlignment="1">
      <alignment vertical="center"/>
    </xf>
    <xf numFmtId="167" fontId="2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3" fontId="2" fillId="0" borderId="0" xfId="1" applyFont="1" applyAlignment="1">
      <alignment horizontal="center" vertical="center"/>
    </xf>
    <xf numFmtId="167" fontId="2" fillId="0" borderId="0" xfId="0" applyNumberFormat="1" applyFont="1" applyFill="1" applyAlignment="1">
      <alignment vertical="center"/>
    </xf>
    <xf numFmtId="166" fontId="2" fillId="0" borderId="10" xfId="1" applyNumberFormat="1" applyFont="1" applyFill="1" applyBorder="1" applyAlignment="1">
      <alignment vertical="center"/>
    </xf>
    <xf numFmtId="164" fontId="2" fillId="4" borderId="1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0" borderId="0" xfId="0" applyBorder="1"/>
    <xf numFmtId="0" fontId="0" fillId="0" borderId="12" xfId="0" applyBorder="1"/>
    <xf numFmtId="0" fontId="0" fillId="0" borderId="13" xfId="0" applyBorder="1"/>
    <xf numFmtId="0" fontId="2" fillId="6" borderId="12" xfId="0" applyFont="1" applyFill="1" applyBorder="1"/>
    <xf numFmtId="49" fontId="2" fillId="6" borderId="2" xfId="0" applyNumberFormat="1" applyFont="1" applyFill="1" applyBorder="1"/>
    <xf numFmtId="49" fontId="2" fillId="6" borderId="6" xfId="0" applyNumberFormat="1" applyFont="1" applyFill="1" applyBorder="1"/>
    <xf numFmtId="0" fontId="2" fillId="6" borderId="6" xfId="0" applyFont="1" applyFill="1" applyBorder="1"/>
    <xf numFmtId="49" fontId="2" fillId="6" borderId="11" xfId="0" applyNumberFormat="1" applyFont="1" applyFill="1" applyBorder="1"/>
    <xf numFmtId="164" fontId="2" fillId="6" borderId="3" xfId="0" applyNumberFormat="1" applyFont="1" applyFill="1" applyBorder="1"/>
    <xf numFmtId="2" fontId="2" fillId="6" borderId="3" xfId="0" applyNumberFormat="1" applyFont="1" applyFill="1" applyBorder="1"/>
    <xf numFmtId="10" fontId="2" fillId="6" borderId="3" xfId="0" applyNumberFormat="1" applyFont="1" applyFill="1" applyBorder="1"/>
    <xf numFmtId="1" fontId="2" fillId="6" borderId="3" xfId="0" applyNumberFormat="1" applyFont="1" applyFill="1" applyBorder="1" applyAlignment="1">
      <alignment horizontal="center"/>
    </xf>
    <xf numFmtId="0" fontId="0" fillId="6" borderId="3" xfId="0" applyFill="1" applyBorder="1"/>
    <xf numFmtId="164" fontId="2" fillId="6" borderId="0" xfId="0" applyNumberFormat="1" applyFont="1" applyFill="1" applyBorder="1"/>
    <xf numFmtId="2" fontId="2" fillId="6" borderId="0" xfId="0" applyNumberFormat="1" applyFont="1" applyFill="1" applyBorder="1"/>
    <xf numFmtId="10" fontId="2" fillId="6" borderId="0" xfId="0" applyNumberFormat="1" applyFont="1" applyFill="1" applyBorder="1"/>
    <xf numFmtId="1" fontId="2" fillId="6" borderId="0" xfId="0" applyNumberFormat="1" applyFont="1" applyFill="1" applyBorder="1" applyAlignment="1">
      <alignment horizontal="center"/>
    </xf>
    <xf numFmtId="0" fontId="0" fillId="6" borderId="0" xfId="0" applyFill="1" applyBorder="1"/>
    <xf numFmtId="2" fontId="2" fillId="6" borderId="4" xfId="0" applyNumberFormat="1" applyFont="1" applyFill="1" applyBorder="1"/>
    <xf numFmtId="2" fontId="2" fillId="6" borderId="7" xfId="0" applyNumberFormat="1" applyFont="1" applyFill="1" applyBorder="1"/>
    <xf numFmtId="0" fontId="18" fillId="2" borderId="9" xfId="0" applyFont="1" applyFill="1" applyBorder="1" applyAlignment="1">
      <alignment horizontal="right" vertical="center"/>
    </xf>
    <xf numFmtId="170" fontId="18" fillId="2" borderId="15" xfId="0" applyNumberFormat="1" applyFont="1" applyFill="1" applyBorder="1" applyAlignment="1">
      <alignment horizontal="center" vertical="center"/>
    </xf>
    <xf numFmtId="49" fontId="19" fillId="7" borderId="9" xfId="0" applyNumberFormat="1" applyFont="1" applyFill="1" applyBorder="1" applyAlignment="1">
      <alignment horizontal="right" vertical="center"/>
    </xf>
    <xf numFmtId="170" fontId="19" fillId="7" borderId="15" xfId="0" applyNumberFormat="1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right" vertical="center"/>
    </xf>
    <xf numFmtId="0" fontId="19" fillId="2" borderId="15" xfId="0" applyFont="1" applyFill="1" applyBorder="1" applyAlignment="1">
      <alignment horizontal="center" vertical="center"/>
    </xf>
    <xf numFmtId="49" fontId="18" fillId="7" borderId="9" xfId="0" applyNumberFormat="1" applyFont="1" applyFill="1" applyBorder="1" applyAlignment="1">
      <alignment horizontal="right" vertical="center"/>
    </xf>
    <xf numFmtId="49" fontId="2" fillId="5" borderId="10" xfId="0" applyNumberFormat="1" applyFont="1" applyFill="1" applyBorder="1" applyAlignment="1">
      <alignment horizontal="center" vertical="center" wrapText="1"/>
    </xf>
    <xf numFmtId="49" fontId="2" fillId="5" borderId="2" xfId="0" applyNumberFormat="1" applyFont="1" applyFill="1" applyBorder="1" applyAlignment="1">
      <alignment vertical="center"/>
    </xf>
    <xf numFmtId="164" fontId="2" fillId="5" borderId="3" xfId="0" applyNumberFormat="1" applyFont="1" applyFill="1" applyBorder="1" applyAlignment="1">
      <alignment vertical="center"/>
    </xf>
    <xf numFmtId="2" fontId="2" fillId="5" borderId="4" xfId="0" applyNumberFormat="1" applyFont="1" applyFill="1" applyBorder="1"/>
    <xf numFmtId="49" fontId="2" fillId="5" borderId="6" xfId="0" applyNumberFormat="1" applyFont="1" applyFill="1" applyBorder="1" applyAlignment="1">
      <alignment vertical="center"/>
    </xf>
    <xf numFmtId="2" fontId="2" fillId="5" borderId="7" xfId="0" applyNumberFormat="1" applyFont="1" applyFill="1" applyBorder="1"/>
    <xf numFmtId="0" fontId="2" fillId="5" borderId="6" xfId="0" applyFont="1" applyFill="1" applyBorder="1" applyAlignment="1">
      <alignment vertical="center"/>
    </xf>
    <xf numFmtId="49" fontId="2" fillId="5" borderId="11" xfId="0" applyNumberFormat="1" applyFont="1" applyFill="1" applyBorder="1" applyAlignment="1">
      <alignment vertical="center"/>
    </xf>
    <xf numFmtId="0" fontId="2" fillId="5" borderId="13" xfId="0" applyFont="1" applyFill="1" applyBorder="1"/>
    <xf numFmtId="2" fontId="2" fillId="0" borderId="10" xfId="1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vertical="center"/>
    </xf>
    <xf numFmtId="10" fontId="2" fillId="4" borderId="10" xfId="2" applyNumberFormat="1" applyFont="1" applyFill="1" applyBorder="1" applyAlignment="1">
      <alignment horizontal="center"/>
    </xf>
    <xf numFmtId="43" fontId="5" fillId="0" borderId="10" xfId="1" applyFont="1" applyFill="1" applyBorder="1" applyAlignment="1">
      <alignment horizontal="center" vertical="center" wrapText="1"/>
    </xf>
    <xf numFmtId="167" fontId="2" fillId="2" borderId="5" xfId="2" applyNumberFormat="1" applyFont="1" applyFill="1" applyBorder="1" applyAlignment="1">
      <alignment horizontal="center" vertical="center" wrapText="1"/>
    </xf>
    <xf numFmtId="167" fontId="2" fillId="2" borderId="8" xfId="2" applyNumberFormat="1" applyFont="1" applyFill="1" applyBorder="1" applyAlignment="1">
      <alignment horizontal="center" vertical="center" wrapText="1"/>
    </xf>
    <xf numFmtId="167" fontId="2" fillId="2" borderId="1" xfId="2" applyNumberFormat="1" applyFont="1" applyFill="1" applyBorder="1" applyAlignment="1">
      <alignment horizontal="center" vertical="center" wrapText="1"/>
    </xf>
    <xf numFmtId="167" fontId="2" fillId="3" borderId="5" xfId="0" applyNumberFormat="1" applyFont="1" applyFill="1" applyBorder="1" applyAlignment="1">
      <alignment horizontal="center" vertical="center" wrapText="1"/>
    </xf>
    <xf numFmtId="167" fontId="2" fillId="3" borderId="8" xfId="0" applyNumberFormat="1" applyFont="1" applyFill="1" applyBorder="1" applyAlignment="1">
      <alignment horizontal="center" vertical="center" wrapText="1"/>
    </xf>
    <xf numFmtId="167" fontId="2" fillId="3" borderId="1" xfId="0" applyNumberFormat="1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left" vertical="center"/>
    </xf>
    <xf numFmtId="0" fontId="17" fillId="0" borderId="15" xfId="0" applyFont="1" applyFill="1" applyBorder="1" applyAlignment="1">
      <alignment horizontal="left" vertical="center"/>
    </xf>
    <xf numFmtId="2" fontId="2" fillId="0" borderId="10" xfId="0" applyNumberFormat="1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FFF99"/>
      <color rgb="FF009900"/>
      <color rgb="FFCCFFFF"/>
      <color rgb="FFEAEAEA"/>
      <color rgb="FF0000FF"/>
      <color rgb="FFCC6600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abSelected="1" workbookViewId="0"/>
  </sheetViews>
  <sheetFormatPr baseColWidth="10" defaultRowHeight="15" x14ac:dyDescent="0.25"/>
  <cols>
    <col min="1" max="1" width="19.140625" customWidth="1"/>
    <col min="2" max="2" width="21.140625" customWidth="1"/>
    <col min="3" max="3" width="22" customWidth="1"/>
    <col min="4" max="4" width="16.42578125" customWidth="1"/>
    <col min="5" max="5" width="20.42578125" bestFit="1" customWidth="1"/>
    <col min="6" max="6" width="9.85546875" customWidth="1"/>
    <col min="7" max="7" width="11.42578125" customWidth="1"/>
    <col min="8" max="8" width="16.140625" customWidth="1"/>
    <col min="9" max="11" width="19.5703125" customWidth="1"/>
    <col min="12" max="12" width="22.28515625" customWidth="1"/>
    <col min="13" max="13" width="16.85546875" customWidth="1"/>
    <col min="14" max="14" width="13.28515625" customWidth="1"/>
  </cols>
  <sheetData>
    <row r="1" spans="1:20" x14ac:dyDescent="0.25">
      <c r="A1" s="1"/>
      <c r="B1" s="2"/>
      <c r="C1" s="3"/>
      <c r="D1" s="4"/>
      <c r="E1" s="5"/>
      <c r="F1" s="6"/>
      <c r="G1" s="6"/>
      <c r="L1" s="28"/>
      <c r="M1" s="28"/>
      <c r="N1" s="28"/>
      <c r="O1" s="12"/>
      <c r="P1" s="12"/>
      <c r="Q1" s="12"/>
      <c r="R1" s="12"/>
      <c r="S1" s="12"/>
      <c r="T1" s="12"/>
    </row>
    <row r="2" spans="1:20" ht="18.75" x14ac:dyDescent="0.3">
      <c r="A2" s="81" t="s">
        <v>38</v>
      </c>
      <c r="B2" s="2"/>
      <c r="C2" s="3"/>
      <c r="D2" s="4"/>
      <c r="E2" s="5"/>
      <c r="F2" s="6"/>
      <c r="G2" s="6"/>
      <c r="L2" s="9"/>
      <c r="M2" s="9"/>
      <c r="N2" s="9"/>
      <c r="O2" s="9"/>
      <c r="P2" s="9"/>
      <c r="Q2" s="9"/>
      <c r="R2" s="9"/>
      <c r="S2" s="9"/>
      <c r="T2" s="12"/>
    </row>
    <row r="3" spans="1:20" x14ac:dyDescent="0.25">
      <c r="A3" s="28" t="s">
        <v>35</v>
      </c>
      <c r="B3" s="11"/>
      <c r="C3" s="11"/>
      <c r="D3" s="11"/>
      <c r="E3" s="5"/>
      <c r="F3" s="6"/>
      <c r="G3" s="6"/>
      <c r="H3" s="6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3"/>
    </row>
    <row r="4" spans="1:20" ht="15" customHeight="1" x14ac:dyDescent="0.25">
      <c r="B4" s="17"/>
      <c r="C4" s="13"/>
      <c r="D4" s="13"/>
      <c r="E4" s="13"/>
      <c r="F4" s="6"/>
      <c r="G4" s="6"/>
      <c r="L4" s="13"/>
      <c r="M4" s="13"/>
      <c r="N4" s="13"/>
      <c r="O4" s="23"/>
      <c r="P4" s="23"/>
      <c r="Q4" s="23"/>
      <c r="R4" s="23"/>
      <c r="S4" s="23"/>
      <c r="T4" s="17"/>
    </row>
    <row r="5" spans="1:20" x14ac:dyDescent="0.25">
      <c r="A5" s="11"/>
      <c r="B5" s="3"/>
      <c r="C5" s="90" t="s">
        <v>3</v>
      </c>
      <c r="D5" s="90" t="s">
        <v>4</v>
      </c>
      <c r="E5" s="91"/>
      <c r="F5" s="6"/>
      <c r="G5" s="6"/>
      <c r="H5" s="176" t="s">
        <v>40</v>
      </c>
      <c r="I5" s="176"/>
      <c r="J5" s="176" t="s">
        <v>45</v>
      </c>
      <c r="K5" s="176" t="s">
        <v>41</v>
      </c>
      <c r="L5" s="13"/>
      <c r="M5" s="13"/>
      <c r="N5" s="13"/>
      <c r="O5" s="11"/>
      <c r="P5" s="11"/>
      <c r="Q5" s="11"/>
      <c r="R5" s="11"/>
      <c r="S5" s="11"/>
      <c r="T5" s="15"/>
    </row>
    <row r="6" spans="1:20" x14ac:dyDescent="0.25">
      <c r="A6" s="11"/>
      <c r="B6" s="3"/>
      <c r="C6" s="92" t="s">
        <v>7</v>
      </c>
      <c r="D6" s="92" t="s">
        <v>8</v>
      </c>
      <c r="E6" s="93" t="s">
        <v>9</v>
      </c>
      <c r="F6" s="6"/>
      <c r="G6" s="6"/>
      <c r="H6" s="176"/>
      <c r="I6" s="176"/>
      <c r="J6" s="176"/>
      <c r="K6" s="176"/>
      <c r="L6" s="13"/>
      <c r="M6" s="13"/>
      <c r="N6" s="13"/>
      <c r="O6" s="16"/>
      <c r="P6" s="16"/>
      <c r="Q6" s="16"/>
      <c r="R6" s="3"/>
      <c r="S6" s="3"/>
      <c r="T6" s="3"/>
    </row>
    <row r="7" spans="1:20" x14ac:dyDescent="0.25">
      <c r="A7" s="11"/>
      <c r="B7" s="83" t="s">
        <v>11</v>
      </c>
      <c r="C7" s="135">
        <v>260</v>
      </c>
      <c r="D7" s="135">
        <v>741</v>
      </c>
      <c r="E7" s="84">
        <f>C7+D7</f>
        <v>1001</v>
      </c>
      <c r="F7" s="6"/>
      <c r="G7" s="6"/>
      <c r="H7" s="87" t="s">
        <v>42</v>
      </c>
      <c r="I7" s="88">
        <v>1.6</v>
      </c>
      <c r="J7" s="177">
        <f>C17</f>
        <v>0.23788121990369182</v>
      </c>
      <c r="K7" s="180">
        <f>I7*J7</f>
        <v>0.38060995184590696</v>
      </c>
      <c r="L7" s="13"/>
      <c r="M7" s="13"/>
      <c r="N7" s="13"/>
      <c r="O7" s="16"/>
      <c r="P7" s="16"/>
      <c r="Q7" s="16"/>
      <c r="R7" s="3"/>
      <c r="S7" s="3"/>
      <c r="T7" s="3"/>
    </row>
    <row r="8" spans="1:20" x14ac:dyDescent="0.25">
      <c r="A8" s="11"/>
      <c r="B8" s="83" t="s">
        <v>18</v>
      </c>
      <c r="C8" s="135">
        <v>704</v>
      </c>
      <c r="D8" s="135">
        <v>3115</v>
      </c>
      <c r="E8" s="84">
        <f>C8+D8</f>
        <v>3819</v>
      </c>
      <c r="F8" s="85"/>
      <c r="G8" s="86"/>
      <c r="H8" s="87" t="s">
        <v>43</v>
      </c>
      <c r="I8" s="88">
        <v>1.29</v>
      </c>
      <c r="J8" s="178"/>
      <c r="K8" s="181"/>
      <c r="L8" s="13"/>
      <c r="M8" s="13"/>
      <c r="N8" s="13"/>
      <c r="O8" s="34"/>
      <c r="P8" s="17"/>
      <c r="Q8" s="35"/>
      <c r="R8" s="36"/>
      <c r="S8" s="6"/>
      <c r="T8" s="6"/>
    </row>
    <row r="9" spans="1:20" x14ac:dyDescent="0.25">
      <c r="A9" s="11"/>
      <c r="B9" s="89" t="s">
        <v>9</v>
      </c>
      <c r="C9" s="174">
        <f>SUM(C7:C8)</f>
        <v>964</v>
      </c>
      <c r="D9" s="174">
        <f>SUM(D7:D8)</f>
        <v>3856</v>
      </c>
      <c r="E9" s="84">
        <f>SUM(E7:E8)</f>
        <v>4820</v>
      </c>
      <c r="F9" s="14"/>
      <c r="G9" s="86"/>
      <c r="H9" s="87" t="s">
        <v>44</v>
      </c>
      <c r="I9" s="88">
        <v>1.98</v>
      </c>
      <c r="J9" s="179"/>
      <c r="K9" s="182"/>
      <c r="L9" s="13"/>
      <c r="M9" s="13"/>
      <c r="N9" s="13"/>
      <c r="O9" s="38"/>
      <c r="P9" s="39"/>
      <c r="Q9" s="40"/>
      <c r="R9" s="41"/>
      <c r="S9" s="6"/>
      <c r="T9" s="6"/>
    </row>
    <row r="10" spans="1:20" x14ac:dyDescent="0.25">
      <c r="A10" s="11"/>
      <c r="B10" s="37"/>
      <c r="C10" s="89"/>
      <c r="D10" s="94"/>
      <c r="E10" s="94"/>
      <c r="F10" s="14"/>
      <c r="G10" s="86"/>
      <c r="H10" s="86"/>
      <c r="I10" s="82"/>
      <c r="J10" s="82"/>
      <c r="K10" s="82"/>
      <c r="L10" s="13"/>
      <c r="M10" s="13"/>
      <c r="N10" s="13"/>
      <c r="O10" s="38"/>
      <c r="P10" s="39"/>
      <c r="Q10" s="40"/>
      <c r="R10" s="41"/>
      <c r="S10" s="6"/>
      <c r="T10" s="6"/>
    </row>
    <row r="11" spans="1:20" hidden="1" x14ac:dyDescent="0.25">
      <c r="A11" s="54" t="s">
        <v>26</v>
      </c>
      <c r="B11" s="3"/>
      <c r="C11" s="95"/>
      <c r="D11" s="96"/>
      <c r="E11" s="14"/>
      <c r="F11" s="14"/>
      <c r="G11" s="14"/>
      <c r="H11" s="97"/>
      <c r="I11" s="98"/>
      <c r="J11" s="98"/>
      <c r="K11" s="98"/>
      <c r="L11" s="42"/>
      <c r="O11" s="38"/>
      <c r="P11" s="39"/>
      <c r="Q11" s="40"/>
      <c r="R11" s="36"/>
      <c r="S11" s="6"/>
      <c r="T11" s="6"/>
    </row>
    <row r="12" spans="1:20" hidden="1" x14ac:dyDescent="0.25">
      <c r="A12" s="43" t="s">
        <v>27</v>
      </c>
      <c r="B12" s="44"/>
      <c r="C12" s="99"/>
      <c r="D12" s="100"/>
      <c r="E12" s="101"/>
      <c r="F12" s="102"/>
      <c r="G12" s="101"/>
      <c r="H12" s="100"/>
      <c r="I12" s="102"/>
      <c r="J12" s="103"/>
      <c r="K12" s="102"/>
      <c r="L12" s="1"/>
      <c r="M12" s="1"/>
      <c r="N12" s="1"/>
      <c r="O12" s="38"/>
      <c r="P12" s="39"/>
      <c r="Q12" s="40"/>
      <c r="R12" s="36"/>
      <c r="S12" s="6"/>
      <c r="T12" s="6"/>
    </row>
    <row r="13" spans="1:20" hidden="1" x14ac:dyDescent="0.25">
      <c r="A13" s="11" t="s">
        <v>63</v>
      </c>
      <c r="B13" s="44"/>
      <c r="C13" s="99"/>
      <c r="D13" s="100"/>
      <c r="E13" s="101"/>
      <c r="F13" s="102"/>
      <c r="G13" s="101"/>
      <c r="H13" s="100"/>
      <c r="I13" s="102"/>
      <c r="J13" s="102"/>
      <c r="K13" s="102"/>
      <c r="L13" s="1"/>
      <c r="M13" s="47"/>
      <c r="N13" s="34"/>
      <c r="O13" s="34"/>
      <c r="P13" s="34"/>
      <c r="Q13" s="36"/>
      <c r="R13" s="48"/>
      <c r="S13" s="6"/>
      <c r="T13" s="6"/>
    </row>
    <row r="14" spans="1:20" ht="38.25" hidden="1" x14ac:dyDescent="0.25">
      <c r="A14" s="49" t="s">
        <v>19</v>
      </c>
      <c r="B14" s="49" t="s">
        <v>62</v>
      </c>
      <c r="C14" s="50" t="s">
        <v>21</v>
      </c>
      <c r="D14" s="49" t="s">
        <v>22</v>
      </c>
      <c r="E14" s="49" t="s">
        <v>23</v>
      </c>
      <c r="F14" s="49" t="s">
        <v>13</v>
      </c>
      <c r="G14" s="51" t="s">
        <v>24</v>
      </c>
      <c r="H14" s="51" t="s">
        <v>25</v>
      </c>
      <c r="I14" s="102"/>
      <c r="J14" s="102"/>
      <c r="K14" s="102"/>
      <c r="L14" s="1"/>
      <c r="M14" s="47"/>
      <c r="N14" s="47"/>
      <c r="O14" s="47"/>
      <c r="P14" s="47"/>
      <c r="Q14" s="36"/>
      <c r="R14" s="36"/>
      <c r="S14" s="6"/>
      <c r="T14" s="6"/>
    </row>
    <row r="15" spans="1:20" hidden="1" x14ac:dyDescent="0.25">
      <c r="A15" s="52">
        <f>LN((C7/D7)/(C8/D8))</f>
        <v>0.43988708078295191</v>
      </c>
      <c r="B15" s="53">
        <f>SQRT((1/C7)+(1/C8)+(1/D7)+(1/D8))</f>
        <v>8.3289635275014581E-2</v>
      </c>
      <c r="C15" s="104">
        <f>-NORMSINV(2.5/100)</f>
        <v>1.9599639845400538</v>
      </c>
      <c r="D15" s="173">
        <f>A15-(C15*B15)</f>
        <v>0.27664239535844648</v>
      </c>
      <c r="E15" s="173">
        <f>A15+(C15*B15)</f>
        <v>0.60313176620745734</v>
      </c>
      <c r="F15" s="173">
        <f>(C7/C8)/(D7/D8)</f>
        <v>1.5525318979266347</v>
      </c>
      <c r="G15" s="173">
        <f>EXP(D15)</f>
        <v>1.3186947153558519</v>
      </c>
      <c r="H15" s="173">
        <f>EXP(E15)</f>
        <v>1.8278341954447284</v>
      </c>
      <c r="I15" s="102"/>
      <c r="J15" s="102"/>
      <c r="K15" s="102"/>
      <c r="L15" s="1"/>
      <c r="M15" s="47"/>
      <c r="N15" s="47"/>
      <c r="O15" s="47"/>
      <c r="P15" s="47"/>
      <c r="Q15" s="36"/>
      <c r="R15" s="36"/>
      <c r="S15" s="6"/>
      <c r="T15" s="6"/>
    </row>
    <row r="16" spans="1:20" hidden="1" x14ac:dyDescent="0.25">
      <c r="B16" s="44"/>
      <c r="C16" s="99"/>
      <c r="D16" s="100"/>
      <c r="E16" s="101"/>
      <c r="F16" s="102"/>
      <c r="G16" s="101"/>
      <c r="H16" s="100"/>
      <c r="I16" s="100"/>
      <c r="J16" s="100"/>
      <c r="K16" s="100"/>
      <c r="L16" s="45"/>
      <c r="M16" s="47"/>
      <c r="N16" s="47"/>
      <c r="O16" s="47"/>
      <c r="P16" s="47"/>
      <c r="Q16" s="36"/>
      <c r="R16" s="36"/>
      <c r="S16" s="6"/>
      <c r="T16" s="6"/>
    </row>
    <row r="17" spans="1:15" hidden="1" x14ac:dyDescent="0.25">
      <c r="A17" s="59" t="s">
        <v>28</v>
      </c>
      <c r="B17" s="77">
        <f>C7/C8</f>
        <v>0.36931818181818182</v>
      </c>
      <c r="C17" s="108">
        <f>D7/D8</f>
        <v>0.23788121990369182</v>
      </c>
      <c r="D17" s="109">
        <f>ROUND(F15,2)</f>
        <v>1.55</v>
      </c>
      <c r="E17" s="110"/>
      <c r="F17" s="111"/>
      <c r="G17" s="112"/>
      <c r="H17" s="82"/>
      <c r="I17" s="165" t="s">
        <v>28</v>
      </c>
      <c r="J17" s="166"/>
      <c r="K17" s="166"/>
      <c r="L17" s="167">
        <f>ROUND(I7,2)</f>
        <v>1.6</v>
      </c>
      <c r="M17" s="47"/>
      <c r="N17" s="47"/>
      <c r="O17" s="47"/>
    </row>
    <row r="18" spans="1:15" hidden="1" x14ac:dyDescent="0.25">
      <c r="A18" s="60" t="s">
        <v>29</v>
      </c>
      <c r="B18" s="55"/>
      <c r="C18" s="113"/>
      <c r="D18" s="114">
        <f>ROUND(G15,2)</f>
        <v>1.32</v>
      </c>
      <c r="E18" s="115"/>
      <c r="F18" s="116"/>
      <c r="G18" s="117"/>
      <c r="H18" s="82"/>
      <c r="I18" s="168" t="s">
        <v>29</v>
      </c>
      <c r="J18" s="113"/>
      <c r="K18" s="113"/>
      <c r="L18" s="169">
        <f>ROUND(I8,2)</f>
        <v>1.29</v>
      </c>
      <c r="M18" s="47"/>
      <c r="N18" s="47"/>
      <c r="O18" s="47"/>
    </row>
    <row r="19" spans="1:15" hidden="1" x14ac:dyDescent="0.25">
      <c r="A19" s="60" t="s">
        <v>30</v>
      </c>
      <c r="B19" s="56"/>
      <c r="C19" s="115"/>
      <c r="D19" s="114">
        <f>ROUND(H15,2)</f>
        <v>1.83</v>
      </c>
      <c r="E19" s="115"/>
      <c r="F19" s="116"/>
      <c r="G19" s="117"/>
      <c r="H19" s="82"/>
      <c r="I19" s="168" t="s">
        <v>30</v>
      </c>
      <c r="J19" s="118">
        <f>K7</f>
        <v>0.38060995184590696</v>
      </c>
      <c r="K19" s="118">
        <f>J7</f>
        <v>0.23788121990369182</v>
      </c>
      <c r="L19" s="169">
        <f>ROUND(I9,2)</f>
        <v>1.98</v>
      </c>
      <c r="M19" s="47"/>
      <c r="N19" s="47"/>
      <c r="O19" s="47"/>
    </row>
    <row r="20" spans="1:15" ht="36.75" hidden="1" customHeight="1" x14ac:dyDescent="0.25">
      <c r="A20" s="60" t="s">
        <v>31</v>
      </c>
      <c r="B20" s="164" t="s">
        <v>57</v>
      </c>
      <c r="C20" s="164" t="s">
        <v>58</v>
      </c>
      <c r="D20" s="164" t="s">
        <v>13</v>
      </c>
      <c r="E20" s="115"/>
      <c r="F20" s="116"/>
      <c r="G20" s="117"/>
      <c r="H20" s="82"/>
      <c r="I20" s="168" t="s">
        <v>31</v>
      </c>
      <c r="J20" s="164" t="s">
        <v>57</v>
      </c>
      <c r="K20" s="164" t="s">
        <v>58</v>
      </c>
      <c r="L20" s="119" t="s">
        <v>13</v>
      </c>
      <c r="M20" s="47"/>
      <c r="N20" s="47"/>
      <c r="O20" s="47"/>
    </row>
    <row r="21" spans="1:15" hidden="1" x14ac:dyDescent="0.25">
      <c r="A21" s="61" t="s">
        <v>12</v>
      </c>
      <c r="B21" s="78">
        <f>ROUND(B17,4)</f>
        <v>0.36930000000000002</v>
      </c>
      <c r="C21" s="120">
        <f>ROUND(C17,4)</f>
        <v>0.2379</v>
      </c>
      <c r="D21" s="121" t="str">
        <f>CONCATENATE(D17," ",A17,D18,A18,D19,A19)</f>
        <v>1,55 (1,32-1,83)</v>
      </c>
      <c r="E21" s="115"/>
      <c r="F21" s="116"/>
      <c r="G21" s="117"/>
      <c r="H21" s="82"/>
      <c r="I21" s="170" t="s">
        <v>12</v>
      </c>
      <c r="J21" s="122">
        <f>J19</f>
        <v>0.38060995184590696</v>
      </c>
      <c r="K21" s="122">
        <f>K19</f>
        <v>0.23788121990369182</v>
      </c>
      <c r="L21" s="58" t="str">
        <f>CONCATENATE(L17," ",I17,L18,I18,L19,I19)</f>
        <v>1,6 (1,29-1,98)</v>
      </c>
      <c r="M21" s="47"/>
      <c r="N21" s="47"/>
      <c r="O21" s="47"/>
    </row>
    <row r="22" spans="1:15" hidden="1" x14ac:dyDescent="0.25">
      <c r="A22" s="62" t="s">
        <v>34</v>
      </c>
      <c r="B22" s="63"/>
      <c r="C22" s="123"/>
      <c r="D22" s="123"/>
      <c r="E22" s="123"/>
      <c r="F22" s="124"/>
      <c r="G22" s="125"/>
      <c r="H22" s="82"/>
      <c r="I22" s="171" t="s">
        <v>34</v>
      </c>
      <c r="J22" s="123"/>
      <c r="K22" s="123"/>
      <c r="L22" s="172"/>
      <c r="M22" s="47"/>
      <c r="N22" s="47"/>
      <c r="O22" s="47"/>
    </row>
    <row r="23" spans="1:15" hidden="1" x14ac:dyDescent="0.25">
      <c r="C23" s="82"/>
      <c r="D23" s="82"/>
      <c r="E23" s="82"/>
      <c r="F23" s="82"/>
      <c r="G23" s="82"/>
      <c r="H23" s="82"/>
      <c r="I23" s="91"/>
      <c r="J23" s="126"/>
      <c r="K23" s="127"/>
      <c r="L23" s="69"/>
      <c r="M23" s="47"/>
      <c r="N23" s="47"/>
      <c r="O23" s="47"/>
    </row>
    <row r="24" spans="1:15" ht="40.5" customHeight="1" x14ac:dyDescent="0.25">
      <c r="B24" s="79" t="s">
        <v>59</v>
      </c>
      <c r="C24" s="79" t="s">
        <v>60</v>
      </c>
      <c r="D24" s="65" t="s">
        <v>39</v>
      </c>
      <c r="E24" s="82"/>
      <c r="F24" s="82"/>
      <c r="G24" s="82"/>
      <c r="H24" s="82"/>
      <c r="I24" s="79" t="s">
        <v>61</v>
      </c>
      <c r="J24" s="79" t="s">
        <v>60</v>
      </c>
      <c r="K24" s="65" t="s">
        <v>40</v>
      </c>
      <c r="L24" s="69"/>
      <c r="M24" s="47"/>
      <c r="N24" s="47"/>
      <c r="O24" s="47"/>
    </row>
    <row r="25" spans="1:15" ht="19.5" customHeight="1" x14ac:dyDescent="0.25">
      <c r="B25" s="128">
        <f>B21</f>
        <v>0.36930000000000002</v>
      </c>
      <c r="C25" s="128">
        <f>C21</f>
        <v>0.2379</v>
      </c>
      <c r="D25" s="70" t="str">
        <f t="shared" ref="D25" si="0">D21</f>
        <v>1,55 (1,32-1,83)</v>
      </c>
      <c r="E25" s="82"/>
      <c r="F25" s="82"/>
      <c r="G25" s="82"/>
      <c r="H25" s="82"/>
      <c r="I25" s="128">
        <f>J21</f>
        <v>0.38060995184590696</v>
      </c>
      <c r="J25" s="128">
        <f>K21</f>
        <v>0.23788121990369182</v>
      </c>
      <c r="K25" s="70" t="str">
        <f>L21</f>
        <v>1,6 (1,29-1,98)</v>
      </c>
      <c r="L25" s="69"/>
      <c r="M25" s="47"/>
      <c r="N25" s="47"/>
      <c r="O25" s="47"/>
    </row>
    <row r="26" spans="1:15" x14ac:dyDescent="0.25">
      <c r="L26" s="69"/>
      <c r="M26" s="47"/>
      <c r="N26" s="47"/>
      <c r="O26" s="47"/>
    </row>
  </sheetData>
  <mergeCells count="5">
    <mergeCell ref="J5:J6"/>
    <mergeCell ref="K5:K6"/>
    <mergeCell ref="H5:I6"/>
    <mergeCell ref="J7:J9"/>
    <mergeCell ref="K7:K9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workbookViewId="0">
      <selection activeCell="D24" sqref="D24"/>
    </sheetView>
  </sheetViews>
  <sheetFormatPr baseColWidth="10" defaultRowHeight="15" x14ac:dyDescent="0.25"/>
  <cols>
    <col min="1" max="1" width="16.7109375" customWidth="1"/>
    <col min="2" max="2" width="18.28515625" customWidth="1"/>
    <col min="3" max="3" width="19.42578125" customWidth="1"/>
    <col min="4" max="4" width="16" customWidth="1"/>
    <col min="5" max="5" width="20.42578125" bestFit="1" customWidth="1"/>
    <col min="6" max="6" width="6.85546875" customWidth="1"/>
    <col min="7" max="7" width="12.85546875" customWidth="1"/>
    <col min="9" max="9" width="12.85546875" customWidth="1"/>
    <col min="10" max="10" width="9.5703125" customWidth="1"/>
    <col min="11" max="11" width="6.85546875" customWidth="1"/>
    <col min="12" max="12" width="16.140625" customWidth="1"/>
    <col min="13" max="13" width="17.85546875" customWidth="1"/>
    <col min="14" max="14" width="19.85546875" customWidth="1"/>
    <col min="15" max="15" width="22.28515625" customWidth="1"/>
    <col min="16" max="16" width="16.85546875" customWidth="1"/>
    <col min="17" max="17" width="13.28515625" customWidth="1"/>
    <col min="18" max="18" width="13.7109375" customWidth="1"/>
  </cols>
  <sheetData>
    <row r="1" spans="1:23" x14ac:dyDescent="0.25">
      <c r="A1" s="1"/>
      <c r="B1" s="2"/>
      <c r="C1" s="3"/>
      <c r="D1" s="4"/>
      <c r="E1" s="5"/>
      <c r="F1" s="6"/>
      <c r="G1" s="6"/>
      <c r="H1" s="7"/>
      <c r="I1" s="8"/>
      <c r="J1" s="3"/>
      <c r="K1" s="9"/>
      <c r="L1" s="28" t="s">
        <v>0</v>
      </c>
      <c r="M1" s="3"/>
      <c r="N1" s="10"/>
      <c r="O1" s="10"/>
      <c r="P1" s="11"/>
      <c r="Q1" s="11"/>
      <c r="R1" s="12"/>
      <c r="S1" s="12"/>
      <c r="T1" s="12"/>
      <c r="U1" s="12"/>
      <c r="V1" s="12"/>
      <c r="W1" s="12"/>
    </row>
    <row r="2" spans="1:23" ht="18.75" x14ac:dyDescent="0.3">
      <c r="A2" s="80" t="s">
        <v>50</v>
      </c>
      <c r="B2" s="2"/>
      <c r="C2" s="3"/>
      <c r="D2" s="4"/>
      <c r="E2" s="5"/>
      <c r="F2" s="6"/>
      <c r="G2" s="6"/>
      <c r="H2" s="7"/>
      <c r="I2" s="8"/>
      <c r="J2" s="3"/>
      <c r="K2" s="9"/>
      <c r="L2" s="14" t="s">
        <v>1</v>
      </c>
      <c r="M2" s="13"/>
      <c r="N2" s="3"/>
      <c r="O2" s="15"/>
      <c r="P2" s="16"/>
      <c r="Q2" s="16"/>
      <c r="R2" s="12"/>
      <c r="S2" s="12"/>
      <c r="T2" s="12"/>
      <c r="U2" s="12"/>
      <c r="V2" s="12"/>
      <c r="W2" s="12"/>
    </row>
    <row r="3" spans="1:23" x14ac:dyDescent="0.25">
      <c r="A3" s="28" t="s">
        <v>35</v>
      </c>
      <c r="B3" s="11"/>
      <c r="C3" s="11"/>
      <c r="D3" s="11"/>
      <c r="E3" s="5"/>
      <c r="F3" s="6"/>
      <c r="G3" s="6"/>
      <c r="H3" s="7"/>
      <c r="I3" s="11"/>
      <c r="J3" s="11"/>
      <c r="K3" s="13"/>
      <c r="L3" s="24" t="s">
        <v>2</v>
      </c>
      <c r="M3" s="25"/>
      <c r="N3" s="25"/>
      <c r="O3" s="25"/>
      <c r="P3" s="25"/>
      <c r="Q3" s="26"/>
      <c r="R3" s="17"/>
      <c r="S3" s="17"/>
      <c r="T3" s="18"/>
      <c r="U3" s="18"/>
      <c r="V3" s="3"/>
      <c r="W3" s="3"/>
    </row>
    <row r="4" spans="1:23" x14ac:dyDescent="0.25">
      <c r="B4" s="17"/>
      <c r="C4" s="13"/>
      <c r="D4" s="13"/>
      <c r="E4" s="13"/>
      <c r="F4" s="19"/>
      <c r="G4" s="20"/>
      <c r="H4" s="21"/>
      <c r="I4" s="20"/>
      <c r="J4" s="22"/>
      <c r="K4" s="23"/>
      <c r="L4" s="27" t="s">
        <v>5</v>
      </c>
      <c r="M4" s="11"/>
      <c r="N4" s="1"/>
      <c r="O4" s="28" t="s">
        <v>6</v>
      </c>
      <c r="P4" s="3"/>
      <c r="Q4" s="29"/>
      <c r="R4" s="16"/>
      <c r="S4" s="16"/>
      <c r="T4" s="16"/>
      <c r="U4" s="3"/>
      <c r="V4" s="17"/>
      <c r="W4" s="17"/>
    </row>
    <row r="5" spans="1:23" x14ac:dyDescent="0.25">
      <c r="A5" s="11"/>
      <c r="B5" s="14"/>
      <c r="C5" s="90" t="s">
        <v>3</v>
      </c>
      <c r="D5" s="90" t="s">
        <v>4</v>
      </c>
      <c r="E5" s="91"/>
      <c r="F5" s="14"/>
      <c r="G5" s="183" t="s">
        <v>51</v>
      </c>
      <c r="H5" s="184"/>
      <c r="I5" s="184"/>
      <c r="J5" s="185"/>
      <c r="K5" s="11"/>
      <c r="L5" s="27" t="s">
        <v>10</v>
      </c>
      <c r="M5" s="30"/>
      <c r="N5" s="30"/>
      <c r="O5" s="3"/>
      <c r="P5" s="3"/>
      <c r="Q5" s="29"/>
      <c r="R5" s="16"/>
      <c r="S5" s="16"/>
      <c r="T5" s="16"/>
      <c r="U5" s="5"/>
      <c r="V5" s="15"/>
      <c r="W5" s="15"/>
    </row>
    <row r="6" spans="1:23" x14ac:dyDescent="0.25">
      <c r="A6" s="11"/>
      <c r="B6" s="14"/>
      <c r="C6" s="92" t="s">
        <v>7</v>
      </c>
      <c r="D6" s="92" t="s">
        <v>8</v>
      </c>
      <c r="E6" s="93" t="s">
        <v>9</v>
      </c>
      <c r="F6" s="14"/>
      <c r="G6" s="157" t="s">
        <v>52</v>
      </c>
      <c r="H6" s="158">
        <f>C25</f>
        <v>0.90480000000000005</v>
      </c>
      <c r="I6" s="159" t="s">
        <v>53</v>
      </c>
      <c r="J6" s="160">
        <f>H6/(1+H6)</f>
        <v>0.4750104997900042</v>
      </c>
      <c r="K6" s="11"/>
      <c r="L6" s="73" t="s">
        <v>13</v>
      </c>
      <c r="M6" s="74" t="s">
        <v>49</v>
      </c>
      <c r="N6" s="73" t="s">
        <v>14</v>
      </c>
      <c r="O6" s="75" t="s">
        <v>15</v>
      </c>
      <c r="P6" s="74" t="s">
        <v>16</v>
      </c>
      <c r="Q6" s="76" t="s">
        <v>17</v>
      </c>
      <c r="R6" s="16"/>
      <c r="S6" s="16"/>
      <c r="T6" s="16"/>
      <c r="U6" s="3"/>
      <c r="V6" s="3"/>
      <c r="W6" s="3"/>
    </row>
    <row r="7" spans="1:23" x14ac:dyDescent="0.25">
      <c r="A7" s="11"/>
      <c r="B7" s="83" t="s">
        <v>11</v>
      </c>
      <c r="C7" s="135">
        <v>48</v>
      </c>
      <c r="D7" s="135">
        <v>76</v>
      </c>
      <c r="E7" s="84">
        <f>C7+D7</f>
        <v>124</v>
      </c>
      <c r="F7" s="85"/>
      <c r="G7" s="136"/>
      <c r="H7" s="136"/>
      <c r="I7" s="136"/>
      <c r="J7" s="136"/>
      <c r="K7" s="11"/>
      <c r="L7" s="31">
        <f>D17</f>
        <v>1.96</v>
      </c>
      <c r="M7" s="175">
        <f>C8/E8</f>
        <v>0.24324324324324326</v>
      </c>
      <c r="N7" s="32">
        <f>L7/((1-M7)+(M7*L7))</f>
        <v>1.5889570552147239</v>
      </c>
      <c r="O7" s="33">
        <f>(M7*L7)/((1-M7)+(M7*L7))</f>
        <v>0.38650306748466257</v>
      </c>
      <c r="P7" s="33">
        <f>M7-O7</f>
        <v>-0.14325982424141931</v>
      </c>
      <c r="Q7" s="66">
        <f>1/P7</f>
        <v>-6.9803240740740753</v>
      </c>
      <c r="R7" s="16"/>
      <c r="S7" s="16"/>
      <c r="T7" s="16"/>
      <c r="U7" s="3"/>
      <c r="V7" s="3"/>
      <c r="W7" s="3"/>
    </row>
    <row r="8" spans="1:23" x14ac:dyDescent="0.25">
      <c r="A8" s="11"/>
      <c r="B8" s="83" t="s">
        <v>18</v>
      </c>
      <c r="C8" s="135">
        <v>27</v>
      </c>
      <c r="D8" s="135">
        <v>84</v>
      </c>
      <c r="E8" s="84">
        <f>C8+D8</f>
        <v>111</v>
      </c>
      <c r="F8" s="85"/>
      <c r="G8" s="186" t="s">
        <v>54</v>
      </c>
      <c r="H8" s="187"/>
      <c r="I8" s="187"/>
      <c r="J8" s="188"/>
      <c r="K8" s="11"/>
      <c r="L8" s="31">
        <f t="shared" ref="L8:L9" si="0">D18</f>
        <v>1.1200000000000001</v>
      </c>
      <c r="M8" s="175">
        <f>M7</f>
        <v>0.24324324324324326</v>
      </c>
      <c r="N8" s="32">
        <f>L8/((1-M8)+(M8*L8))</f>
        <v>1.088235294117647</v>
      </c>
      <c r="O8" s="33">
        <f>(M8*L8)/((1-M8)+(M8*L8))</f>
        <v>0.26470588235294118</v>
      </c>
      <c r="P8" s="33">
        <f>M8-O8</f>
        <v>-2.1462639109697923E-2</v>
      </c>
      <c r="Q8" s="66">
        <f>1/P8</f>
        <v>-46.592592592592617</v>
      </c>
      <c r="R8" s="34"/>
      <c r="S8" s="17"/>
      <c r="T8" s="35"/>
      <c r="U8" s="36"/>
      <c r="V8" s="6"/>
      <c r="W8" s="6"/>
    </row>
    <row r="9" spans="1:23" x14ac:dyDescent="0.25">
      <c r="A9" s="11"/>
      <c r="B9" s="89" t="s">
        <v>9</v>
      </c>
      <c r="C9" s="174">
        <f>SUM(C7:C8)</f>
        <v>75</v>
      </c>
      <c r="D9" s="174">
        <f>SUM(D7:D8)</f>
        <v>160</v>
      </c>
      <c r="E9" s="84">
        <f>SUM(E7:E8)</f>
        <v>235</v>
      </c>
      <c r="F9" s="14"/>
      <c r="G9" s="161" t="s">
        <v>55</v>
      </c>
      <c r="H9" s="162">
        <v>0.6</v>
      </c>
      <c r="I9" s="163" t="s">
        <v>56</v>
      </c>
      <c r="J9" s="160">
        <f>H9/(1-H9)</f>
        <v>1.4999999999999998</v>
      </c>
      <c r="K9" s="11"/>
      <c r="L9" s="31">
        <f t="shared" si="0"/>
        <v>3.46</v>
      </c>
      <c r="M9" s="175">
        <f>M7</f>
        <v>0.24324324324324326</v>
      </c>
      <c r="N9" s="32">
        <f>L9/((1-M9)+(M9*L9))</f>
        <v>2.1646939465674668</v>
      </c>
      <c r="O9" s="33">
        <f>(M9*L9)/((1-M9)+(M9*L9))</f>
        <v>0.52654717619208657</v>
      </c>
      <c r="P9" s="33">
        <f>M9-O9</f>
        <v>-0.28330393294884332</v>
      </c>
      <c r="Q9" s="66">
        <f>1/P9</f>
        <v>-3.529778035875597</v>
      </c>
      <c r="R9" s="38"/>
      <c r="S9" s="39"/>
      <c r="T9" s="40"/>
      <c r="U9" s="41"/>
      <c r="V9" s="6"/>
      <c r="W9" s="6"/>
    </row>
    <row r="10" spans="1:23" hidden="1" x14ac:dyDescent="0.25">
      <c r="A10" s="11"/>
      <c r="B10" s="89"/>
      <c r="C10" s="89"/>
      <c r="D10" s="94"/>
      <c r="E10" s="94"/>
      <c r="F10" s="14"/>
      <c r="G10" s="129"/>
      <c r="H10" s="97"/>
      <c r="I10" s="98"/>
      <c r="J10" s="130"/>
      <c r="K10" s="11"/>
      <c r="R10" s="38"/>
      <c r="S10" s="39"/>
      <c r="T10" s="40"/>
      <c r="U10" s="41"/>
      <c r="V10" s="6"/>
      <c r="W10" s="6"/>
    </row>
    <row r="11" spans="1:23" hidden="1" x14ac:dyDescent="0.25">
      <c r="A11" s="54" t="s">
        <v>26</v>
      </c>
      <c r="B11" s="14"/>
      <c r="C11" s="95"/>
      <c r="D11" s="96"/>
      <c r="E11" s="14"/>
      <c r="F11" s="14"/>
      <c r="G11" s="14"/>
      <c r="H11" s="97"/>
      <c r="I11" s="98"/>
      <c r="J11" s="98"/>
      <c r="K11" s="42"/>
      <c r="R11" s="38"/>
      <c r="S11" s="39"/>
      <c r="T11" s="40"/>
      <c r="U11" s="36"/>
      <c r="V11" s="6"/>
      <c r="W11" s="6"/>
    </row>
    <row r="12" spans="1:23" hidden="1" x14ac:dyDescent="0.25">
      <c r="A12" s="43" t="s">
        <v>27</v>
      </c>
      <c r="B12" s="131"/>
      <c r="C12" s="99"/>
      <c r="D12" s="100"/>
      <c r="E12" s="101"/>
      <c r="F12" s="102"/>
      <c r="G12" s="101"/>
      <c r="H12" s="100"/>
      <c r="I12" s="132"/>
      <c r="J12" s="133"/>
      <c r="K12" s="46"/>
      <c r="P12" s="1"/>
      <c r="Q12" s="1"/>
      <c r="R12" s="38"/>
      <c r="S12" s="39"/>
      <c r="T12" s="40"/>
      <c r="U12" s="36"/>
      <c r="V12" s="6"/>
      <c r="W12" s="6"/>
    </row>
    <row r="13" spans="1:23" hidden="1" x14ac:dyDescent="0.25">
      <c r="A13" s="11" t="s">
        <v>64</v>
      </c>
      <c r="B13" s="131"/>
      <c r="C13" s="99"/>
      <c r="D13" s="100"/>
      <c r="E13" s="101"/>
      <c r="F13" s="102"/>
      <c r="G13" s="101"/>
      <c r="H13" s="100"/>
      <c r="I13" s="101"/>
      <c r="J13" s="102"/>
      <c r="K13" s="1"/>
      <c r="P13" s="47"/>
      <c r="Q13" s="34"/>
      <c r="R13" s="34"/>
      <c r="S13" s="34"/>
      <c r="T13" s="36"/>
      <c r="U13" s="48"/>
      <c r="V13" s="6"/>
      <c r="W13" s="6"/>
    </row>
    <row r="14" spans="1:23" ht="38.25" hidden="1" x14ac:dyDescent="0.25">
      <c r="A14" s="49" t="s">
        <v>19</v>
      </c>
      <c r="B14" s="49" t="s">
        <v>20</v>
      </c>
      <c r="C14" s="50" t="s">
        <v>21</v>
      </c>
      <c r="D14" s="49" t="s">
        <v>22</v>
      </c>
      <c r="E14" s="49" t="s">
        <v>23</v>
      </c>
      <c r="F14" s="49" t="s">
        <v>13</v>
      </c>
      <c r="G14" s="51" t="s">
        <v>24</v>
      </c>
      <c r="H14" s="51" t="s">
        <v>25</v>
      </c>
      <c r="I14" s="101"/>
      <c r="J14" s="102"/>
      <c r="K14" s="46"/>
      <c r="P14" s="47"/>
      <c r="Q14" s="47"/>
      <c r="R14" s="47"/>
      <c r="S14" s="47"/>
      <c r="T14" s="36"/>
      <c r="U14" s="36"/>
      <c r="V14" s="6"/>
      <c r="W14" s="6"/>
    </row>
    <row r="15" spans="1:23" hidden="1" x14ac:dyDescent="0.25">
      <c r="A15" s="52">
        <f>LN((C7/D7)/(C8/D8))</f>
        <v>0.67544760346054422</v>
      </c>
      <c r="B15" s="134">
        <f>SQRT((1/C7)+(1/C8)+(1/D7)+(1/D8))</f>
        <v>0.28798094904346427</v>
      </c>
      <c r="C15" s="104">
        <f>-NORMSINV(2.5/100)</f>
        <v>1.9599639845400538</v>
      </c>
      <c r="D15" s="104">
        <f>A15-(C15*B15)</f>
        <v>0.11101531510168983</v>
      </c>
      <c r="E15" s="87">
        <f>A15+(C15*B15)</f>
        <v>1.2398798918193985</v>
      </c>
      <c r="F15" s="105">
        <f>(C7/C8)/(D7/D8)</f>
        <v>1.9649122807017543</v>
      </c>
      <c r="G15" s="106">
        <f>EXP(D15)</f>
        <v>1.1174120200021289</v>
      </c>
      <c r="H15" s="107">
        <f>EXP(E15)</f>
        <v>3.4551984422408597</v>
      </c>
      <c r="I15" s="101"/>
      <c r="J15" s="102"/>
      <c r="K15" s="1"/>
      <c r="P15" s="47"/>
      <c r="Q15" s="47"/>
      <c r="R15" s="47"/>
      <c r="S15" s="47"/>
      <c r="T15" s="36"/>
      <c r="U15" s="36"/>
      <c r="V15" s="6"/>
      <c r="W15" s="6"/>
    </row>
    <row r="16" spans="1:23" hidden="1" x14ac:dyDescent="0.25">
      <c r="B16" s="131"/>
      <c r="C16" s="99"/>
      <c r="D16" s="100"/>
      <c r="E16" s="101"/>
      <c r="F16" s="102"/>
      <c r="G16" s="101"/>
      <c r="H16" s="100"/>
      <c r="I16" s="101"/>
      <c r="J16" s="102"/>
      <c r="K16" s="102"/>
      <c r="L16" s="102"/>
      <c r="M16" s="102"/>
      <c r="N16" s="102"/>
      <c r="O16" s="102"/>
      <c r="P16" s="102"/>
      <c r="Q16" s="47"/>
      <c r="R16" s="47"/>
      <c r="S16" s="47"/>
      <c r="T16" s="36"/>
      <c r="U16" s="36"/>
      <c r="V16" s="6"/>
      <c r="W16" s="6"/>
    </row>
    <row r="17" spans="1:18" hidden="1" x14ac:dyDescent="0.25">
      <c r="A17" s="59" t="s">
        <v>28</v>
      </c>
      <c r="B17" s="108">
        <f>C7/C8</f>
        <v>1.7777777777777777</v>
      </c>
      <c r="C17" s="108">
        <f>D7/D8</f>
        <v>0.90476190476190477</v>
      </c>
      <c r="D17" s="109">
        <f>ROUND(F15,2)</f>
        <v>1.96</v>
      </c>
      <c r="E17" s="110"/>
      <c r="F17" s="111"/>
      <c r="G17" s="112"/>
      <c r="H17" s="82"/>
      <c r="I17" s="82"/>
      <c r="J17" s="82"/>
      <c r="K17" s="141" t="s">
        <v>28</v>
      </c>
      <c r="L17" s="145"/>
      <c r="M17" s="145"/>
      <c r="N17" s="146">
        <f>ROUND(N7,2)</f>
        <v>1.59</v>
      </c>
      <c r="O17" s="147">
        <f>ROUND(P7,4)</f>
        <v>-0.14330000000000001</v>
      </c>
      <c r="P17" s="148">
        <f>ROUND(Q7,0)</f>
        <v>-7</v>
      </c>
      <c r="Q17" s="149"/>
      <c r="R17" s="155">
        <f>L7</f>
        <v>1.96</v>
      </c>
    </row>
    <row r="18" spans="1:18" hidden="1" x14ac:dyDescent="0.25">
      <c r="A18" s="60" t="s">
        <v>29</v>
      </c>
      <c r="B18" s="113"/>
      <c r="C18" s="113"/>
      <c r="D18" s="114">
        <f>ROUND(G15,2)</f>
        <v>1.1200000000000001</v>
      </c>
      <c r="E18" s="115"/>
      <c r="F18" s="116"/>
      <c r="G18" s="117"/>
      <c r="H18" s="82"/>
      <c r="I18" s="82"/>
      <c r="J18" s="82"/>
      <c r="K18" s="142" t="s">
        <v>29</v>
      </c>
      <c r="L18" s="150"/>
      <c r="M18" s="150"/>
      <c r="N18" s="151">
        <f>ROUND(N8,2)</f>
        <v>1.0900000000000001</v>
      </c>
      <c r="O18" s="152">
        <f>ROUND(P8,4)</f>
        <v>-2.1499999999999998E-2</v>
      </c>
      <c r="P18" s="153">
        <f>ROUND(Q8,0)</f>
        <v>-47</v>
      </c>
      <c r="Q18" s="154"/>
      <c r="R18" s="156">
        <f t="shared" ref="R18:R19" si="1">L8</f>
        <v>1.1200000000000001</v>
      </c>
    </row>
    <row r="19" spans="1:18" hidden="1" x14ac:dyDescent="0.25">
      <c r="A19" s="60" t="s">
        <v>30</v>
      </c>
      <c r="B19" s="115"/>
      <c r="C19" s="115"/>
      <c r="D19" s="114">
        <f>ROUND(H15,2)</f>
        <v>3.46</v>
      </c>
      <c r="E19" s="115"/>
      <c r="F19" s="116"/>
      <c r="G19" s="117"/>
      <c r="H19" s="82"/>
      <c r="I19" s="82"/>
      <c r="J19" s="82"/>
      <c r="K19" s="142" t="s">
        <v>30</v>
      </c>
      <c r="L19" s="152">
        <f>ROUND(O7,4)</f>
        <v>0.38650000000000001</v>
      </c>
      <c r="M19" s="152">
        <f>ROUND(M7,4)</f>
        <v>0.2432</v>
      </c>
      <c r="N19" s="151">
        <f>ROUND(N9,2)</f>
        <v>2.16</v>
      </c>
      <c r="O19" s="152">
        <f>ROUND(P9,4)</f>
        <v>-0.2833</v>
      </c>
      <c r="P19" s="153">
        <f>ROUND(Q9,0)</f>
        <v>-4</v>
      </c>
      <c r="Q19" s="154"/>
      <c r="R19" s="156">
        <f t="shared" si="1"/>
        <v>3.46</v>
      </c>
    </row>
    <row r="20" spans="1:18" ht="38.25" hidden="1" x14ac:dyDescent="0.25">
      <c r="A20" s="60" t="s">
        <v>31</v>
      </c>
      <c r="B20" s="164" t="s">
        <v>57</v>
      </c>
      <c r="C20" s="164" t="s">
        <v>58</v>
      </c>
      <c r="D20" s="164" t="s">
        <v>13</v>
      </c>
      <c r="E20" s="115"/>
      <c r="F20" s="116"/>
      <c r="G20" s="117"/>
      <c r="H20" s="82"/>
      <c r="I20" s="82"/>
      <c r="J20" s="82"/>
      <c r="K20" s="142" t="s">
        <v>31</v>
      </c>
      <c r="L20" s="57" t="s">
        <v>32</v>
      </c>
      <c r="M20" s="57" t="s">
        <v>33</v>
      </c>
      <c r="N20" s="57" t="s">
        <v>14</v>
      </c>
      <c r="O20" s="57" t="s">
        <v>16</v>
      </c>
      <c r="P20" s="57" t="s">
        <v>17</v>
      </c>
      <c r="Q20" s="137"/>
      <c r="R20" s="119" t="s">
        <v>13</v>
      </c>
    </row>
    <row r="21" spans="1:18" hidden="1" x14ac:dyDescent="0.25">
      <c r="A21" s="61" t="s">
        <v>12</v>
      </c>
      <c r="B21" s="120">
        <f>ROUND(B17,4)</f>
        <v>1.7778</v>
      </c>
      <c r="C21" s="120">
        <f>ROUND(C17,4)</f>
        <v>0.90480000000000005</v>
      </c>
      <c r="D21" s="121" t="str">
        <f>CONCATENATE(D17," ",A17,D18,A18,D19,A19)</f>
        <v>1,96 (1,12-3,46)</v>
      </c>
      <c r="E21" s="115"/>
      <c r="F21" s="116"/>
      <c r="G21" s="117"/>
      <c r="H21" s="82"/>
      <c r="I21" s="82"/>
      <c r="J21" s="82"/>
      <c r="K21" s="143" t="s">
        <v>12</v>
      </c>
      <c r="L21" s="71">
        <f>L19</f>
        <v>0.38650000000000001</v>
      </c>
      <c r="M21" s="71">
        <f>M19</f>
        <v>0.2432</v>
      </c>
      <c r="N21" s="58" t="str">
        <f>CONCATENATE(N17," ",K17,N18,K18,N19,K19)</f>
        <v>1,59 (1,09-2,16)</v>
      </c>
      <c r="O21" s="58" t="str">
        <f>CONCATENATE(O17*100,K20," ",K17,O18*100,K20," ",K21," ",O19*100,K20,K19)</f>
        <v>-14,33% (-2,15% a -28,33%)</v>
      </c>
      <c r="P21" s="58" t="str">
        <f>CONCATENATE(P17," ",K17,P18," ",K21," ",P19,K19)</f>
        <v>-7 (-47 a -4)</v>
      </c>
      <c r="Q21" s="137"/>
      <c r="R21" s="121" t="str">
        <f>CONCATENATE(R17," ",K17,R18,K18,R19,K19)</f>
        <v>1,96 (1,12-3,46)</v>
      </c>
    </row>
    <row r="22" spans="1:18" hidden="1" x14ac:dyDescent="0.25">
      <c r="A22" s="62" t="s">
        <v>34</v>
      </c>
      <c r="B22" s="123"/>
      <c r="C22" s="123"/>
      <c r="D22" s="123"/>
      <c r="E22" s="123"/>
      <c r="F22" s="124"/>
      <c r="G22" s="125"/>
      <c r="H22" s="82"/>
      <c r="I22" s="82"/>
      <c r="J22" s="82"/>
      <c r="K22" s="144" t="s">
        <v>34</v>
      </c>
      <c r="L22" s="140"/>
      <c r="M22" s="140"/>
      <c r="N22" s="140"/>
      <c r="O22" s="140"/>
      <c r="P22" s="140"/>
      <c r="Q22" s="138"/>
      <c r="R22" s="139"/>
    </row>
    <row r="23" spans="1:18" x14ac:dyDescent="0.25">
      <c r="B23" s="82"/>
      <c r="C23" s="82"/>
      <c r="D23" s="82"/>
      <c r="E23" s="82"/>
      <c r="F23" s="82"/>
      <c r="G23" s="82"/>
      <c r="H23" s="82"/>
      <c r="I23" s="82"/>
      <c r="J23" s="82"/>
      <c r="K23" s="11"/>
      <c r="L23" s="11"/>
      <c r="M23" s="67"/>
      <c r="N23" s="68"/>
      <c r="O23" s="69"/>
      <c r="P23" s="11"/>
    </row>
    <row r="24" spans="1:18" ht="38.25" x14ac:dyDescent="0.25">
      <c r="B24" s="79" t="s">
        <v>57</v>
      </c>
      <c r="C24" s="79" t="s">
        <v>58</v>
      </c>
      <c r="D24" s="79" t="s">
        <v>65</v>
      </c>
      <c r="E24" s="82"/>
      <c r="F24" s="82"/>
      <c r="G24" s="82"/>
      <c r="H24" s="82"/>
      <c r="I24" s="82"/>
      <c r="J24" s="82"/>
      <c r="K24" s="11"/>
      <c r="L24" s="79" t="s">
        <v>48</v>
      </c>
      <c r="M24" s="79" t="s">
        <v>46</v>
      </c>
      <c r="N24" s="64" t="s">
        <v>47</v>
      </c>
      <c r="O24" s="64" t="s">
        <v>36</v>
      </c>
      <c r="P24" s="64" t="s">
        <v>37</v>
      </c>
    </row>
    <row r="25" spans="1:18" ht="19.5" customHeight="1" x14ac:dyDescent="0.25">
      <c r="B25" s="189">
        <f>B21</f>
        <v>1.7778</v>
      </c>
      <c r="C25" s="189">
        <f>C21</f>
        <v>0.90480000000000005</v>
      </c>
      <c r="D25" s="70" t="str">
        <f>D21</f>
        <v>1,96 (1,12-3,46)</v>
      </c>
      <c r="E25" s="82"/>
      <c r="F25" s="82"/>
      <c r="G25" s="82"/>
      <c r="H25" s="82"/>
      <c r="I25" s="82"/>
      <c r="J25" s="82"/>
      <c r="K25" s="11"/>
      <c r="L25" s="72">
        <f t="shared" ref="L25:P25" si="2">L21</f>
        <v>0.38650000000000001</v>
      </c>
      <c r="M25" s="72">
        <f t="shared" si="2"/>
        <v>0.2432</v>
      </c>
      <c r="N25" s="70" t="str">
        <f t="shared" si="2"/>
        <v>1,59 (1,09-2,16)</v>
      </c>
      <c r="O25" s="70" t="str">
        <f t="shared" si="2"/>
        <v>-14,33% (-2,15% a -28,33%)</v>
      </c>
      <c r="P25" s="70" t="str">
        <f t="shared" si="2"/>
        <v>-7 (-47 a -4)</v>
      </c>
    </row>
    <row r="35" ht="22.5" customHeight="1" x14ac:dyDescent="0.25"/>
  </sheetData>
  <mergeCells count="2">
    <mergeCell ref="G5:J5"/>
    <mergeCell ref="G8:J8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Si OR casos y controles</vt:lpstr>
      <vt:lpstr>Si OR y RR intercambiables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Galo</dc:creator>
  <cp:lastModifiedBy>Galo</cp:lastModifiedBy>
  <dcterms:created xsi:type="dcterms:W3CDTF">2015-05-22T07:34:45Z</dcterms:created>
  <dcterms:modified xsi:type="dcterms:W3CDTF">2019-12-22T16:04:42Z</dcterms:modified>
</cp:coreProperties>
</file>