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Galo\Desktop\"/>
    </mc:Choice>
  </mc:AlternateContent>
  <bookViews>
    <workbookView xWindow="0" yWindow="0" windowWidth="20490" windowHeight="7530"/>
  </bookViews>
  <sheets>
    <sheet name="NNT Inc Acum" sheetId="1" r:id="rId1"/>
    <sheet name="NNT desde HR" sheetId="2" r:id="rId2"/>
    <sheet name="NNT desde MA" sheetId="3" r:id="rId3"/>
    <sheet name="Tamaño por RR" sheetId="4" r:id="rId4"/>
    <sheet name="Tamaño por HR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B54" i="1"/>
  <c r="D41" i="1"/>
  <c r="D40" i="1"/>
  <c r="H22" i="1"/>
  <c r="B22" i="1"/>
  <c r="M21" i="1"/>
  <c r="H21" i="1"/>
  <c r="B21" i="1"/>
  <c r="B23" i="1" s="1"/>
  <c r="C14" i="1"/>
  <c r="D42" i="1" l="1"/>
  <c r="F22" i="1"/>
  <c r="F21" i="1"/>
  <c r="D7" i="1" l="1"/>
  <c r="F14" i="1"/>
  <c r="A21" i="1"/>
  <c r="A14" i="1"/>
  <c r="B55" i="1"/>
  <c r="A22" i="1"/>
  <c r="C55" i="1"/>
  <c r="E9" i="1"/>
  <c r="C9" i="1"/>
  <c r="D8" i="1"/>
  <c r="A23" i="1" l="1"/>
  <c r="C23" i="1" s="1"/>
  <c r="V22" i="1" s="1"/>
  <c r="M23" i="1"/>
  <c r="D21" i="1"/>
  <c r="C21" i="1"/>
  <c r="E21" i="1"/>
  <c r="B41" i="1"/>
  <c r="B46" i="1" s="1"/>
  <c r="B40" i="1"/>
  <c r="C22" i="1"/>
  <c r="E22" i="1" s="1"/>
  <c r="D22" i="1"/>
  <c r="J14" i="1"/>
  <c r="D54" i="1"/>
  <c r="B14" i="1"/>
  <c r="E14" i="1" s="1"/>
  <c r="H14" i="1" s="1"/>
  <c r="D9" i="1"/>
  <c r="K31" i="2"/>
  <c r="E28" i="2"/>
  <c r="E27" i="2"/>
  <c r="D27" i="2"/>
  <c r="D30" i="2" s="1"/>
  <c r="D34" i="2" s="1"/>
  <c r="E26" i="2"/>
  <c r="F5" i="2"/>
  <c r="E10" i="2" s="1"/>
  <c r="K22" i="1" l="1"/>
  <c r="L14" i="1"/>
  <c r="D56" i="1"/>
  <c r="J22" i="1"/>
  <c r="I22" i="1"/>
  <c r="I26" i="1"/>
  <c r="C56" i="1"/>
  <c r="C58" i="1" s="1"/>
  <c r="C62" i="1" s="1"/>
  <c r="B56" i="1"/>
  <c r="B58" i="1" s="1"/>
  <c r="B62" i="1" s="1"/>
  <c r="V21" i="1"/>
  <c r="V23" i="1" s="1"/>
  <c r="V24" i="1" s="1"/>
  <c r="V25" i="1" s="1"/>
  <c r="I21" i="1"/>
  <c r="D14" i="1"/>
  <c r="G14" i="1" s="1"/>
  <c r="C40" i="1"/>
  <c r="C41" i="1"/>
  <c r="C46" i="1" s="1"/>
  <c r="B45" i="1"/>
  <c r="B42" i="1"/>
  <c r="J41" i="1"/>
  <c r="H40" i="1" s="1"/>
  <c r="K21" i="1"/>
  <c r="J21" i="1"/>
  <c r="E30" i="2"/>
  <c r="E34" i="2" s="1"/>
  <c r="F10" i="2"/>
  <c r="F11" i="2" s="1"/>
  <c r="G13" i="2"/>
  <c r="E11" i="2"/>
  <c r="D10" i="2"/>
  <c r="K26" i="1" l="1"/>
  <c r="E55" i="1" s="1"/>
  <c r="J26" i="1"/>
  <c r="E56" i="1" s="1"/>
  <c r="C42" i="1"/>
  <c r="C45" i="1"/>
  <c r="K14" i="1"/>
  <c r="D55" i="1"/>
  <c r="D58" i="1" s="1"/>
  <c r="D62" i="1" s="1"/>
  <c r="B48" i="1"/>
  <c r="E54" i="1"/>
  <c r="I27" i="1"/>
  <c r="M22" i="1"/>
  <c r="M24" i="1" s="1"/>
  <c r="M25" i="1" s="1"/>
  <c r="F13" i="2"/>
  <c r="G14" i="2" s="1"/>
  <c r="D11" i="2"/>
  <c r="C27" i="2" s="1"/>
  <c r="C30" i="2" s="1"/>
  <c r="C34" i="2" s="1"/>
  <c r="E13" i="2"/>
  <c r="F28" i="2"/>
  <c r="F14" i="2"/>
  <c r="F22" i="2" s="1"/>
  <c r="K27" i="1" l="1"/>
  <c r="F56" i="1" s="1"/>
  <c r="J27" i="1"/>
  <c r="K35" i="1"/>
  <c r="E58" i="1"/>
  <c r="E62" i="1" s="1"/>
  <c r="M26" i="1"/>
  <c r="G56" i="1"/>
  <c r="G58" i="1" s="1"/>
  <c r="G62" i="1" s="1"/>
  <c r="J32" i="1"/>
  <c r="J31" i="1"/>
  <c r="K34" i="1"/>
  <c r="K36" i="1"/>
  <c r="J29" i="1"/>
  <c r="F55" i="1"/>
  <c r="J30" i="1"/>
  <c r="K37" i="1"/>
  <c r="B49" i="1"/>
  <c r="I62" i="1" s="1"/>
  <c r="F46" i="1"/>
  <c r="I31" i="1"/>
  <c r="I36" i="1"/>
  <c r="F54" i="1"/>
  <c r="I34" i="1"/>
  <c r="I29" i="1"/>
  <c r="I30" i="1"/>
  <c r="I35" i="1"/>
  <c r="I37" i="1"/>
  <c r="J35" i="1"/>
  <c r="K29" i="1"/>
  <c r="J34" i="1"/>
  <c r="J37" i="1"/>
  <c r="K30" i="1"/>
  <c r="I32" i="1"/>
  <c r="F27" i="2"/>
  <c r="F19" i="2"/>
  <c r="G17" i="2"/>
  <c r="G24" i="2"/>
  <c r="G23" i="2"/>
  <c r="G18" i="2"/>
  <c r="G28" i="2"/>
  <c r="G21" i="2"/>
  <c r="G16" i="2"/>
  <c r="G19" i="2"/>
  <c r="F26" i="2"/>
  <c r="E14" i="2"/>
  <c r="E22" i="2" s="1"/>
  <c r="F21" i="2"/>
  <c r="F16" i="2"/>
  <c r="F17" i="2"/>
  <c r="G27" i="2"/>
  <c r="F23" i="2"/>
  <c r="F18" i="2"/>
  <c r="F24" i="2"/>
  <c r="G22" i="2"/>
  <c r="K32" i="1" l="1"/>
  <c r="K31" i="1"/>
  <c r="F58" i="1"/>
  <c r="F62" i="1" s="1"/>
  <c r="J36" i="1"/>
  <c r="F30" i="2"/>
  <c r="F34" i="2" s="1"/>
  <c r="E24" i="2"/>
  <c r="E17" i="2"/>
  <c r="G26" i="2"/>
  <c r="G30" i="2" s="1"/>
  <c r="G34" i="2" s="1"/>
  <c r="E23" i="2"/>
  <c r="E21" i="2"/>
  <c r="E16" i="2"/>
  <c r="E18" i="2"/>
  <c r="E19" i="2"/>
  <c r="D25" i="3" l="1"/>
  <c r="D28" i="3" s="1"/>
  <c r="D32" i="3" s="1"/>
  <c r="E26" i="3"/>
  <c r="E25" i="3"/>
  <c r="E24" i="3"/>
  <c r="F9" i="3"/>
  <c r="E11" i="3" s="1"/>
  <c r="E9" i="3"/>
  <c r="F11" i="3" s="1"/>
  <c r="F26" i="3" s="1"/>
  <c r="D9" i="3"/>
  <c r="C25" i="3" s="1"/>
  <c r="E28" i="3" l="1"/>
  <c r="E32" i="3" s="1"/>
  <c r="C28" i="3"/>
  <c r="C32" i="3" s="1"/>
  <c r="E12" i="3"/>
  <c r="F12" i="3"/>
  <c r="F17" i="3" s="1"/>
  <c r="F25" i="3"/>
  <c r="D11" i="3"/>
  <c r="D18" i="5"/>
  <c r="D17" i="5"/>
  <c r="B14" i="5"/>
  <c r="H6" i="5"/>
  <c r="B8" i="5" s="1"/>
  <c r="B15" i="5" s="1"/>
  <c r="D15" i="5" s="1"/>
  <c r="D19" i="4"/>
  <c r="D18" i="4"/>
  <c r="B6" i="4"/>
  <c r="H6" i="4" s="1"/>
  <c r="B15" i="4" l="1"/>
  <c r="B8" i="4"/>
  <c r="B16" i="4" s="1"/>
  <c r="D16" i="4" s="1"/>
  <c r="F20" i="3"/>
  <c r="E15" i="3"/>
  <c r="G25" i="3"/>
  <c r="E21" i="3"/>
  <c r="E16" i="3"/>
  <c r="E19" i="3"/>
  <c r="E14" i="3"/>
  <c r="E22" i="3"/>
  <c r="F21" i="3"/>
  <c r="F16" i="3"/>
  <c r="F22" i="3"/>
  <c r="F15" i="3"/>
  <c r="G26" i="3"/>
  <c r="F19" i="3"/>
  <c r="F14" i="3"/>
  <c r="E17" i="3"/>
  <c r="F24" i="3"/>
  <c r="F28" i="3" s="1"/>
  <c r="F32" i="3" s="1"/>
  <c r="D12" i="3"/>
  <c r="D17" i="3" s="1"/>
  <c r="E20" i="3"/>
  <c r="B20" i="5"/>
  <c r="B16" i="5"/>
  <c r="D14" i="5"/>
  <c r="B21" i="4"/>
  <c r="D15" i="4"/>
  <c r="B17" i="4"/>
  <c r="D20" i="3" l="1"/>
  <c r="D19" i="3"/>
  <c r="D14" i="3"/>
  <c r="D15" i="3"/>
  <c r="D22" i="3"/>
  <c r="G24" i="3"/>
  <c r="G28" i="3" s="1"/>
  <c r="G32" i="3" s="1"/>
  <c r="D21" i="3"/>
  <c r="D16" i="3"/>
  <c r="D16" i="5"/>
  <c r="B19" i="5" s="1"/>
  <c r="B21" i="5" s="1"/>
  <c r="D17" i="4"/>
  <c r="B20" i="4" s="1"/>
  <c r="B22" i="4" s="1"/>
  <c r="D26" i="5" l="1"/>
  <c r="F18" i="5"/>
  <c r="F20" i="5" s="1"/>
  <c r="B22" i="5"/>
  <c r="F19" i="5"/>
  <c r="D27" i="4"/>
  <c r="B23" i="4"/>
  <c r="F20" i="4"/>
  <c r="F19" i="4"/>
  <c r="F21" i="4" l="1"/>
</calcChain>
</file>

<file path=xl/sharedStrings.xml><?xml version="1.0" encoding="utf-8"?>
<sst xmlns="http://schemas.openxmlformats.org/spreadsheetml/2006/main" count="289" uniqueCount="189">
  <si>
    <t>Cálculo por incidencias acumuladas de RR, RAR, NNT con sus IC 95%, potencia estadística y valor de p</t>
  </si>
  <si>
    <r>
      <t>Abreviaturas</t>
    </r>
    <r>
      <rPr>
        <sz val="11"/>
        <rFont val="Calibri"/>
        <family val="2"/>
      </rPr>
      <t xml:space="preserve">: </t>
    </r>
    <r>
      <rPr>
        <b/>
        <sz val="11"/>
        <rFont val="Calibri"/>
        <family val="2"/>
      </rPr>
      <t>RA</t>
    </r>
    <r>
      <rPr>
        <sz val="11"/>
        <rFont val="Calibri"/>
        <family val="2"/>
      </rPr>
      <t>: Riesgo Absoluto; R</t>
    </r>
    <r>
      <rPr>
        <b/>
        <sz val="11"/>
        <rFont val="Calibri"/>
        <family val="2"/>
      </rPr>
      <t>R</t>
    </r>
    <r>
      <rPr>
        <sz val="11"/>
        <rFont val="Calibri"/>
        <family val="2"/>
      </rPr>
      <t xml:space="preserve">: Riesgo Relativo; </t>
    </r>
    <r>
      <rPr>
        <b/>
        <sz val="11"/>
        <rFont val="Calibri"/>
        <family val="2"/>
      </rPr>
      <t>RAR</t>
    </r>
    <r>
      <rPr>
        <sz val="11"/>
        <rFont val="Calibri"/>
        <family val="2"/>
      </rPr>
      <t xml:space="preserve">: Reducción Absoluta del Riesgo; </t>
    </r>
    <r>
      <rPr>
        <b/>
        <sz val="11"/>
        <rFont val="Calibri"/>
        <family val="2"/>
      </rPr>
      <t>NNT</t>
    </r>
    <r>
      <rPr>
        <sz val="11"/>
        <rFont val="Calibri"/>
        <family val="2"/>
      </rPr>
      <t xml:space="preserve">: Número Necesario a Tratar para evitar un evento; </t>
    </r>
    <r>
      <rPr>
        <b/>
        <sz val="11"/>
        <rFont val="Calibri"/>
        <family val="2"/>
      </rPr>
      <t>IC 95%</t>
    </r>
    <r>
      <rPr>
        <sz val="11"/>
        <rFont val="Calibri"/>
        <family val="2"/>
      </rPr>
      <t>: intervalo de confianza al 95%</t>
    </r>
  </si>
  <si>
    <t xml:space="preserve"> </t>
  </si>
  <si>
    <t>Enferman</t>
  </si>
  <si>
    <t>No enferman</t>
  </si>
  <si>
    <t>Con eventos</t>
  </si>
  <si>
    <t>Sin eventos</t>
  </si>
  <si>
    <t>Total</t>
  </si>
  <si>
    <t>Control</t>
  </si>
  <si>
    <t>Los límites del intervalos de confianza son los exponentes neperianos o antilogaritmos de la ecuación [ ln RR +- Z α/2 x EE (ln RR) ]</t>
  </si>
  <si>
    <t>ln RR</t>
  </si>
  <si>
    <t>Z α/2 (0,05)</t>
  </si>
  <si>
    <t>RR</t>
  </si>
  <si>
    <t>Límite inferior del IC</t>
  </si>
  <si>
    <t>Límite superior del IC</t>
  </si>
  <si>
    <t>RRR</t>
  </si>
  <si>
    <t>Cálculo del intervalo de confianza (IC) cada una de las dos proporciones (Riesgo absoluto de la intervención y Riesgo absoluto del control)</t>
  </si>
  <si>
    <t xml:space="preserve">Mét. Newcombe, 1988 </t>
  </si>
  <si>
    <t>Aunque es mejor calcularlo por ji^2 de Pearson, puede utilizarse una aproximación al cálculo de la "p de la diferencia"</t>
  </si>
  <si>
    <t>A= 2*eventos + z^2</t>
  </si>
  <si>
    <t>C= 2(n+z^2)</t>
  </si>
  <si>
    <t>IC = (A+-B)/C</t>
  </si>
  <si>
    <t>Coinciden z^2 de una distribución normal tipificada (=&gt; muestras grandes) con ji^2 con un grado de libertad (EA, pág 254)</t>
  </si>
  <si>
    <t>Nº con evento</t>
  </si>
  <si>
    <t>n (de muestra)</t>
  </si>
  <si>
    <t>p (proporción) = eventos / n</t>
  </si>
  <si>
    <t>Estimación puntual de la proporción</t>
  </si>
  <si>
    <t>CÁLCULO DE LA POTENCIA: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</si>
  <si>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</si>
  <si>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</si>
  <si>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t>Z α/2 = Dif Proporc / EE (Difer Proporc)</t>
  </si>
  <si>
    <t>Operar</t>
  </si>
  <si>
    <t>n = nº de los que hay en cada grupo (ojo, no de la suma de ambos)</t>
  </si>
  <si>
    <t>Dif Proporc de ambos grupos =  RAR</t>
  </si>
  <si>
    <t>d = diferencia de proporciones de ambos grupos o RAR</t>
  </si>
  <si>
    <t xml:space="preserve">EE (Dif Proporc) = Raíz[ pm(1-pm)/n1] + [ pm(1-pm)/n2] = </t>
  </si>
  <si>
    <t>pM = proporción "media" de los eventos = nº total eventos / nº suma de ambos grupos; qM= complementario</t>
  </si>
  <si>
    <t>Z α/2 = Dif Proporc / EE Dif proporc</t>
  </si>
  <si>
    <t>A continuación, se aplica: IC = RAR - Raíz [(p1-Li1)^2 + (Ls2-p2)^2]  hasta RAR + Raíz [(p2-Li2)^2 + (Ls1-p1)^2], cuidando colocar arriba la proporción mayor y abajo la menor</t>
  </si>
  <si>
    <r>
      <t>Zβ = [Raíz (nd^2 /2</t>
    </r>
    <r>
      <rPr>
        <i/>
        <sz val="10"/>
        <rFont val="Calibri"/>
        <family val="2"/>
      </rPr>
      <t>pM</t>
    </r>
    <r>
      <rPr>
        <sz val="10"/>
        <rFont val="Calibri"/>
        <family val="2"/>
      </rPr>
      <t>*</t>
    </r>
    <r>
      <rPr>
        <i/>
        <sz val="10"/>
        <rFont val="Calibri"/>
        <family val="2"/>
      </rPr>
      <t>qM</t>
    </r>
    <r>
      <rPr>
        <sz val="10"/>
        <rFont val="Calibri"/>
        <family val="2"/>
      </rPr>
      <t>)] - Z α/2 (0,05)</t>
    </r>
  </si>
  <si>
    <t>α = probab de que la diferencia detectada entre ambos sea debida al azar, en caso de que no exista (error alfa)</t>
  </si>
  <si>
    <r>
      <t>Ls1:</t>
    </r>
    <r>
      <rPr>
        <sz val="10"/>
        <color indexed="12"/>
        <rFont val="Calibri"/>
        <family val="2"/>
      </rPr>
      <t xml:space="preserve"> límite superior del grupo 1; </t>
    </r>
    <r>
      <rPr>
        <b/>
        <sz val="10"/>
        <color indexed="12"/>
        <rFont val="Calibri"/>
        <family val="2"/>
      </rPr>
      <t xml:space="preserve">Li2: </t>
    </r>
    <r>
      <rPr>
        <sz val="10"/>
        <color indexed="12"/>
        <rFont val="Calibri"/>
        <family val="2"/>
      </rPr>
      <t>límite inferior del grupo 2</t>
    </r>
  </si>
  <si>
    <t>1 -β = potencia estadística resultante =&gt; probab de detectar una diferencia entre ambos, en caso de que exista</t>
  </si>
  <si>
    <t>1-α = probabilidad de dar por buena una diferencia que existe.</t>
  </si>
  <si>
    <t>Cálculo del IC del RAR y del NNT</t>
  </si>
  <si>
    <t>---------------------------------------------&gt;</t>
  </si>
  <si>
    <t>RAR =</t>
  </si>
  <si>
    <t>probabliidad o riesgo de cometer un error β =&gt; probabilidad de no detectar una diferencia que sí exista.</t>
  </si>
  <si>
    <t>NNT =</t>
  </si>
  <si>
    <t>APLICAR SÓLO SI EL NNT Y SUS IC SON POSITIVOS</t>
  </si>
  <si>
    <t>====&gt;  NNT</t>
  </si>
  <si>
    <t>Permanecerán sanos sin tomar el Mto de Intervención</t>
  </si>
  <si>
    <t>Permanecerán sanos por tomar el Mto de Intervención</t>
  </si>
  <si>
    <t>Enfermarán incluso tomando el Mto de Intervención</t>
  </si>
  <si>
    <t>APLICAR SÓLO SI EL NNT Y SUS IC SON NEGATIVOS</t>
  </si>
  <si>
    <t>====&gt;  NND</t>
  </si>
  <si>
    <t>Enfermarán por tomar el Mto de Intervención</t>
  </si>
  <si>
    <t>Chi cuadrado de Pearson (un ejemplo de variable cualitativa)</t>
  </si>
  <si>
    <t>Enfermarán incluso sin tomar el Mto de Intervención</t>
  </si>
  <si>
    <t>Esperadas</t>
  </si>
  <si>
    <t>Expuestos</t>
  </si>
  <si>
    <t xml:space="preserve">χ² teórico alfa 0,05, y 1 g.l = </t>
  </si>
  <si>
    <t>No expuestos</t>
  </si>
  <si>
    <t>Grados de libertad = (Nº filas - 1 ) x (Nº columnas -1) =</t>
  </si>
  <si>
    <t>Totales</t>
  </si>
  <si>
    <t>Si χ² cal &lt; χ² teórico =&gt;</t>
  </si>
  <si>
    <t>Se acepta Ho =&gt; existe homogeneidad o independencia de la intervención estudiada</t>
  </si>
  <si>
    <t>Si χ² cal &gt; χ² teórico =&gt;</t>
  </si>
  <si>
    <t>χ² cal= Sumat (observado i - esperado i)^2 / esperado i)</t>
  </si>
  <si>
    <t>χ² cal - χ² teórico =</t>
  </si>
  <si>
    <t>χ² cal= Suma [(ao-ae)^2/ae +(bo-be)^2/be + (co-ce)^2/ce + (do-de)^2/de)]</t>
  </si>
  <si>
    <t>Es &lt; 0 =&gt;Acepto Ho =&gt; Homogeneidad o independencia (o tratamiento no eficaz)</t>
  </si>
  <si>
    <t>χ² cal=</t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</si>
  <si>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</si>
  <si>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t xml:space="preserve">en </t>
  </si>
  <si>
    <t>…….</t>
  </si>
  <si>
    <t>años</t>
  </si>
  <si>
    <t>(</t>
  </si>
  <si>
    <t>-</t>
  </si>
  <si>
    <t>)</t>
  </si>
  <si>
    <t>%</t>
  </si>
  <si>
    <t>Nº event Interv (%)</t>
  </si>
  <si>
    <t>Nº event Control (%)</t>
  </si>
  <si>
    <t>RAR</t>
  </si>
  <si>
    <t>NNT</t>
  </si>
  <si>
    <t>potencia</t>
  </si>
  <si>
    <t>a</t>
  </si>
  <si>
    <t>/</t>
  </si>
  <si>
    <t>RR (IC 95%)</t>
  </si>
  <si>
    <t>RAR (IC 95%)</t>
  </si>
  <si>
    <t>NNT (IC 95%)</t>
  </si>
  <si>
    <t>Potencia</t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</si>
  <si>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</si>
  <si>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Cálculo de RAR y NNT a partir del HR y el % RA en el grupo control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</si>
  <si>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 xml:space="preserve">: Riesgo Absoluto; </t>
    </r>
    <r>
      <rPr>
        <b/>
        <sz val="10"/>
        <rFont val="Calibri"/>
        <family val="2"/>
      </rPr>
      <t>HR</t>
    </r>
    <r>
      <rPr>
        <sz val="10"/>
        <rFont val="Calibri"/>
        <family val="2"/>
      </rPr>
      <t xml:space="preserve">: Hazard Ratio;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para evitar un evento; </t>
    </r>
    <r>
      <rPr>
        <b/>
        <sz val="10"/>
        <rFont val="Calibri"/>
        <family val="2"/>
      </rPr>
      <t>S</t>
    </r>
    <r>
      <rPr>
        <sz val="10"/>
        <rFont val="Calibri"/>
        <family val="2"/>
      </rPr>
      <t xml:space="preserve">: Supervivencia (= 100% - %RA); </t>
    </r>
    <r>
      <rPr>
        <b/>
        <sz val="10"/>
        <rFont val="Calibri"/>
        <family val="2"/>
      </rPr>
      <t>IC 95%</t>
    </r>
    <r>
      <rPr>
        <sz val="10"/>
        <rFont val="Calibri"/>
        <family val="2"/>
      </rPr>
      <t>: intervalo de confianza al 95%</t>
    </r>
  </si>
  <si>
    <r>
      <t>Log</t>
    </r>
    <r>
      <rPr>
        <vertAlign val="subscript"/>
        <sz val="10"/>
        <rFont val="Calibri"/>
        <family val="2"/>
      </rPr>
      <t>Sc</t>
    </r>
    <r>
      <rPr>
        <sz val="10"/>
        <rFont val="Calibri"/>
        <family val="2"/>
      </rPr>
      <t xml:space="preserve"> Si = HR</t>
    </r>
  </si>
  <si>
    <t>En excel procádase así: HR = LOG(Si;Sc)</t>
  </si>
  <si>
    <t>% RA control =</t>
  </si>
  <si>
    <r>
      <t>S</t>
    </r>
    <r>
      <rPr>
        <vertAlign val="subscript"/>
        <sz val="10"/>
        <rFont val="Calibri"/>
        <family val="2"/>
      </rPr>
      <t>control</t>
    </r>
    <r>
      <rPr>
        <sz val="10"/>
        <rFont val="Calibri"/>
        <family val="2"/>
      </rPr>
      <t>=</t>
    </r>
  </si>
  <si>
    <t>100% - % RA control =</t>
  </si>
  <si>
    <r>
      <t>Si = Sc</t>
    </r>
    <r>
      <rPr>
        <vertAlign val="superscript"/>
        <sz val="10"/>
        <rFont val="Calibri"/>
        <family val="2"/>
      </rPr>
      <t>HR</t>
    </r>
  </si>
  <si>
    <r>
      <t>1-RAi = (1-Rac)</t>
    </r>
    <r>
      <rPr>
        <vertAlign val="superscript"/>
        <sz val="10"/>
        <rFont val="Calibri"/>
        <family val="2"/>
      </rPr>
      <t>HR</t>
    </r>
  </si>
  <si>
    <t>HR (IC 95%)</t>
  </si>
  <si>
    <t xml:space="preserve">RAi= 1- (1-RAc)^HR </t>
  </si>
  <si>
    <t>Estimación puntual</t>
  </si>
  <si>
    <t>Límite inferior del IC 95%</t>
  </si>
  <si>
    <t>Límite superior del IC 95%</t>
  </si>
  <si>
    <r>
      <t>Sc =  Si</t>
    </r>
    <r>
      <rPr>
        <vertAlign val="superscript"/>
        <sz val="10"/>
        <rFont val="Calibri"/>
        <family val="2"/>
      </rPr>
      <t>1/HR</t>
    </r>
    <r>
      <rPr>
        <sz val="10"/>
        <rFont val="Calibri"/>
        <family val="2"/>
      </rPr>
      <t xml:space="preserve"> </t>
    </r>
  </si>
  <si>
    <t>En excell procédase así: Sc = Potencia(Si;1/HR)</t>
  </si>
  <si>
    <r>
      <t>S</t>
    </r>
    <r>
      <rPr>
        <vertAlign val="subscript"/>
        <sz val="10"/>
        <rFont val="Calibri"/>
        <family val="2"/>
      </rPr>
      <t>control</t>
    </r>
    <r>
      <rPr>
        <vertAlign val="superscript"/>
        <sz val="10"/>
        <rFont val="Calibri"/>
        <family val="2"/>
      </rPr>
      <t>HR</t>
    </r>
  </si>
  <si>
    <t>% Eventos interv = complementario:</t>
  </si>
  <si>
    <r>
      <t xml:space="preserve">RAR = </t>
    </r>
    <r>
      <rPr>
        <i/>
        <sz val="10"/>
        <rFont val="Calibri"/>
        <family val="2"/>
      </rPr>
      <t>S</t>
    </r>
    <r>
      <rPr>
        <vertAlign val="subscript"/>
        <sz val="10"/>
        <rFont val="Calibri"/>
        <family val="2"/>
      </rPr>
      <t>interv</t>
    </r>
    <r>
      <rPr>
        <sz val="10"/>
        <rFont val="Calibri"/>
        <family val="2"/>
      </rPr>
      <t xml:space="preserve"> - </t>
    </r>
    <r>
      <rPr>
        <i/>
        <sz val="10"/>
        <rFont val="Calibri"/>
        <family val="2"/>
      </rPr>
      <t>S</t>
    </r>
    <r>
      <rPr>
        <vertAlign val="subscript"/>
        <sz val="10"/>
        <rFont val="Calibri"/>
        <family val="2"/>
      </rPr>
      <t xml:space="preserve">control </t>
    </r>
    <r>
      <rPr>
        <sz val="10"/>
        <rFont val="Calibri"/>
        <family val="2"/>
      </rPr>
      <t>=</t>
    </r>
  </si>
  <si>
    <t xml:space="preserve">NNT = 1 / RAR = </t>
  </si>
  <si>
    <t>Permanecerán sanos sin tomar el fármaco</t>
  </si>
  <si>
    <t>Permanecerán sanos por tomar el fármaco</t>
  </si>
  <si>
    <t>Enfermarán incluso tomando el fármaco</t>
  </si>
  <si>
    <t>Enfermarán por tomar el fármaco</t>
  </si>
  <si>
    <t>Enfermarán incluso sin tomar el fármaco</t>
  </si>
  <si>
    <t>% RA interv</t>
  </si>
  <si>
    <t>% RA control</t>
  </si>
  <si>
    <t>RAR (IC95%)</t>
  </si>
  <si>
    <r>
      <t>e</t>
    </r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>= EXP(1)=</t>
    </r>
  </si>
  <si>
    <t>Cálculo de RAR y NNT a partir del RR de un metaanálisis y el % RA en el grupo control</t>
  </si>
  <si>
    <r>
      <t>Abreviaturas</t>
    </r>
    <r>
      <rPr>
        <sz val="9"/>
        <rFont val="Calibri"/>
        <family val="2"/>
      </rPr>
      <t xml:space="preserve">: </t>
    </r>
    <r>
      <rPr>
        <b/>
        <sz val="9"/>
        <rFont val="Calibri"/>
        <family val="2"/>
      </rPr>
      <t>RA</t>
    </r>
    <r>
      <rPr>
        <sz val="9"/>
        <rFont val="Calibri"/>
        <family val="2"/>
      </rPr>
      <t xml:space="preserve">: Riesgo Absoluto; </t>
    </r>
    <r>
      <rPr>
        <b/>
        <sz val="9"/>
        <rFont val="Calibri"/>
        <family val="2"/>
      </rPr>
      <t>RR</t>
    </r>
    <r>
      <rPr>
        <sz val="9"/>
        <rFont val="Calibri"/>
        <family val="2"/>
      </rPr>
      <t xml:space="preserve">: Riesgo Relativo; </t>
    </r>
    <r>
      <rPr>
        <b/>
        <sz val="9"/>
        <rFont val="Calibri"/>
        <family val="2"/>
      </rPr>
      <t>RAR</t>
    </r>
    <r>
      <rPr>
        <sz val="9"/>
        <rFont val="Calibri"/>
        <family val="2"/>
      </rPr>
      <t xml:space="preserve">: Reducción Absoluta del Riesgo; </t>
    </r>
    <r>
      <rPr>
        <b/>
        <sz val="9"/>
        <rFont val="Calibri"/>
        <family val="2"/>
      </rPr>
      <t>NNT</t>
    </r>
    <r>
      <rPr>
        <sz val="9"/>
        <rFont val="Calibri"/>
        <family val="2"/>
      </rPr>
      <t xml:space="preserve">: Número Necesario a Tratar para evitar un evento; </t>
    </r>
    <r>
      <rPr>
        <b/>
        <sz val="9"/>
        <rFont val="Calibri"/>
        <family val="2"/>
      </rPr>
      <t>IC 95%</t>
    </r>
    <r>
      <rPr>
        <sz val="9"/>
        <rFont val="Calibri"/>
        <family val="2"/>
      </rPr>
      <t>: intervalo de confianza al 95%</t>
    </r>
  </si>
  <si>
    <t>RR (IC 95%) obtenido en el metaanálisis</t>
  </si>
  <si>
    <t>Cálculo del tamaño necesario de la muestra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</si>
  <si>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 xml:space="preserve">: Riesgo Absoluto; </t>
    </r>
    <r>
      <rPr>
        <b/>
        <sz val="10"/>
        <rFont val="Calibri"/>
        <family val="2"/>
      </rPr>
      <t>Error alfa</t>
    </r>
    <r>
      <rPr>
        <sz val="10"/>
        <rFont val="Calibri"/>
        <family val="2"/>
      </rPr>
      <t xml:space="preserve">: significación estadística; </t>
    </r>
    <r>
      <rPr>
        <b/>
        <sz val="10"/>
        <rFont val="Calibri"/>
        <family val="2"/>
      </rPr>
      <t>Potencia estadística</t>
    </r>
    <r>
      <rPr>
        <sz val="10"/>
        <rFont val="Calibri"/>
        <family val="2"/>
      </rPr>
      <t xml:space="preserve"> = 1 - Error beta; </t>
    </r>
    <r>
      <rPr>
        <b/>
        <sz val="10"/>
        <rFont val="Calibri"/>
        <family val="2"/>
      </rPr>
      <t>n</t>
    </r>
    <r>
      <rPr>
        <sz val="10"/>
        <rFont val="Calibri"/>
        <family val="2"/>
      </rPr>
      <t>: número de pacientes necesario de cada uno de los grupos</t>
    </r>
  </si>
  <si>
    <t xml:space="preserve">RR = RAi / RAc =&gt; </t>
  </si>
  <si>
    <t>RAi = RR x RAc</t>
  </si>
  <si>
    <t>si se espera un RAc/año =</t>
  </si>
  <si>
    <t>durante</t>
  </si>
  <si>
    <t xml:space="preserve"> ==&gt; que se espera un RAc =</t>
  </si>
  <si>
    <t>y se espera un  RR =</t>
  </si>
  <si>
    <t>entonces RAi = RAc x RR =</t>
  </si>
  <si>
    <t>DETERMINACIÓN DEL TAMAÑO DE MUESTRA EN CADA GRUPO DE ESTUDIO PARA LA COMPARACIÓN DE DOS PROPORCIONES.</t>
  </si>
  <si>
    <t xml:space="preserve">Siguendo en mismo razonamiento que antes: </t>
  </si>
  <si>
    <t xml:space="preserve">n = 2pq^2 (z α/2 + zβ)^2 / (pa - pb)^2 </t>
  </si>
  <si>
    <t>La proporción que debe usarse no es ni pA ni pB, sino la llamada porporción media (pM) = pA+pB/2, y así=&gt;</t>
  </si>
  <si>
    <t xml:space="preserve">n = 2pM*qM^2 (z α/2 + zβ)^2 / (pA - pB)^2 </t>
  </si>
  <si>
    <t>CÁLCULO DEL TAMAÑO DE MUESTRA PARA UNA DIFERENCIA DE DOS PROPORCIONES</t>
  </si>
  <si>
    <t>Seguimiento proyectado 5 años</t>
  </si>
  <si>
    <t>qA</t>
  </si>
  <si>
    <t>Riesgo esperado en el grupo de control = 1,2%/año x 5 años = 6,00%</t>
  </si>
  <si>
    <t>% RA intervención</t>
  </si>
  <si>
    <t>qB</t>
  </si>
  <si>
    <t>Riesgo esperado en el grupo de intervención = RAi= RAc x RR = 6,0% x 0,7 = 4,2%</t>
  </si>
  <si>
    <t>pM (=proporción Media)</t>
  </si>
  <si>
    <t>qM</t>
  </si>
  <si>
    <t>Para un error alfa</t>
  </si>
  <si>
    <t>=&gt; z α/2 =</t>
  </si>
  <si>
    <t>Según estos cálculos ¿cuándo debería pararse el estudio?</t>
  </si>
  <si>
    <t>Para un error beta</t>
  </si>
  <si>
    <t>=&gt; zβ =</t>
  </si>
  <si>
    <t>Numerador</t>
  </si>
  <si>
    <t>Denominador</t>
  </si>
  <si>
    <t>Suma de los eventos</t>
  </si>
  <si>
    <t>n (cada grupo) =</t>
  </si>
  <si>
    <t>2n (total) =</t>
  </si>
  <si>
    <t>Significación estadística = 5%</t>
  </si>
  <si>
    <t>Si potencia estadística = 90% =&gt; error beta = 100% - 90% = 10%</t>
  </si>
  <si>
    <t xml:space="preserve">Si espero pérdidas del </t>
  </si>
  <si>
    <t>=&gt; Total =</t>
  </si>
  <si>
    <r>
      <t>Si = Sc</t>
    </r>
    <r>
      <rPr>
        <vertAlign val="superscript"/>
        <sz val="11"/>
        <rFont val="Calibri"/>
        <family val="2"/>
      </rPr>
      <t xml:space="preserve">HR </t>
    </r>
    <r>
      <rPr>
        <sz val="11"/>
        <rFont val="Calibri"/>
        <family val="2"/>
      </rPr>
      <t xml:space="preserve">  ==&gt;  </t>
    </r>
  </si>
  <si>
    <r>
      <t>1-RAi= (1-RAc)</t>
    </r>
    <r>
      <rPr>
        <vertAlign val="superscript"/>
        <sz val="11"/>
        <rFont val="Calibri"/>
        <family val="2"/>
      </rPr>
      <t>HR</t>
    </r>
    <r>
      <rPr>
        <sz val="11"/>
        <rFont val="Calibri"/>
        <family val="2"/>
      </rPr>
      <t xml:space="preserve">  ==&gt; </t>
    </r>
  </si>
  <si>
    <r>
      <t>RAi= 1 - (1-RAc)</t>
    </r>
    <r>
      <rPr>
        <vertAlign val="superscript"/>
        <sz val="11"/>
        <rFont val="Calibri"/>
        <family val="2"/>
      </rPr>
      <t>HR</t>
    </r>
    <r>
      <rPr>
        <sz val="11"/>
        <rFont val="Calibri"/>
        <family val="2"/>
      </rPr>
      <t xml:space="preserve"> </t>
    </r>
  </si>
  <si>
    <t xml:space="preserve"> ==&gt;  que se espera un RAc =</t>
  </si>
  <si>
    <t>y se espera un HR =</t>
  </si>
  <si>
    <r>
      <t>entonces RAi= 1 - (1-RAc)</t>
    </r>
    <r>
      <rPr>
        <vertAlign val="superscript"/>
        <sz val="11"/>
        <rFont val="Calibri"/>
        <family val="2"/>
      </rPr>
      <t>HR</t>
    </r>
    <r>
      <rPr>
        <sz val="11"/>
        <rFont val="Calibri"/>
        <family val="2"/>
      </rPr>
      <t xml:space="preserve"> =</t>
    </r>
  </si>
  <si>
    <t>Riesgo esperado en el grupo de control = 1,2%/año x 5 años = 6%</t>
  </si>
  <si>
    <r>
      <t>Riesgo esperado en el grupo de intervención = RAi= 1 - (1 - RAc)</t>
    </r>
    <r>
      <rPr>
        <vertAlign val="superscript"/>
        <sz val="11"/>
        <color indexed="12"/>
        <rFont val="Calibri"/>
        <family val="2"/>
      </rPr>
      <t>HR</t>
    </r>
    <r>
      <rPr>
        <sz val="11"/>
        <color indexed="12"/>
        <rFont val="Calibri"/>
        <family val="2"/>
      </rPr>
      <t xml:space="preserve"> = 1 -(1 - 0,06)</t>
    </r>
    <r>
      <rPr>
        <vertAlign val="superscript"/>
        <sz val="11"/>
        <color indexed="12"/>
        <rFont val="Calibri"/>
        <family val="2"/>
      </rPr>
      <t>0,70</t>
    </r>
    <r>
      <rPr>
        <sz val="11"/>
        <color indexed="12"/>
        <rFont val="Calibri"/>
        <family val="2"/>
      </rPr>
      <t xml:space="preserve"> = 4,20%</t>
    </r>
  </si>
  <si>
    <t>Significación estadística = 1%</t>
  </si>
  <si>
    <t>ln del LS IC</t>
  </si>
  <si>
    <t>ln del LI IC</t>
  </si>
  <si>
    <t>EE del ln RR = Raíz (varianza del ln RR) = Raíz [b / a(a+b)]+[d/ c(c+d)]</t>
  </si>
  <si>
    <r>
      <t>S</t>
    </r>
    <r>
      <rPr>
        <vertAlign val="subscript"/>
        <sz val="10"/>
        <rFont val="Calibri"/>
        <family val="2"/>
      </rPr>
      <t>interv</t>
    </r>
    <r>
      <rPr>
        <sz val="10"/>
        <rFont val="Calibri"/>
        <family val="2"/>
      </rPr>
      <t>=</t>
    </r>
  </si>
  <si>
    <t>Nº eventos esperados en el grupo de intervención = 4,2% x 3140</t>
  </si>
  <si>
    <t>Nº eventos esperados en el grupo de control = 6,0% x 3140</t>
  </si>
  <si>
    <r>
      <t>Abreviaturas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>RA</t>
    </r>
    <r>
      <rPr>
        <sz val="10"/>
        <rFont val="Calibri"/>
        <family val="2"/>
        <scheme val="minor"/>
      </rPr>
      <t xml:space="preserve">: Riesgo Absoluto; </t>
    </r>
    <r>
      <rPr>
        <b/>
        <sz val="10"/>
        <rFont val="Calibri"/>
        <family val="2"/>
        <scheme val="minor"/>
      </rPr>
      <t>Error alfa</t>
    </r>
    <r>
      <rPr>
        <sz val="10"/>
        <rFont val="Calibri"/>
        <family val="2"/>
        <scheme val="minor"/>
      </rPr>
      <t xml:space="preserve">: significación estadística; </t>
    </r>
    <r>
      <rPr>
        <b/>
        <sz val="10"/>
        <rFont val="Calibri"/>
        <family val="2"/>
        <scheme val="minor"/>
      </rPr>
      <t>Potencia estadística</t>
    </r>
    <r>
      <rPr>
        <sz val="10"/>
        <rFont val="Calibri"/>
        <family val="2"/>
        <scheme val="minor"/>
      </rPr>
      <t xml:space="preserve"> = 1 - Error beta; </t>
    </r>
    <r>
      <rPr>
        <b/>
        <sz val="10"/>
        <rFont val="Calibri"/>
        <family val="2"/>
        <scheme val="minor"/>
      </rPr>
      <t>n</t>
    </r>
    <r>
      <rPr>
        <sz val="10"/>
        <rFont val="Calibri"/>
        <family val="2"/>
        <scheme val="minor"/>
      </rPr>
      <t>: número de pacientes necesario de cada uno de los grupos</t>
    </r>
  </si>
  <si>
    <r>
      <t>n = 2pq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(z</t>
    </r>
    <r>
      <rPr>
        <b/>
        <vertAlign val="subscript"/>
        <sz val="11"/>
        <rFont val="Calibri"/>
        <family val="2"/>
        <scheme val="minor"/>
      </rPr>
      <t>α/2</t>
    </r>
    <r>
      <rPr>
        <b/>
        <sz val="11"/>
        <rFont val="Calibri"/>
        <family val="2"/>
        <scheme val="minor"/>
      </rPr>
      <t xml:space="preserve"> + z</t>
    </r>
    <r>
      <rPr>
        <b/>
        <vertAlign val="subscript"/>
        <sz val="11"/>
        <rFont val="Calibri"/>
        <family val="2"/>
        <scheme val="minor"/>
      </rPr>
      <t>β</t>
    </r>
    <r>
      <rPr>
        <b/>
        <sz val="11"/>
        <rFont val="Calibri"/>
        <family val="2"/>
        <scheme val="minor"/>
      </rPr>
      <t>)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/ (pA - pB)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</t>
    </r>
  </si>
  <si>
    <r>
      <t>n = 2* (pM * qM) * (z α/2 + zβ)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/ (pA - pB)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</t>
    </r>
  </si>
  <si>
    <t>1.50 (1.33 to 1.69)</t>
  </si>
  <si>
    <r>
      <rPr>
        <sz val="10"/>
        <color rgb="FF0000FF"/>
        <rFont val="Calibri"/>
        <family val="2"/>
        <scheme val="minor"/>
      </rPr>
      <t>Método de Katz:</t>
    </r>
    <r>
      <rPr>
        <sz val="10"/>
        <rFont val="Calibri"/>
        <family val="2"/>
        <scheme val="minor"/>
      </rPr>
      <t xml:space="preserve"> EE del ln RR = Raíz (varianza del ln RR) = Raíz [b/ a(a+b)]+[d / c(c+d)].            También puede hacer por el método de varianza = (1/a + 1/c - 1/a+b -1/c+d)</t>
    </r>
  </si>
  <si>
    <r>
      <t xml:space="preserve">Primero se procede haciendo los IC de ambas proporciones por el </t>
    </r>
    <r>
      <rPr>
        <sz val="10"/>
        <color rgb="FF0000FF"/>
        <rFont val="Calibri"/>
        <family val="2"/>
        <scheme val="minor"/>
      </rPr>
      <t>método de Wilson</t>
    </r>
    <r>
      <rPr>
        <sz val="10"/>
        <rFont val="Calibri"/>
        <family val="2"/>
        <scheme val="minor"/>
      </rPr>
      <t>, y después se aplica: IC = RAR - Raíz [(p1-Ls1)^2 + (Li2-p2)^2]  hasta RAR + Raíz [(p2-Ls2)^2 + (Li1-p1)^2]</t>
    </r>
  </si>
  <si>
    <r>
      <t>p</t>
    </r>
    <r>
      <rPr>
        <sz val="10"/>
        <rFont val="Calibri"/>
        <family val="2"/>
      </rPr>
      <t xml:space="preserve"> = eventos / n</t>
    </r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</si>
  <si>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</si>
  <si>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Es &gt; 0 =&gt;Rechazo Ho =&gt; Heterogeneidad o dependencia (o tratamiento eficaz)</t>
  </si>
  <si>
    <t>Se rechaza Ho =&gt; existe heterogeneidad o dependencia de la intervención estudiada</t>
  </si>
  <si>
    <t>CÁLCULOS POR incidencias acumuladas</t>
  </si>
  <si>
    <t>Intervención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</si>
</sst>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_-* #,##0.0\ _€_-;\-* #,##0.0\ _€_-;_-* &quot;-&quot;??\ _€_-;_-@_-"/>
    <numFmt numFmtId="167" formatCode="0.0000%"/>
    <numFmt numFmtId="168" formatCode="0.00000%"/>
    <numFmt numFmtId="169" formatCode="0.0%"/>
    <numFmt numFmtId="170" formatCode="_-* #,##0.0000\ _€_-;\-* #,##0.0000\ _€_-;_-* &quot;-&quot;??\ _€_-;_-@_-"/>
    <numFmt numFmtId="171" formatCode="_-* #,##0.00000\ _€_-;\-* #,##0.00000\ _€_-;_-* &quot;-&quot;??\ _€_-;_-@_-"/>
    <numFmt numFmtId="172" formatCode="_-* #,##0.0\ _€_-;\-* #,##0.0\ _€_-;_-* &quot;-&quot;?\ _€_-;_-@_-"/>
    <numFmt numFmtId="173" formatCode="_-* #,##0.000000\ _€_-;\-* #,##0.000000\ _€_-;_-* &quot;-&quot;??\ _€_-;_-@_-"/>
    <numFmt numFmtId="174" formatCode="_-* #,##0.0000\ _€_-;\-* #,##0.0000\ _€_-;_-* &quot;-&quot;?\ _€_-;_-@_-"/>
    <numFmt numFmtId="175" formatCode="_-* #,##0.000\ _€_-;\-* #,##0.000\ _€_-;_-* &quot;-&quot;???\ _€_-;_-@_-"/>
    <numFmt numFmtId="176" formatCode="0.000"/>
    <numFmt numFmtId="177" formatCode="0.0"/>
    <numFmt numFmtId="178" formatCode="_-* #,##0\ _€_-;\-* #,##0\ _€_-;_-* &quot;-&quot;???\ _€_-;_-@_-"/>
    <numFmt numFmtId="179" formatCode="_-* #,##0.00\ _€_-;\-* #,##0.00\ _€_-;_-* \-??\ _€_-;_-@_-"/>
    <numFmt numFmtId="180" formatCode="_-* #,##0\ _€_-;\-* #,##0\ _€_-;_-* &quot;-&quot;?\ _€_-;_-@_-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24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sz val="10"/>
      <color indexed="20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color indexed="12"/>
      <name val="Calibri"/>
      <family val="2"/>
    </font>
    <font>
      <b/>
      <sz val="9"/>
      <name val="Calibri"/>
      <family val="2"/>
      <scheme val="minor"/>
    </font>
    <font>
      <i/>
      <sz val="10"/>
      <name val="Calibri"/>
      <family val="2"/>
    </font>
    <font>
      <sz val="10"/>
      <name val="Calibri"/>
      <family val="2"/>
    </font>
    <font>
      <b/>
      <i/>
      <sz val="9"/>
      <name val="Calibri"/>
      <family val="2"/>
    </font>
    <font>
      <b/>
      <sz val="10"/>
      <color indexed="12"/>
      <name val="Calibri"/>
      <family val="2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u/>
      <sz val="12.5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sz val="10"/>
      <color indexed="61"/>
      <name val="Calibri"/>
      <family val="2"/>
      <scheme val="minor"/>
    </font>
    <font>
      <b/>
      <i/>
      <sz val="10"/>
      <name val="Calibri"/>
      <family val="2"/>
    </font>
    <font>
      <sz val="10"/>
      <color indexed="10"/>
      <name val="Calibri"/>
      <family val="2"/>
      <scheme val="minor"/>
    </font>
    <font>
      <b/>
      <sz val="10"/>
      <name val="Calibri"/>
      <family val="2"/>
    </font>
    <font>
      <b/>
      <sz val="13"/>
      <name val="Calibri"/>
      <family val="2"/>
      <scheme val="minor"/>
    </font>
    <font>
      <vertAlign val="subscript"/>
      <sz val="10"/>
      <name val="Calibri"/>
      <family val="2"/>
    </font>
    <font>
      <b/>
      <sz val="23"/>
      <name val="Calibri"/>
      <family val="2"/>
      <scheme val="minor"/>
    </font>
    <font>
      <vertAlign val="superscript"/>
      <sz val="10"/>
      <name val="Calibri"/>
      <family val="2"/>
    </font>
    <font>
      <sz val="9"/>
      <name val="Calibri"/>
      <family val="2"/>
      <scheme val="minor"/>
    </font>
    <font>
      <sz val="8.1"/>
      <color indexed="63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</font>
    <font>
      <sz val="9"/>
      <color indexed="12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0"/>
      <color indexed="8"/>
      <name val="Calibri"/>
      <family val="2"/>
    </font>
    <font>
      <b/>
      <sz val="10"/>
      <color indexed="14"/>
      <name val="Calibri"/>
      <family val="2"/>
    </font>
    <font>
      <b/>
      <sz val="10"/>
      <color indexed="57"/>
      <name val="Calibri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color indexed="16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vertAlign val="superscript"/>
      <sz val="11"/>
      <name val="Calibri"/>
      <family val="2"/>
    </font>
    <font>
      <b/>
      <u/>
      <sz val="11"/>
      <name val="Calibri"/>
      <family val="2"/>
      <scheme val="minor"/>
    </font>
    <font>
      <vertAlign val="superscript"/>
      <sz val="11"/>
      <color indexed="12"/>
      <name val="Calibri"/>
      <family val="2"/>
    </font>
    <font>
      <sz val="11"/>
      <color indexed="12"/>
      <name val="Calibri"/>
      <family val="2"/>
    </font>
    <font>
      <sz val="12"/>
      <color indexed="12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0"/>
      <color rgb="FF0000FF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9">
    <xf numFmtId="0" fontId="0" fillId="0" borderId="0" xfId="0"/>
    <xf numFmtId="164" fontId="2" fillId="0" borderId="0" xfId="1" applyNumberFormat="1" applyFont="1" applyFill="1" applyBorder="1" applyAlignment="1"/>
    <xf numFmtId="164" fontId="3" fillId="0" borderId="0" xfId="1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0" fontId="5" fillId="0" borderId="0" xfId="0" applyFont="1"/>
    <xf numFmtId="2" fontId="5" fillId="0" borderId="0" xfId="0" applyNumberFormat="1" applyFont="1" applyBorder="1"/>
    <xf numFmtId="10" fontId="6" fillId="0" borderId="0" xfId="2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/>
    <xf numFmtId="10" fontId="5" fillId="0" borderId="0" xfId="2" applyNumberFormat="1" applyFont="1" applyBorder="1" applyAlignment="1">
      <alignment horizontal="center"/>
    </xf>
    <xf numFmtId="0" fontId="9" fillId="0" borderId="0" xfId="0" applyFont="1" applyFill="1" applyBorder="1" applyAlignment="1">
      <alignment vertical="distributed"/>
    </xf>
    <xf numFmtId="0" fontId="5" fillId="0" borderId="0" xfId="0" applyFont="1" applyFill="1" applyAlignment="1">
      <alignment horizontal="center"/>
    </xf>
    <xf numFmtId="10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13" fillId="0" borderId="0" xfId="0" applyFont="1"/>
    <xf numFmtId="18" fontId="5" fillId="0" borderId="0" xfId="1" applyNumberFormat="1" applyFont="1" applyBorder="1" applyAlignment="1">
      <alignment horizontal="center"/>
    </xf>
    <xf numFmtId="2" fontId="5" fillId="0" borderId="0" xfId="0" applyNumberFormat="1" applyFont="1"/>
    <xf numFmtId="43" fontId="5" fillId="0" borderId="0" xfId="1" applyFont="1" applyFill="1" applyAlignment="1">
      <alignment horizontal="center"/>
    </xf>
    <xf numFmtId="10" fontId="6" fillId="0" borderId="0" xfId="2" applyNumberFormat="1" applyFont="1" applyFill="1" applyBorder="1" applyAlignment="1">
      <alignment horizontal="center"/>
    </xf>
    <xf numFmtId="164" fontId="5" fillId="0" borderId="0" xfId="0" applyNumberFormat="1" applyFont="1" applyBorder="1"/>
    <xf numFmtId="9" fontId="5" fillId="0" borderId="0" xfId="0" applyNumberFormat="1" applyFont="1" applyBorder="1"/>
    <xf numFmtId="43" fontId="5" fillId="0" borderId="0" xfId="0" applyNumberFormat="1" applyFont="1"/>
    <xf numFmtId="43" fontId="14" fillId="0" borderId="0" xfId="1" applyFont="1" applyFill="1" applyBorder="1" applyAlignment="1">
      <alignment horizontal="center"/>
    </xf>
    <xf numFmtId="43" fontId="5" fillId="0" borderId="0" xfId="1" applyFont="1" applyFill="1"/>
    <xf numFmtId="0" fontId="15" fillId="0" borderId="0" xfId="0" applyFont="1" applyFill="1"/>
    <xf numFmtId="165" fontId="5" fillId="0" borderId="0" xfId="0" applyNumberFormat="1" applyFont="1" applyBorder="1" applyAlignment="1">
      <alignment horizontal="center"/>
    </xf>
    <xf numFmtId="166" fontId="2" fillId="0" borderId="5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5" fillId="0" borderId="0" xfId="0" applyFont="1" applyBorder="1"/>
    <xf numFmtId="0" fontId="2" fillId="0" borderId="8" xfId="0" applyFont="1" applyBorder="1"/>
    <xf numFmtId="0" fontId="2" fillId="0" borderId="10" xfId="0" applyFont="1" applyBorder="1" applyAlignment="1">
      <alignment horizontal="right"/>
    </xf>
    <xf numFmtId="167" fontId="5" fillId="0" borderId="0" xfId="2" applyNumberFormat="1" applyFont="1"/>
    <xf numFmtId="0" fontId="6" fillId="0" borderId="0" xfId="0" applyFont="1" applyBorder="1" applyAlignment="1">
      <alignment horizontal="center"/>
    </xf>
    <xf numFmtId="168" fontId="5" fillId="0" borderId="0" xfId="2" applyNumberFormat="1" applyFont="1"/>
    <xf numFmtId="0" fontId="16" fillId="0" borderId="0" xfId="0" applyFont="1" applyBorder="1" applyAlignment="1">
      <alignment horizontal="center"/>
    </xf>
    <xf numFmtId="43" fontId="5" fillId="0" borderId="0" xfId="1" applyFont="1" applyFill="1" applyBorder="1"/>
    <xf numFmtId="0" fontId="17" fillId="0" borderId="11" xfId="0" applyFont="1" applyBorder="1" applyAlignment="1">
      <alignment horizontal="right"/>
    </xf>
    <xf numFmtId="10" fontId="5" fillId="0" borderId="0" xfId="2" applyNumberFormat="1" applyFont="1"/>
    <xf numFmtId="0" fontId="5" fillId="0" borderId="0" xfId="0" applyFont="1" applyBorder="1" applyAlignment="1">
      <alignment horizontal="right"/>
    </xf>
    <xf numFmtId="10" fontId="5" fillId="0" borderId="0" xfId="2" applyNumberFormat="1" applyFont="1" applyFill="1"/>
    <xf numFmtId="10" fontId="5" fillId="0" borderId="0" xfId="0" applyNumberFormat="1" applyFont="1" applyFill="1"/>
    <xf numFmtId="0" fontId="18" fillId="0" borderId="0" xfId="0" applyFont="1" applyAlignment="1">
      <alignment horizontal="right"/>
    </xf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3" fontId="5" fillId="0" borderId="0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10" fontId="5" fillId="0" borderId="0" xfId="2" applyNumberFormat="1" applyFont="1" applyFill="1" applyBorder="1" applyAlignment="1">
      <alignment horizontal="center"/>
    </xf>
    <xf numFmtId="10" fontId="5" fillId="0" borderId="0" xfId="2" applyNumberFormat="1" applyFont="1" applyFill="1" applyBorder="1"/>
    <xf numFmtId="0" fontId="16" fillId="0" borderId="0" xfId="0" applyFont="1" applyFill="1" applyBorder="1" applyAlignment="1">
      <alignment horizontal="right"/>
    </xf>
    <xf numFmtId="43" fontId="16" fillId="0" borderId="0" xfId="0" applyNumberFormat="1" applyFont="1" applyFill="1" applyBorder="1" applyAlignment="1">
      <alignment horizontal="center"/>
    </xf>
    <xf numFmtId="43" fontId="16" fillId="0" borderId="0" xfId="1" applyFont="1" applyFill="1" applyBorder="1"/>
    <xf numFmtId="165" fontId="16" fillId="0" borderId="0" xfId="0" applyNumberFormat="1" applyFont="1" applyFill="1" applyBorder="1" applyAlignment="1">
      <alignment horizontal="right"/>
    </xf>
    <xf numFmtId="43" fontId="16" fillId="0" borderId="0" xfId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3" fontId="16" fillId="0" borderId="0" xfId="1" applyFont="1" applyFill="1" applyAlignment="1">
      <alignment horizontal="right"/>
    </xf>
    <xf numFmtId="0" fontId="16" fillId="0" borderId="0" xfId="0" applyFont="1" applyFill="1" applyBorder="1"/>
    <xf numFmtId="43" fontId="5" fillId="0" borderId="0" xfId="0" applyNumberFormat="1" applyFont="1" applyFill="1"/>
    <xf numFmtId="170" fontId="16" fillId="0" borderId="0" xfId="0" applyNumberFormat="1" applyFont="1" applyFill="1" applyBorder="1"/>
    <xf numFmtId="171" fontId="16" fillId="0" borderId="0" xfId="1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72" fontId="5" fillId="0" borderId="0" xfId="0" applyNumberFormat="1" applyFont="1" applyFill="1"/>
    <xf numFmtId="0" fontId="19" fillId="0" borderId="0" xfId="0" applyFont="1"/>
    <xf numFmtId="0" fontId="2" fillId="0" borderId="0" xfId="0" applyFont="1" applyAlignment="1">
      <alignment horizontal="center"/>
    </xf>
    <xf numFmtId="164" fontId="5" fillId="0" borderId="0" xfId="0" applyNumberFormat="1" applyFont="1" applyFill="1" applyAlignment="1">
      <alignment horizontal="right"/>
    </xf>
    <xf numFmtId="0" fontId="2" fillId="0" borderId="0" xfId="0" applyFont="1" applyBorder="1"/>
    <xf numFmtId="166" fontId="5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3" fontId="5" fillId="0" borderId="0" xfId="1" applyFont="1" applyFill="1" applyBorder="1" applyAlignment="1">
      <alignment horizontal="center"/>
    </xf>
    <xf numFmtId="173" fontId="5" fillId="0" borderId="0" xfId="1" applyNumberFormat="1" applyFont="1" applyFill="1" applyBorder="1" applyAlignment="1">
      <alignment horizontal="center"/>
    </xf>
    <xf numFmtId="43" fontId="2" fillId="0" borderId="0" xfId="1" applyFont="1" applyFill="1" applyBorder="1" applyAlignment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9" fillId="0" borderId="0" xfId="0" applyFont="1" applyBorder="1"/>
    <xf numFmtId="166" fontId="6" fillId="0" borderId="0" xfId="0" applyNumberFormat="1" applyFont="1" applyFill="1" applyBorder="1"/>
    <xf numFmtId="166" fontId="6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Fill="1"/>
    <xf numFmtId="0" fontId="6" fillId="0" borderId="0" xfId="0" applyFont="1" applyFill="1" applyBorder="1" applyAlignment="1">
      <alignment vertical="center" textRotation="90"/>
    </xf>
    <xf numFmtId="0" fontId="5" fillId="0" borderId="13" xfId="0" applyFont="1" applyFill="1" applyBorder="1" applyAlignment="1">
      <alignment horizontal="left"/>
    </xf>
    <xf numFmtId="43" fontId="21" fillId="0" borderId="14" xfId="1" applyFont="1" applyFill="1" applyBorder="1" applyAlignment="1">
      <alignment horizontal="right"/>
    </xf>
    <xf numFmtId="0" fontId="5" fillId="0" borderId="14" xfId="0" applyFont="1" applyFill="1" applyBorder="1" applyAlignment="1">
      <alignment horizontal="left"/>
    </xf>
    <xf numFmtId="173" fontId="5" fillId="0" borderId="14" xfId="1" applyNumberFormat="1" applyFont="1" applyFill="1" applyBorder="1" applyAlignment="1">
      <alignment horizontal="center"/>
    </xf>
    <xf numFmtId="43" fontId="5" fillId="0" borderId="14" xfId="1" applyFont="1" applyFill="1" applyBorder="1" applyAlignment="1">
      <alignment horizontal="center"/>
    </xf>
    <xf numFmtId="43" fontId="2" fillId="0" borderId="14" xfId="1" applyFont="1" applyFill="1" applyBorder="1" applyAlignment="1"/>
    <xf numFmtId="43" fontId="2" fillId="0" borderId="15" xfId="1" applyFont="1" applyFill="1" applyBorder="1" applyAlignment="1"/>
    <xf numFmtId="0" fontId="5" fillId="0" borderId="13" xfId="0" applyFont="1" applyFill="1" applyBorder="1"/>
    <xf numFmtId="0" fontId="5" fillId="0" borderId="14" xfId="0" applyFont="1" applyBorder="1"/>
    <xf numFmtId="0" fontId="5" fillId="0" borderId="15" xfId="0" applyFont="1" applyBorder="1"/>
    <xf numFmtId="164" fontId="5" fillId="0" borderId="16" xfId="0" applyNumberFormat="1" applyFont="1" applyFill="1" applyBorder="1"/>
    <xf numFmtId="43" fontId="2" fillId="0" borderId="17" xfId="1" applyFont="1" applyFill="1" applyBorder="1" applyAlignment="1"/>
    <xf numFmtId="170" fontId="5" fillId="0" borderId="16" xfId="1" applyNumberFormat="1" applyFont="1" applyFill="1" applyBorder="1"/>
    <xf numFmtId="0" fontId="5" fillId="0" borderId="17" xfId="0" applyFont="1" applyBorder="1"/>
    <xf numFmtId="169" fontId="5" fillId="0" borderId="16" xfId="2" applyNumberFormat="1" applyFont="1" applyFill="1" applyBorder="1"/>
    <xf numFmtId="0" fontId="5" fillId="0" borderId="17" xfId="0" applyFont="1" applyFill="1" applyBorder="1"/>
    <xf numFmtId="174" fontId="5" fillId="0" borderId="16" xfId="0" applyNumberFormat="1" applyFont="1" applyBorder="1"/>
    <xf numFmtId="0" fontId="5" fillId="0" borderId="0" xfId="0" applyFont="1" applyFill="1" applyBorder="1" applyAlignment="1">
      <alignment horizontal="left"/>
    </xf>
    <xf numFmtId="169" fontId="2" fillId="0" borderId="16" xfId="2" applyNumberFormat="1" applyFont="1" applyFill="1" applyBorder="1"/>
    <xf numFmtId="165" fontId="2" fillId="0" borderId="16" xfId="1" applyNumberFormat="1" applyFont="1" applyFill="1" applyBorder="1"/>
    <xf numFmtId="43" fontId="5" fillId="0" borderId="18" xfId="0" applyNumberFormat="1" applyFont="1" applyBorder="1"/>
    <xf numFmtId="170" fontId="5" fillId="3" borderId="16" xfId="1" applyNumberFormat="1" applyFont="1" applyFill="1" applyBorder="1"/>
    <xf numFmtId="169" fontId="5" fillId="0" borderId="0" xfId="2" applyNumberFormat="1" applyFont="1"/>
    <xf numFmtId="10" fontId="2" fillId="3" borderId="18" xfId="2" applyNumberFormat="1" applyFont="1" applyFill="1" applyBorder="1"/>
    <xf numFmtId="173" fontId="5" fillId="0" borderId="0" xfId="0" applyNumberFormat="1" applyFont="1" applyBorder="1"/>
    <xf numFmtId="10" fontId="26" fillId="0" borderId="16" xfId="0" applyNumberFormat="1" applyFont="1" applyBorder="1"/>
    <xf numFmtId="0" fontId="27" fillId="0" borderId="0" xfId="0" applyFont="1" applyBorder="1"/>
    <xf numFmtId="0" fontId="28" fillId="0" borderId="0" xfId="0" applyFont="1"/>
    <xf numFmtId="0" fontId="9" fillId="0" borderId="0" xfId="0" applyFont="1" applyAlignment="1">
      <alignment horizontal="center"/>
    </xf>
    <xf numFmtId="49" fontId="29" fillId="0" borderId="0" xfId="0" applyNumberFormat="1" applyFont="1"/>
    <xf numFmtId="10" fontId="26" fillId="0" borderId="21" xfId="0" applyNumberFormat="1" applyFont="1" applyBorder="1"/>
    <xf numFmtId="0" fontId="27" fillId="0" borderId="22" xfId="0" applyFont="1" applyBorder="1"/>
    <xf numFmtId="0" fontId="5" fillId="0" borderId="22" xfId="0" applyFont="1" applyBorder="1"/>
    <xf numFmtId="175" fontId="5" fillId="0" borderId="22" xfId="0" applyNumberFormat="1" applyFont="1" applyBorder="1"/>
    <xf numFmtId="0" fontId="5" fillId="0" borderId="23" xfId="0" applyFont="1" applyBorder="1"/>
    <xf numFmtId="0" fontId="5" fillId="0" borderId="24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10" fontId="5" fillId="0" borderId="0" xfId="0" applyNumberFormat="1" applyFont="1"/>
    <xf numFmtId="10" fontId="5" fillId="0" borderId="0" xfId="0" applyNumberFormat="1" applyFont="1" applyFill="1" applyBorder="1"/>
    <xf numFmtId="10" fontId="5" fillId="0" borderId="0" xfId="1" applyNumberFormat="1" applyFont="1" applyFill="1" applyBorder="1"/>
    <xf numFmtId="164" fontId="5" fillId="0" borderId="0" xfId="1" applyNumberFormat="1" applyFont="1"/>
    <xf numFmtId="1" fontId="5" fillId="0" borderId="0" xfId="0" applyNumberFormat="1" applyFont="1"/>
    <xf numFmtId="2" fontId="5" fillId="0" borderId="0" xfId="0" applyNumberFormat="1" applyFont="1" applyAlignment="1">
      <alignment horizontal="right"/>
    </xf>
    <xf numFmtId="10" fontId="7" fillId="0" borderId="10" xfId="2" applyNumberFormat="1" applyFont="1" applyFill="1" applyBorder="1"/>
    <xf numFmtId="0" fontId="5" fillId="0" borderId="25" xfId="0" applyFont="1" applyBorder="1"/>
    <xf numFmtId="0" fontId="2" fillId="0" borderId="11" xfId="0" applyFont="1" applyBorder="1" applyAlignment="1">
      <alignment horizontal="right"/>
    </xf>
    <xf numFmtId="49" fontId="29" fillId="0" borderId="11" xfId="1" applyNumberFormat="1" applyFont="1" applyBorder="1" applyAlignment="1">
      <alignment horizontal="right"/>
    </xf>
    <xf numFmtId="1" fontId="30" fillId="0" borderId="0" xfId="0" applyNumberFormat="1" applyFont="1" applyFill="1" applyBorder="1" applyAlignment="1">
      <alignment horizontal="center"/>
    </xf>
    <xf numFmtId="165" fontId="5" fillId="0" borderId="0" xfId="1" applyNumberFormat="1" applyFont="1" applyFill="1" applyBorder="1"/>
    <xf numFmtId="10" fontId="7" fillId="0" borderId="0" xfId="2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2" fillId="7" borderId="11" xfId="0" applyFont="1" applyFill="1" applyBorder="1" applyAlignment="1">
      <alignment horizontal="right"/>
    </xf>
    <xf numFmtId="165" fontId="5" fillId="0" borderId="0" xfId="0" applyNumberFormat="1" applyFont="1" applyFill="1" applyBorder="1"/>
    <xf numFmtId="49" fontId="5" fillId="0" borderId="0" xfId="0" applyNumberFormat="1" applyFont="1" applyFill="1" applyBorder="1"/>
    <xf numFmtId="1" fontId="5" fillId="0" borderId="0" xfId="0" applyNumberFormat="1" applyFont="1" applyAlignment="1">
      <alignment horizontal="center"/>
    </xf>
    <xf numFmtId="0" fontId="5" fillId="0" borderId="10" xfId="0" applyFont="1" applyFill="1" applyBorder="1"/>
    <xf numFmtId="0" fontId="5" fillId="0" borderId="25" xfId="0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164" fontId="31" fillId="0" borderId="0" xfId="0" applyNumberFormat="1" applyFont="1" applyFill="1" applyBorder="1"/>
    <xf numFmtId="0" fontId="2" fillId="6" borderId="28" xfId="0" applyFont="1" applyFill="1" applyBorder="1" applyAlignment="1">
      <alignment horizontal="right"/>
    </xf>
    <xf numFmtId="49" fontId="6" fillId="0" borderId="0" xfId="0" applyNumberFormat="1" applyFont="1"/>
    <xf numFmtId="0" fontId="32" fillId="0" borderId="0" xfId="0" applyFont="1" applyFill="1"/>
    <xf numFmtId="0" fontId="33" fillId="0" borderId="0" xfId="0" applyFont="1" applyFill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3" fontId="14" fillId="0" borderId="0" xfId="1" applyFont="1" applyFill="1" applyBorder="1"/>
    <xf numFmtId="43" fontId="2" fillId="0" borderId="0" xfId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1" xfId="0" applyFont="1" applyBorder="1" applyAlignment="1">
      <alignment horizontal="right"/>
    </xf>
    <xf numFmtId="164" fontId="6" fillId="0" borderId="11" xfId="1" applyNumberFormat="1" applyFont="1" applyFill="1" applyBorder="1"/>
    <xf numFmtId="0" fontId="6" fillId="0" borderId="11" xfId="0" applyFont="1" applyFill="1" applyBorder="1"/>
    <xf numFmtId="0" fontId="34" fillId="0" borderId="11" xfId="0" applyFont="1" applyFill="1" applyBorder="1" applyAlignment="1">
      <alignment horizontal="right"/>
    </xf>
    <xf numFmtId="43" fontId="5" fillId="0" borderId="11" xfId="1" applyFont="1" applyFill="1" applyBorder="1"/>
    <xf numFmtId="0" fontId="6" fillId="0" borderId="10" xfId="0" applyFont="1" applyBorder="1"/>
    <xf numFmtId="0" fontId="6" fillId="0" borderId="12" xfId="0" applyFont="1" applyBorder="1" applyAlignment="1">
      <alignment horizontal="right"/>
    </xf>
    <xf numFmtId="164" fontId="9" fillId="0" borderId="11" xfId="0" applyNumberFormat="1" applyFont="1" applyBorder="1" applyAlignment="1">
      <alignment horizontal="center"/>
    </xf>
    <xf numFmtId="164" fontId="9" fillId="0" borderId="11" xfId="1" applyNumberFormat="1" applyFont="1" applyFill="1" applyBorder="1"/>
    <xf numFmtId="0" fontId="2" fillId="0" borderId="0" xfId="0" applyFont="1" applyBorder="1" applyAlignment="1">
      <alignment horizontal="right"/>
    </xf>
    <xf numFmtId="164" fontId="6" fillId="0" borderId="0" xfId="1" applyNumberFormat="1" applyFont="1" applyFill="1" applyBorder="1"/>
    <xf numFmtId="164" fontId="9" fillId="0" borderId="0" xfId="1" applyNumberFormat="1" applyFont="1" applyFill="1" applyBorder="1"/>
    <xf numFmtId="0" fontId="35" fillId="0" borderId="16" xfId="0" applyFont="1" applyBorder="1"/>
    <xf numFmtId="164" fontId="6" fillId="0" borderId="0" xfId="1" applyNumberFormat="1" applyFont="1"/>
    <xf numFmtId="43" fontId="35" fillId="0" borderId="11" xfId="1" applyFont="1" applyBorder="1"/>
    <xf numFmtId="43" fontId="9" fillId="0" borderId="0" xfId="1" applyFont="1"/>
    <xf numFmtId="164" fontId="5" fillId="0" borderId="0" xfId="0" applyNumberFormat="1" applyFont="1"/>
    <xf numFmtId="0" fontId="9" fillId="0" borderId="0" xfId="0" applyFont="1" applyBorder="1" applyAlignment="1">
      <alignment horizontal="right"/>
    </xf>
    <xf numFmtId="43" fontId="5" fillId="0" borderId="0" xfId="1" applyFont="1" applyBorder="1"/>
    <xf numFmtId="43" fontId="6" fillId="0" borderId="0" xfId="0" applyNumberFormat="1" applyFont="1"/>
    <xf numFmtId="166" fontId="5" fillId="0" borderId="0" xfId="0" applyNumberFormat="1" applyFont="1"/>
    <xf numFmtId="173" fontId="6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9" fontId="5" fillId="0" borderId="0" xfId="2" applyFont="1" applyFill="1" applyBorder="1"/>
    <xf numFmtId="164" fontId="5" fillId="9" borderId="0" xfId="0" applyNumberFormat="1" applyFont="1" applyFill="1" applyBorder="1"/>
    <xf numFmtId="2" fontId="5" fillId="9" borderId="0" xfId="0" applyNumberFormat="1" applyFont="1" applyFill="1" applyBorder="1"/>
    <xf numFmtId="10" fontId="5" fillId="9" borderId="0" xfId="0" applyNumberFormat="1" applyFont="1" applyFill="1" applyBorder="1"/>
    <xf numFmtId="1" fontId="5" fillId="9" borderId="0" xfId="0" applyNumberFormat="1" applyFont="1" applyFill="1" applyBorder="1" applyAlignment="1">
      <alignment horizontal="center"/>
    </xf>
    <xf numFmtId="0" fontId="37" fillId="0" borderId="0" xfId="0" applyFont="1" applyFill="1" applyBorder="1"/>
    <xf numFmtId="49" fontId="5" fillId="9" borderId="11" xfId="0" applyNumberFormat="1" applyFont="1" applyFill="1" applyBorder="1" applyAlignment="1">
      <alignment horizontal="center"/>
    </xf>
    <xf numFmtId="49" fontId="5" fillId="9" borderId="10" xfId="0" applyNumberFormat="1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49" fontId="2" fillId="9" borderId="11" xfId="0" applyNumberFormat="1" applyFont="1" applyFill="1" applyBorder="1" applyAlignment="1">
      <alignment horizontal="center" vertical="distributed"/>
    </xf>
    <xf numFmtId="0" fontId="2" fillId="9" borderId="11" xfId="0" applyFont="1" applyFill="1" applyBorder="1" applyAlignment="1">
      <alignment horizontal="center" vertical="distributed"/>
    </xf>
    <xf numFmtId="0" fontId="5" fillId="0" borderId="0" xfId="0" applyFont="1" applyAlignment="1">
      <alignment vertical="distributed"/>
    </xf>
    <xf numFmtId="0" fontId="5" fillId="0" borderId="0" xfId="0" applyFont="1" applyFill="1" applyBorder="1" applyAlignment="1">
      <alignment horizontal="center" vertical="distributed"/>
    </xf>
    <xf numFmtId="0" fontId="5" fillId="0" borderId="11" xfId="0" applyFont="1" applyBorder="1" applyAlignment="1">
      <alignment horizontal="center" vertical="distributed"/>
    </xf>
    <xf numFmtId="165" fontId="5" fillId="0" borderId="0" xfId="0" applyNumberFormat="1" applyFont="1"/>
    <xf numFmtId="176" fontId="5" fillId="0" borderId="11" xfId="0" applyNumberFormat="1" applyFont="1" applyBorder="1" applyAlignment="1">
      <alignment horizontal="center" vertical="distributed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/>
    </xf>
    <xf numFmtId="0" fontId="41" fillId="0" borderId="0" xfId="0" applyFont="1"/>
    <xf numFmtId="0" fontId="2" fillId="0" borderId="19" xfId="0" applyFont="1" applyBorder="1" applyAlignment="1">
      <alignment horizontal="right" vertical="center"/>
    </xf>
    <xf numFmtId="10" fontId="5" fillId="2" borderId="31" xfId="2" applyNumberFormat="1" applyFont="1" applyFill="1" applyBorder="1" applyAlignment="1">
      <alignment vertical="center"/>
    </xf>
    <xf numFmtId="49" fontId="31" fillId="0" borderId="29" xfId="0" applyNumberFormat="1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10" fontId="5" fillId="0" borderId="31" xfId="2" applyNumberFormat="1" applyFont="1" applyBorder="1" applyAlignment="1">
      <alignment horizontal="center" vertical="center"/>
    </xf>
    <xf numFmtId="10" fontId="5" fillId="0" borderId="0" xfId="2" applyNumberFormat="1" applyFont="1" applyFill="1" applyBorder="1" applyAlignment="1">
      <alignment horizontal="center" vertical="distributed"/>
    </xf>
    <xf numFmtId="0" fontId="5" fillId="0" borderId="0" xfId="0" applyFont="1" applyAlignment="1">
      <alignment horizontal="left" vertical="center"/>
    </xf>
    <xf numFmtId="43" fontId="21" fillId="0" borderId="0" xfId="1" applyFont="1" applyFill="1" applyBorder="1" applyAlignment="1">
      <alignment horizontal="right"/>
    </xf>
    <xf numFmtId="0" fontId="43" fillId="0" borderId="20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44" fillId="0" borderId="0" xfId="0" applyFont="1"/>
    <xf numFmtId="170" fontId="5" fillId="0" borderId="0" xfId="1" applyNumberFormat="1" applyFont="1" applyFill="1" applyBorder="1"/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45" fillId="0" borderId="0" xfId="0" applyFont="1"/>
    <xf numFmtId="174" fontId="5" fillId="0" borderId="0" xfId="0" applyNumberFormat="1" applyFont="1" applyFill="1" applyBorder="1"/>
    <xf numFmtId="49" fontId="31" fillId="0" borderId="19" xfId="0" applyNumberFormat="1" applyFont="1" applyBorder="1" applyAlignment="1">
      <alignment horizontal="right"/>
    </xf>
    <xf numFmtId="0" fontId="31" fillId="0" borderId="29" xfId="0" applyFont="1" applyBorder="1" applyAlignment="1">
      <alignment horizontal="center"/>
    </xf>
    <xf numFmtId="176" fontId="5" fillId="0" borderId="19" xfId="0" applyNumberFormat="1" applyFont="1" applyBorder="1" applyAlignment="1">
      <alignment horizontal="center"/>
    </xf>
    <xf numFmtId="176" fontId="5" fillId="0" borderId="20" xfId="0" applyNumberFormat="1" applyFont="1" applyBorder="1" applyAlignment="1">
      <alignment horizontal="center"/>
    </xf>
    <xf numFmtId="165" fontId="2" fillId="0" borderId="0" xfId="1" applyNumberFormat="1" applyFont="1" applyFill="1" applyBorder="1"/>
    <xf numFmtId="49" fontId="31" fillId="0" borderId="0" xfId="0" applyNumberFormat="1" applyFont="1" applyBorder="1" applyAlignment="1">
      <alignment horizontal="right"/>
    </xf>
    <xf numFmtId="0" fontId="31" fillId="0" borderId="0" xfId="0" applyFont="1" applyBorder="1" applyAlignment="1">
      <alignment horizontal="right"/>
    </xf>
    <xf numFmtId="0" fontId="5" fillId="0" borderId="0" xfId="0" applyFont="1" applyAlignment="1"/>
    <xf numFmtId="1" fontId="2" fillId="0" borderId="0" xfId="0" applyNumberFormat="1" applyFont="1" applyFill="1" applyBorder="1" applyAlignment="1">
      <alignment horizontal="center"/>
    </xf>
    <xf numFmtId="10" fontId="2" fillId="0" borderId="0" xfId="2" applyNumberFormat="1" applyFont="1" applyFill="1" applyBorder="1"/>
    <xf numFmtId="173" fontId="5" fillId="0" borderId="0" xfId="0" applyNumberFormat="1" applyFont="1" applyFill="1" applyBorder="1"/>
    <xf numFmtId="10" fontId="26" fillId="0" borderId="0" xfId="0" applyNumberFormat="1" applyFont="1" applyFill="1" applyBorder="1"/>
    <xf numFmtId="0" fontId="27" fillId="0" borderId="0" xfId="0" applyFont="1" applyFill="1" applyBorder="1"/>
    <xf numFmtId="0" fontId="5" fillId="9" borderId="13" xfId="0" applyFont="1" applyFill="1" applyBorder="1" applyAlignment="1"/>
    <xf numFmtId="0" fontId="5" fillId="9" borderId="32" xfId="0" applyFont="1" applyFill="1" applyBorder="1" applyAlignment="1">
      <alignment horizontal="right"/>
    </xf>
    <xf numFmtId="0" fontId="2" fillId="0" borderId="19" xfId="0" applyFont="1" applyBorder="1" applyAlignment="1">
      <alignment horizontal="center"/>
    </xf>
    <xf numFmtId="10" fontId="2" fillId="3" borderId="11" xfId="2" applyNumberFormat="1" applyFont="1" applyFill="1" applyBorder="1" applyAlignment="1">
      <alignment horizontal="center"/>
    </xf>
    <xf numFmtId="10" fontId="2" fillId="4" borderId="11" xfId="2" applyNumberFormat="1" applyFont="1" applyFill="1" applyBorder="1" applyAlignment="1">
      <alignment horizontal="center"/>
    </xf>
    <xf numFmtId="10" fontId="2" fillId="5" borderId="11" xfId="2" applyNumberFormat="1" applyFont="1" applyFill="1" applyBorder="1" applyAlignment="1">
      <alignment horizontal="center"/>
    </xf>
    <xf numFmtId="175" fontId="5" fillId="0" borderId="0" xfId="0" applyNumberFormat="1" applyFont="1" applyFill="1" applyBorder="1"/>
    <xf numFmtId="0" fontId="5" fillId="9" borderId="19" xfId="0" applyFont="1" applyFill="1" applyBorder="1" applyAlignment="1"/>
    <xf numFmtId="0" fontId="5" fillId="9" borderId="31" xfId="0" applyFont="1" applyFill="1" applyBorder="1" applyAlignment="1">
      <alignment horizontal="right"/>
    </xf>
    <xf numFmtId="0" fontId="2" fillId="0" borderId="29" xfId="0" applyFont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5" borderId="11" xfId="0" applyNumberFormat="1" applyFont="1" applyFill="1" applyBorder="1" applyAlignment="1">
      <alignment horizontal="center"/>
    </xf>
    <xf numFmtId="0" fontId="5" fillId="0" borderId="10" xfId="0" applyFont="1" applyBorder="1"/>
    <xf numFmtId="0" fontId="5" fillId="0" borderId="25" xfId="0" applyFont="1" applyBorder="1" applyAlignment="1"/>
    <xf numFmtId="49" fontId="33" fillId="0" borderId="11" xfId="1" applyNumberFormat="1" applyFont="1" applyBorder="1" applyAlignment="1">
      <alignment horizontal="right"/>
    </xf>
    <xf numFmtId="1" fontId="31" fillId="0" borderId="0" xfId="0" applyNumberFormat="1" applyFont="1" applyFill="1" applyBorder="1" applyAlignment="1">
      <alignment horizontal="center"/>
    </xf>
    <xf numFmtId="0" fontId="5" fillId="6" borderId="4" xfId="0" applyFont="1" applyFill="1" applyBorder="1" applyAlignment="1"/>
    <xf numFmtId="0" fontId="2" fillId="6" borderId="4" xfId="0" applyFont="1" applyFill="1" applyBorder="1" applyAlignment="1">
      <alignment horizontal="right"/>
    </xf>
    <xf numFmtId="1" fontId="2" fillId="6" borderId="11" xfId="0" applyNumberFormat="1" applyFont="1" applyFill="1" applyBorder="1" applyAlignment="1">
      <alignment horizontal="center"/>
    </xf>
    <xf numFmtId="0" fontId="5" fillId="7" borderId="11" xfId="0" applyFont="1" applyFill="1" applyBorder="1" applyAlignment="1"/>
    <xf numFmtId="1" fontId="2" fillId="7" borderId="11" xfId="0" applyNumberFormat="1" applyFont="1" applyFill="1" applyBorder="1" applyAlignment="1">
      <alignment horizontal="center"/>
    </xf>
    <xf numFmtId="0" fontId="5" fillId="8" borderId="11" xfId="0" applyFont="1" applyFill="1" applyBorder="1" applyAlignment="1"/>
    <xf numFmtId="0" fontId="2" fillId="8" borderId="11" xfId="0" applyFont="1" applyFill="1" applyBorder="1" applyAlignment="1">
      <alignment horizontal="right"/>
    </xf>
    <xf numFmtId="1" fontId="2" fillId="8" borderId="1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1" fontId="2" fillId="0" borderId="0" xfId="0" applyNumberFormat="1" applyFont="1" applyFill="1" applyBorder="1" applyAlignment="1"/>
    <xf numFmtId="0" fontId="5" fillId="6" borderId="33" xfId="0" applyFont="1" applyFill="1" applyBorder="1" applyAlignment="1"/>
    <xf numFmtId="0" fontId="5" fillId="4" borderId="0" xfId="0" applyFont="1" applyFill="1" applyBorder="1" applyAlignment="1"/>
    <xf numFmtId="0" fontId="2" fillId="4" borderId="0" xfId="0" applyFont="1" applyFill="1" applyBorder="1" applyAlignment="1">
      <alignment horizontal="right"/>
    </xf>
    <xf numFmtId="1" fontId="2" fillId="4" borderId="12" xfId="0" applyNumberFormat="1" applyFont="1" applyFill="1" applyBorder="1" applyAlignment="1">
      <alignment horizontal="center"/>
    </xf>
    <xf numFmtId="0" fontId="5" fillId="8" borderId="4" xfId="0" applyFont="1" applyFill="1" applyBorder="1" applyAlignment="1"/>
    <xf numFmtId="43" fontId="14" fillId="8" borderId="4" xfId="1" applyFont="1" applyFill="1" applyBorder="1" applyAlignment="1"/>
    <xf numFmtId="0" fontId="2" fillId="8" borderId="4" xfId="0" applyFont="1" applyFill="1" applyBorder="1" applyAlignment="1">
      <alignment horizontal="right"/>
    </xf>
    <xf numFmtId="0" fontId="5" fillId="0" borderId="0" xfId="0" applyFont="1" applyFill="1" applyBorder="1" applyAlignment="1"/>
    <xf numFmtId="43" fontId="14" fillId="0" borderId="0" xfId="1" applyFont="1" applyFill="1" applyBorder="1" applyAlignment="1"/>
    <xf numFmtId="2" fontId="5" fillId="0" borderId="0" xfId="0" applyNumberFormat="1" applyFont="1" applyFill="1" applyBorder="1"/>
    <xf numFmtId="0" fontId="5" fillId="9" borderId="5" xfId="0" applyFont="1" applyFill="1" applyBorder="1" applyAlignment="1"/>
    <xf numFmtId="0" fontId="5" fillId="9" borderId="28" xfId="0" applyFont="1" applyFill="1" applyBorder="1" applyAlignment="1"/>
    <xf numFmtId="2" fontId="5" fillId="9" borderId="28" xfId="0" applyNumberFormat="1" applyFont="1" applyFill="1" applyBorder="1" applyAlignment="1">
      <alignment horizontal="center"/>
    </xf>
    <xf numFmtId="10" fontId="5" fillId="9" borderId="28" xfId="2" applyNumberFormat="1" applyFont="1" applyFill="1" applyBorder="1" applyAlignment="1">
      <alignment horizontal="center"/>
    </xf>
    <xf numFmtId="1" fontId="5" fillId="9" borderId="7" xfId="0" applyNumberFormat="1" applyFont="1" applyFill="1" applyBorder="1" applyAlignment="1">
      <alignment horizontal="center"/>
    </xf>
    <xf numFmtId="0" fontId="5" fillId="9" borderId="27" xfId="0" applyFont="1" applyFill="1" applyBorder="1" applyAlignment="1"/>
    <xf numFmtId="10" fontId="5" fillId="9" borderId="0" xfId="0" applyNumberFormat="1" applyFont="1" applyFill="1" applyBorder="1" applyAlignment="1"/>
    <xf numFmtId="2" fontId="5" fillId="9" borderId="0" xfId="0" applyNumberFormat="1" applyFont="1" applyFill="1" applyBorder="1" applyAlignment="1">
      <alignment horizontal="center"/>
    </xf>
    <xf numFmtId="10" fontId="5" fillId="9" borderId="0" xfId="2" applyNumberFormat="1" applyFont="1" applyFill="1" applyBorder="1" applyAlignment="1">
      <alignment horizontal="center"/>
    </xf>
    <xf numFmtId="1" fontId="5" fillId="9" borderId="34" xfId="0" applyNumberFormat="1" applyFont="1" applyFill="1" applyBorder="1" applyAlignment="1">
      <alignment horizontal="center"/>
    </xf>
    <xf numFmtId="0" fontId="5" fillId="9" borderId="0" xfId="0" applyFont="1" applyFill="1" applyBorder="1" applyAlignment="1"/>
    <xf numFmtId="0" fontId="5" fillId="9" borderId="8" xfId="0" applyFont="1" applyFill="1" applyBorder="1" applyAlignment="1"/>
    <xf numFmtId="10" fontId="5" fillId="0" borderId="0" xfId="0" applyNumberFormat="1" applyFont="1" applyAlignment="1"/>
    <xf numFmtId="170" fontId="5" fillId="0" borderId="0" xfId="1" applyNumberFormat="1" applyFont="1" applyFill="1"/>
    <xf numFmtId="0" fontId="2" fillId="9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3" fillId="0" borderId="0" xfId="0" applyFont="1"/>
    <xf numFmtId="0" fontId="23" fillId="0" borderId="0" xfId="0" applyFont="1" applyFill="1"/>
    <xf numFmtId="0" fontId="23" fillId="0" borderId="0" xfId="0" applyFont="1" applyAlignment="1">
      <alignment horizontal="center"/>
    </xf>
    <xf numFmtId="0" fontId="38" fillId="0" borderId="10" xfId="0" applyFont="1" applyBorder="1" applyAlignment="1">
      <alignment horizontal="center" vertical="distributed"/>
    </xf>
    <xf numFmtId="10" fontId="23" fillId="2" borderId="25" xfId="2" applyNumberFormat="1" applyFont="1" applyFill="1" applyBorder="1" applyAlignment="1">
      <alignment horizontal="center" vertical="distributed"/>
    </xf>
    <xf numFmtId="0" fontId="25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vertical="distributed"/>
    </xf>
    <xf numFmtId="43" fontId="38" fillId="0" borderId="0" xfId="1" applyFont="1" applyFill="1" applyBorder="1" applyAlignment="1">
      <alignment horizontal="center" vertical="distributed"/>
    </xf>
    <xf numFmtId="0" fontId="23" fillId="0" borderId="0" xfId="0" applyFont="1" applyFill="1" applyBorder="1" applyAlignment="1"/>
    <xf numFmtId="0" fontId="23" fillId="0" borderId="0" xfId="0" applyFont="1" applyFill="1" applyBorder="1"/>
    <xf numFmtId="10" fontId="23" fillId="0" borderId="0" xfId="0" applyNumberFormat="1" applyFont="1"/>
    <xf numFmtId="0" fontId="38" fillId="0" borderId="0" xfId="0" applyFont="1"/>
    <xf numFmtId="0" fontId="25" fillId="0" borderId="0" xfId="0" applyFont="1" applyFill="1" applyBorder="1" applyAlignment="1">
      <alignment vertical="center" textRotation="90"/>
    </xf>
    <xf numFmtId="174" fontId="23" fillId="0" borderId="0" xfId="0" applyNumberFormat="1" applyFont="1" applyFill="1" applyBorder="1" applyAlignment="1">
      <alignment horizontal="center"/>
    </xf>
    <xf numFmtId="2" fontId="23" fillId="2" borderId="11" xfId="0" applyNumberFormat="1" applyFont="1" applyFill="1" applyBorder="1" applyAlignment="1">
      <alignment horizontal="center" vertical="distributed"/>
    </xf>
    <xf numFmtId="0" fontId="50" fillId="0" borderId="0" xfId="0" applyFont="1"/>
    <xf numFmtId="10" fontId="23" fillId="0" borderId="0" xfId="2" applyNumberFormat="1" applyFont="1" applyFill="1" applyBorder="1"/>
    <xf numFmtId="165" fontId="38" fillId="0" borderId="0" xfId="1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19" xfId="0" applyFont="1" applyBorder="1" applyAlignment="1">
      <alignment horizontal="center"/>
    </xf>
    <xf numFmtId="49" fontId="38" fillId="0" borderId="29" xfId="0" applyNumberFormat="1" applyFont="1" applyBorder="1"/>
    <xf numFmtId="10" fontId="38" fillId="0" borderId="20" xfId="2" applyNumberFormat="1" applyFont="1" applyBorder="1" applyAlignment="1">
      <alignment horizontal="center"/>
    </xf>
    <xf numFmtId="10" fontId="38" fillId="0" borderId="31" xfId="2" applyNumberFormat="1" applyFont="1" applyBorder="1" applyAlignment="1">
      <alignment horizontal="center"/>
    </xf>
    <xf numFmtId="43" fontId="38" fillId="0" borderId="0" xfId="1" applyFont="1" applyFill="1" applyBorder="1" applyAlignment="1"/>
    <xf numFmtId="170" fontId="23" fillId="0" borderId="0" xfId="1" applyNumberFormat="1" applyFont="1" applyFill="1" applyBorder="1" applyAlignment="1">
      <alignment horizontal="center"/>
    </xf>
    <xf numFmtId="10" fontId="51" fillId="0" borderId="0" xfId="0" applyNumberFormat="1" applyFont="1" applyFill="1" applyBorder="1" applyAlignment="1">
      <alignment horizontal="center"/>
    </xf>
    <xf numFmtId="173" fontId="23" fillId="0" borderId="0" xfId="0" applyNumberFormat="1" applyFont="1" applyFill="1" applyBorder="1"/>
    <xf numFmtId="0" fontId="23" fillId="9" borderId="19" xfId="0" applyFont="1" applyFill="1" applyBorder="1"/>
    <xf numFmtId="0" fontId="38" fillId="9" borderId="31" xfId="0" applyFont="1" applyFill="1" applyBorder="1" applyAlignment="1">
      <alignment horizontal="right"/>
    </xf>
    <xf numFmtId="10" fontId="38" fillId="3" borderId="20" xfId="0" applyNumberFormat="1" applyFont="1" applyFill="1" applyBorder="1" applyAlignment="1">
      <alignment horizontal="center"/>
    </xf>
    <xf numFmtId="10" fontId="38" fillId="4" borderId="20" xfId="0" applyNumberFormat="1" applyFont="1" applyFill="1" applyBorder="1" applyAlignment="1">
      <alignment horizontal="center"/>
    </xf>
    <xf numFmtId="10" fontId="38" fillId="5" borderId="20" xfId="0" applyNumberFormat="1" applyFont="1" applyFill="1" applyBorder="1" applyAlignment="1">
      <alignment horizontal="center"/>
    </xf>
    <xf numFmtId="0" fontId="23" fillId="9" borderId="24" xfId="0" applyFont="1" applyFill="1" applyBorder="1"/>
    <xf numFmtId="0" fontId="38" fillId="9" borderId="23" xfId="0" applyFont="1" applyFill="1" applyBorder="1" applyAlignment="1">
      <alignment horizontal="right"/>
    </xf>
    <xf numFmtId="1" fontId="38" fillId="3" borderId="19" xfId="0" applyNumberFormat="1" applyFont="1" applyFill="1" applyBorder="1" applyAlignment="1">
      <alignment horizontal="center"/>
    </xf>
    <xf numFmtId="1" fontId="38" fillId="4" borderId="19" xfId="0" applyNumberFormat="1" applyFont="1" applyFill="1" applyBorder="1" applyAlignment="1">
      <alignment horizontal="center"/>
    </xf>
    <xf numFmtId="1" fontId="38" fillId="5" borderId="2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10" xfId="0" applyFont="1" applyBorder="1"/>
    <xf numFmtId="0" fontId="23" fillId="0" borderId="11" xfId="0" applyFont="1" applyBorder="1" applyAlignment="1">
      <alignment horizontal="right"/>
    </xf>
    <xf numFmtId="49" fontId="38" fillId="0" borderId="11" xfId="1" applyNumberFormat="1" applyFont="1" applyBorder="1" applyAlignment="1">
      <alignment horizontal="right"/>
    </xf>
    <xf numFmtId="1" fontId="36" fillId="0" borderId="0" xfId="0" applyNumberFormat="1" applyFont="1" applyFill="1" applyBorder="1" applyAlignment="1">
      <alignment horizontal="center"/>
    </xf>
    <xf numFmtId="0" fontId="23" fillId="6" borderId="4" xfId="0" applyFont="1" applyFill="1" applyBorder="1"/>
    <xf numFmtId="0" fontId="38" fillId="6" borderId="11" xfId="0" applyFont="1" applyFill="1" applyBorder="1" applyAlignment="1">
      <alignment horizontal="right"/>
    </xf>
    <xf numFmtId="1" fontId="38" fillId="6" borderId="11" xfId="0" applyNumberFormat="1" applyFont="1" applyFill="1" applyBorder="1" applyAlignment="1">
      <alignment horizontal="center"/>
    </xf>
    <xf numFmtId="0" fontId="38" fillId="0" borderId="0" xfId="0" applyFont="1" applyFill="1" applyBorder="1"/>
    <xf numFmtId="0" fontId="23" fillId="7" borderId="11" xfId="0" applyFont="1" applyFill="1" applyBorder="1"/>
    <xf numFmtId="0" fontId="38" fillId="7" borderId="11" xfId="0" applyFont="1" applyFill="1" applyBorder="1" applyAlignment="1">
      <alignment horizontal="right"/>
    </xf>
    <xf numFmtId="1" fontId="38" fillId="7" borderId="11" xfId="0" applyNumberFormat="1" applyFont="1" applyFill="1" applyBorder="1" applyAlignment="1">
      <alignment horizontal="center"/>
    </xf>
    <xf numFmtId="0" fontId="23" fillId="8" borderId="11" xfId="0" applyFont="1" applyFill="1" applyBorder="1"/>
    <xf numFmtId="43" fontId="38" fillId="8" borderId="11" xfId="1" applyFont="1" applyFill="1" applyBorder="1" applyAlignment="1">
      <alignment horizontal="right"/>
    </xf>
    <xf numFmtId="1" fontId="38" fillId="8" borderId="11" xfId="0" applyNumberFormat="1" applyFont="1" applyFill="1" applyBorder="1" applyAlignment="1">
      <alignment horizontal="center"/>
    </xf>
    <xf numFmtId="49" fontId="23" fillId="0" borderId="0" xfId="0" applyNumberFormat="1" applyFont="1" applyFill="1" applyBorder="1"/>
    <xf numFmtId="49" fontId="38" fillId="0" borderId="0" xfId="0" applyNumberFormat="1" applyFont="1" applyFill="1" applyBorder="1"/>
    <xf numFmtId="2" fontId="38" fillId="0" borderId="0" xfId="0" applyNumberFormat="1" applyFont="1" applyFill="1" applyBorder="1"/>
    <xf numFmtId="0" fontId="23" fillId="0" borderId="10" xfId="0" applyFont="1" applyFill="1" applyBorder="1"/>
    <xf numFmtId="0" fontId="38" fillId="6" borderId="25" xfId="0" applyFont="1" applyFill="1" applyBorder="1" applyAlignment="1">
      <alignment horizontal="right"/>
    </xf>
    <xf numFmtId="0" fontId="23" fillId="4" borderId="11" xfId="0" applyFont="1" applyFill="1" applyBorder="1"/>
    <xf numFmtId="0" fontId="38" fillId="4" borderId="11" xfId="0" applyFont="1" applyFill="1" applyBorder="1" applyAlignment="1">
      <alignment horizontal="right"/>
    </xf>
    <xf numFmtId="1" fontId="38" fillId="4" borderId="11" xfId="0" applyNumberFormat="1" applyFont="1" applyFill="1" applyBorder="1" applyAlignment="1">
      <alignment horizontal="center"/>
    </xf>
    <xf numFmtId="43" fontId="23" fillId="8" borderId="11" xfId="1" applyFont="1" applyFill="1" applyBorder="1"/>
    <xf numFmtId="43" fontId="23" fillId="0" borderId="0" xfId="1" applyFont="1" applyFill="1" applyBorder="1"/>
    <xf numFmtId="43" fontId="38" fillId="0" borderId="0" xfId="1" applyFont="1" applyFill="1" applyBorder="1" applyAlignment="1">
      <alignment horizontal="right"/>
    </xf>
    <xf numFmtId="2" fontId="38" fillId="0" borderId="0" xfId="0" applyNumberFormat="1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/>
    </xf>
    <xf numFmtId="0" fontId="38" fillId="0" borderId="0" xfId="0" applyFont="1" applyFill="1"/>
    <xf numFmtId="0" fontId="38" fillId="9" borderId="28" xfId="0" applyFont="1" applyFill="1" applyBorder="1" applyAlignment="1">
      <alignment horizontal="center"/>
    </xf>
    <xf numFmtId="2" fontId="38" fillId="9" borderId="28" xfId="0" applyNumberFormat="1" applyFont="1" applyFill="1" applyBorder="1" applyAlignment="1">
      <alignment horizontal="center"/>
    </xf>
    <xf numFmtId="10" fontId="38" fillId="9" borderId="28" xfId="2" applyNumberFormat="1" applyFont="1" applyFill="1" applyBorder="1" applyAlignment="1">
      <alignment horizontal="center"/>
    </xf>
    <xf numFmtId="1" fontId="38" fillId="9" borderId="7" xfId="0" applyNumberFormat="1" applyFont="1" applyFill="1" applyBorder="1" applyAlignment="1">
      <alignment horizontal="center"/>
    </xf>
    <xf numFmtId="10" fontId="38" fillId="9" borderId="0" xfId="0" applyNumberFormat="1" applyFont="1" applyFill="1" applyBorder="1" applyAlignment="1">
      <alignment horizontal="center"/>
    </xf>
    <xf numFmtId="2" fontId="38" fillId="9" borderId="0" xfId="0" applyNumberFormat="1" applyFont="1" applyFill="1" applyBorder="1" applyAlignment="1">
      <alignment horizontal="center"/>
    </xf>
    <xf numFmtId="10" fontId="38" fillId="9" borderId="0" xfId="2" applyNumberFormat="1" applyFont="1" applyFill="1" applyBorder="1" applyAlignment="1">
      <alignment horizontal="center"/>
    </xf>
    <xf numFmtId="1" fontId="38" fillId="9" borderId="34" xfId="0" applyNumberFormat="1" applyFont="1" applyFill="1" applyBorder="1" applyAlignment="1">
      <alignment horizontal="center"/>
    </xf>
    <xf numFmtId="0" fontId="38" fillId="9" borderId="0" xfId="0" applyFont="1" applyFill="1" applyBorder="1" applyAlignment="1">
      <alignment horizontal="center"/>
    </xf>
    <xf numFmtId="0" fontId="38" fillId="9" borderId="11" xfId="0" applyFont="1" applyFill="1" applyBorder="1" applyAlignment="1">
      <alignment horizontal="center"/>
    </xf>
    <xf numFmtId="0" fontId="38" fillId="9" borderId="11" xfId="0" applyFont="1" applyFill="1" applyBorder="1" applyAlignment="1">
      <alignment horizontal="center" vertical="distributed"/>
    </xf>
    <xf numFmtId="0" fontId="38" fillId="0" borderId="0" xfId="0" applyFont="1" applyFill="1" applyBorder="1" applyAlignment="1">
      <alignment horizontal="center"/>
    </xf>
    <xf numFmtId="10" fontId="23" fillId="0" borderId="0" xfId="2" applyNumberFormat="1" applyFont="1"/>
    <xf numFmtId="0" fontId="23" fillId="0" borderId="11" xfId="0" applyFont="1" applyBorder="1" applyAlignment="1">
      <alignment horizontal="center" vertical="distributed"/>
    </xf>
    <xf numFmtId="0" fontId="38" fillId="0" borderId="0" xfId="0" applyFont="1" applyFill="1" applyAlignment="1">
      <alignment horizontal="center"/>
    </xf>
    <xf numFmtId="0" fontId="23" fillId="0" borderId="0" xfId="0" applyFont="1" applyBorder="1"/>
    <xf numFmtId="0" fontId="52" fillId="0" borderId="0" xfId="0" applyFont="1" applyFill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4" fillId="0" borderId="13" xfId="0" applyFont="1" applyFill="1" applyBorder="1" applyAlignment="1">
      <alignment horizontal="right"/>
    </xf>
    <xf numFmtId="0" fontId="54" fillId="0" borderId="14" xfId="0" applyFont="1" applyBorder="1"/>
    <xf numFmtId="0" fontId="55" fillId="0" borderId="14" xfId="0" applyFont="1" applyBorder="1"/>
    <xf numFmtId="0" fontId="55" fillId="0" borderId="15" xfId="0" applyFont="1" applyBorder="1"/>
    <xf numFmtId="0" fontId="54" fillId="0" borderId="16" xfId="0" applyFont="1" applyBorder="1" applyAlignment="1">
      <alignment horizontal="right"/>
    </xf>
    <xf numFmtId="10" fontId="54" fillId="2" borderId="11" xfId="0" applyNumberFormat="1" applyFont="1" applyFill="1" applyBorder="1"/>
    <xf numFmtId="0" fontId="55" fillId="0" borderId="0" xfId="0" applyFont="1" applyBorder="1" applyAlignment="1">
      <alignment horizontal="center"/>
    </xf>
    <xf numFmtId="177" fontId="54" fillId="2" borderId="11" xfId="0" applyNumberFormat="1" applyFont="1" applyFill="1" applyBorder="1" applyAlignment="1">
      <alignment horizontal="center"/>
    </xf>
    <xf numFmtId="0" fontId="54" fillId="0" borderId="0" xfId="0" applyFont="1" applyBorder="1"/>
    <xf numFmtId="49" fontId="55" fillId="0" borderId="0" xfId="0" applyNumberFormat="1" applyFont="1" applyBorder="1" applyAlignment="1">
      <alignment horizontal="center"/>
    </xf>
    <xf numFmtId="0" fontId="54" fillId="0" borderId="0" xfId="0" applyFont="1" applyBorder="1" applyAlignment="1">
      <alignment horizontal="right"/>
    </xf>
    <xf numFmtId="0" fontId="54" fillId="0" borderId="16" xfId="0" applyFont="1" applyFill="1" applyBorder="1" applyAlignment="1">
      <alignment horizontal="right"/>
    </xf>
    <xf numFmtId="0" fontId="55" fillId="0" borderId="0" xfId="0" applyFont="1" applyBorder="1"/>
    <xf numFmtId="0" fontId="55" fillId="0" borderId="17" xfId="0" applyFont="1" applyBorder="1"/>
    <xf numFmtId="0" fontId="55" fillId="0" borderId="22" xfId="0" applyFont="1" applyBorder="1"/>
    <xf numFmtId="0" fontId="55" fillId="0" borderId="23" xfId="0" applyFont="1" applyBorder="1"/>
    <xf numFmtId="0" fontId="54" fillId="0" borderId="0" xfId="0" applyFont="1"/>
    <xf numFmtId="0" fontId="57" fillId="0" borderId="0" xfId="0" applyFont="1" applyAlignment="1">
      <alignment vertical="center"/>
    </xf>
    <xf numFmtId="167" fontId="10" fillId="0" borderId="0" xfId="2" applyNumberFormat="1" applyFont="1"/>
    <xf numFmtId="43" fontId="54" fillId="0" borderId="0" xfId="1" applyFont="1"/>
    <xf numFmtId="0" fontId="56" fillId="0" borderId="18" xfId="0" applyFont="1" applyFill="1" applyBorder="1"/>
    <xf numFmtId="0" fontId="56" fillId="0" borderId="11" xfId="0" applyFont="1" applyBorder="1"/>
    <xf numFmtId="175" fontId="54" fillId="0" borderId="30" xfId="0" applyNumberFormat="1" applyFont="1" applyBorder="1" applyAlignment="1">
      <alignment horizontal="right"/>
    </xf>
    <xf numFmtId="0" fontId="10" fillId="0" borderId="0" xfId="0" applyFont="1"/>
    <xf numFmtId="0" fontId="54" fillId="0" borderId="18" xfId="0" applyFont="1" applyFill="1" applyBorder="1"/>
    <xf numFmtId="175" fontId="54" fillId="0" borderId="11" xfId="0" applyNumberFormat="1" applyFont="1" applyBorder="1" applyAlignment="1">
      <alignment horizontal="right"/>
    </xf>
    <xf numFmtId="43" fontId="54" fillId="0" borderId="0" xfId="0" applyNumberFormat="1" applyFont="1"/>
    <xf numFmtId="0" fontId="54" fillId="0" borderId="18" xfId="0" applyFont="1" applyBorder="1"/>
    <xf numFmtId="9" fontId="54" fillId="2" borderId="11" xfId="2" applyFont="1" applyFill="1" applyBorder="1" applyAlignment="1">
      <alignment horizontal="right"/>
    </xf>
    <xf numFmtId="49" fontId="54" fillId="0" borderId="18" xfId="0" applyNumberFormat="1" applyFont="1" applyFill="1" applyBorder="1"/>
    <xf numFmtId="0" fontId="58" fillId="0" borderId="11" xfId="0" applyFont="1" applyBorder="1"/>
    <xf numFmtId="0" fontId="54" fillId="0" borderId="25" xfId="0" applyFont="1" applyBorder="1"/>
    <xf numFmtId="179" fontId="54" fillId="0" borderId="25" xfId="0" applyNumberFormat="1" applyFont="1" applyBorder="1"/>
    <xf numFmtId="0" fontId="54" fillId="0" borderId="12" xfId="0" applyFont="1" applyBorder="1"/>
    <xf numFmtId="180" fontId="10" fillId="0" borderId="4" xfId="0" applyNumberFormat="1" applyFont="1" applyBorder="1"/>
    <xf numFmtId="0" fontId="10" fillId="0" borderId="9" xfId="0" applyFont="1" applyBorder="1"/>
    <xf numFmtId="43" fontId="54" fillId="0" borderId="26" xfId="0" applyNumberFormat="1" applyFont="1" applyBorder="1"/>
    <xf numFmtId="0" fontId="54" fillId="0" borderId="26" xfId="0" applyFont="1" applyBorder="1"/>
    <xf numFmtId="0" fontId="54" fillId="0" borderId="9" xfId="0" applyFont="1" applyBorder="1"/>
    <xf numFmtId="0" fontId="54" fillId="0" borderId="0" xfId="0" applyFont="1" applyBorder="1" applyAlignment="1">
      <alignment horizontal="center"/>
    </xf>
    <xf numFmtId="0" fontId="54" fillId="0" borderId="17" xfId="0" applyFont="1" applyBorder="1"/>
    <xf numFmtId="180" fontId="10" fillId="0" borderId="11" xfId="0" applyNumberFormat="1" applyFont="1" applyBorder="1"/>
    <xf numFmtId="0" fontId="10" fillId="0" borderId="12" xfId="0" applyFont="1" applyBorder="1"/>
    <xf numFmtId="175" fontId="54" fillId="0" borderId="11" xfId="0" applyNumberFormat="1" applyFont="1" applyBorder="1"/>
    <xf numFmtId="180" fontId="58" fillId="0" borderId="11" xfId="0" applyNumberFormat="1" applyFont="1" applyBorder="1"/>
    <xf numFmtId="0" fontId="58" fillId="0" borderId="25" xfId="0" applyFont="1" applyBorder="1"/>
    <xf numFmtId="0" fontId="54" fillId="0" borderId="18" xfId="0" applyFont="1" applyBorder="1" applyAlignment="1">
      <alignment horizontal="right"/>
    </xf>
    <xf numFmtId="178" fontId="56" fillId="10" borderId="11" xfId="0" applyNumberFormat="1" applyFont="1" applyFill="1" applyBorder="1" applyAlignment="1">
      <alignment horizontal="right"/>
    </xf>
    <xf numFmtId="0" fontId="56" fillId="0" borderId="0" xfId="0" applyFont="1" applyBorder="1"/>
    <xf numFmtId="178" fontId="54" fillId="0" borderId="0" xfId="0" applyNumberFormat="1" applyFont="1"/>
    <xf numFmtId="164" fontId="54" fillId="0" borderId="0" xfId="1" applyNumberFormat="1" applyFont="1"/>
    <xf numFmtId="0" fontId="54" fillId="0" borderId="21" xfId="0" applyFont="1" applyBorder="1" applyAlignment="1">
      <alignment horizontal="right"/>
    </xf>
    <xf numFmtId="178" fontId="56" fillId="10" borderId="41" xfId="0" applyNumberFormat="1" applyFont="1" applyFill="1" applyBorder="1" applyAlignment="1">
      <alignment horizontal="right"/>
    </xf>
    <xf numFmtId="0" fontId="56" fillId="0" borderId="22" xfId="0" applyFont="1" applyBorder="1"/>
    <xf numFmtId="0" fontId="54" fillId="0" borderId="23" xfId="0" applyFont="1" applyBorder="1"/>
    <xf numFmtId="10" fontId="54" fillId="0" borderId="0" xfId="0" applyNumberFormat="1" applyFont="1"/>
    <xf numFmtId="0" fontId="54" fillId="0" borderId="0" xfId="0" applyFont="1" applyAlignment="1">
      <alignment horizontal="right" vertical="center"/>
    </xf>
    <xf numFmtId="169" fontId="54" fillId="2" borderId="11" xfId="0" applyNumberFormat="1" applyFont="1" applyFill="1" applyBorder="1" applyAlignment="1">
      <alignment horizontal="center" vertical="center"/>
    </xf>
    <xf numFmtId="0" fontId="54" fillId="0" borderId="0" xfId="0" applyFont="1" applyAlignment="1">
      <alignment vertical="center"/>
    </xf>
    <xf numFmtId="178" fontId="56" fillId="10" borderId="11" xfId="0" applyNumberFormat="1" applyFont="1" applyFill="1" applyBorder="1" applyAlignment="1">
      <alignment horizontal="right" vertical="center"/>
    </xf>
    <xf numFmtId="10" fontId="0" fillId="0" borderId="0" xfId="2" applyNumberFormat="1" applyFont="1"/>
    <xf numFmtId="0" fontId="59" fillId="0" borderId="0" xfId="0" applyFont="1"/>
    <xf numFmtId="0" fontId="54" fillId="0" borderId="14" xfId="0" applyFont="1" applyBorder="1" applyAlignment="1">
      <alignment horizontal="left"/>
    </xf>
    <xf numFmtId="10" fontId="54" fillId="10" borderId="30" xfId="2" applyNumberFormat="1" applyFont="1" applyFill="1" applyBorder="1"/>
    <xf numFmtId="166" fontId="54" fillId="2" borderId="11" xfId="1" applyNumberFormat="1" applyFont="1" applyFill="1" applyBorder="1"/>
    <xf numFmtId="0" fontId="54" fillId="0" borderId="24" xfId="0" applyFont="1" applyBorder="1" applyAlignment="1">
      <alignment horizontal="right"/>
    </xf>
    <xf numFmtId="10" fontId="54" fillId="10" borderId="41" xfId="2" applyNumberFormat="1" applyFont="1" applyFill="1" applyBorder="1"/>
    <xf numFmtId="0" fontId="61" fillId="0" borderId="0" xfId="0" applyFont="1"/>
    <xf numFmtId="0" fontId="54" fillId="0" borderId="0" xfId="0" applyFont="1" applyFill="1"/>
    <xf numFmtId="0" fontId="56" fillId="0" borderId="0" xfId="0" applyFont="1"/>
    <xf numFmtId="0" fontId="54" fillId="0" borderId="0" xfId="0" applyFont="1" applyAlignment="1">
      <alignment horizontal="left" vertical="center"/>
    </xf>
    <xf numFmtId="9" fontId="54" fillId="2" borderId="11" xfId="2" applyNumberFormat="1" applyFont="1" applyFill="1" applyBorder="1" applyAlignment="1">
      <alignment horizontal="right"/>
    </xf>
    <xf numFmtId="10" fontId="54" fillId="11" borderId="11" xfId="2" applyNumberFormat="1" applyFont="1" applyFill="1" applyBorder="1" applyAlignment="1">
      <alignment horizontal="right"/>
    </xf>
    <xf numFmtId="0" fontId="5" fillId="0" borderId="11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right" vertical="center"/>
    </xf>
    <xf numFmtId="10" fontId="54" fillId="2" borderId="11" xfId="0" applyNumberFormat="1" applyFont="1" applyFill="1" applyBorder="1" applyAlignment="1">
      <alignment vertical="center"/>
    </xf>
    <xf numFmtId="177" fontId="54" fillId="2" borderId="11" xfId="0" applyNumberFormat="1" applyFont="1" applyFill="1" applyBorder="1" applyAlignment="1">
      <alignment horizontal="center" vertical="center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right" vertical="center"/>
    </xf>
    <xf numFmtId="10" fontId="54" fillId="10" borderId="30" xfId="0" applyNumberFormat="1" applyFont="1" applyFill="1" applyBorder="1" applyAlignment="1">
      <alignment vertical="center"/>
    </xf>
    <xf numFmtId="0" fontId="54" fillId="0" borderId="16" xfId="0" applyFont="1" applyFill="1" applyBorder="1" applyAlignment="1">
      <alignment horizontal="right" vertical="center"/>
    </xf>
    <xf numFmtId="43" fontId="54" fillId="2" borderId="11" xfId="1" applyNumberFormat="1" applyFont="1" applyFill="1" applyBorder="1" applyAlignment="1">
      <alignment vertical="center"/>
    </xf>
    <xf numFmtId="0" fontId="54" fillId="0" borderId="24" xfId="0" applyFont="1" applyBorder="1" applyAlignment="1">
      <alignment vertical="center"/>
    </xf>
    <xf numFmtId="10" fontId="54" fillId="10" borderId="38" xfId="2" applyNumberFormat="1" applyFont="1" applyFill="1" applyBorder="1" applyAlignment="1">
      <alignment vertical="center"/>
    </xf>
    <xf numFmtId="0" fontId="56" fillId="0" borderId="39" xfId="0" applyFont="1" applyFill="1" applyBorder="1" applyAlignment="1">
      <alignment vertical="center"/>
    </xf>
    <xf numFmtId="10" fontId="54" fillId="11" borderId="4" xfId="2" applyNumberFormat="1" applyFont="1" applyFill="1" applyBorder="1" applyAlignment="1">
      <alignment horizontal="right" vertical="center"/>
    </xf>
    <xf numFmtId="0" fontId="56" fillId="0" borderId="4" xfId="0" applyFont="1" applyBorder="1" applyAlignment="1">
      <alignment vertical="center"/>
    </xf>
    <xf numFmtId="175" fontId="54" fillId="0" borderId="40" xfId="0" applyNumberFormat="1" applyFont="1" applyBorder="1" applyAlignment="1">
      <alignment horizontal="right" vertical="center"/>
    </xf>
    <xf numFmtId="167" fontId="10" fillId="0" borderId="0" xfId="2" applyNumberFormat="1" applyFont="1" applyAlignment="1">
      <alignment vertical="center"/>
    </xf>
    <xf numFmtId="43" fontId="54" fillId="0" borderId="0" xfId="1" applyFont="1" applyAlignment="1">
      <alignment vertical="center"/>
    </xf>
    <xf numFmtId="0" fontId="56" fillId="0" borderId="18" xfId="0" applyFont="1" applyFill="1" applyBorder="1" applyAlignment="1">
      <alignment vertical="center"/>
    </xf>
    <xf numFmtId="10" fontId="54" fillId="11" borderId="11" xfId="2" applyNumberFormat="1" applyFont="1" applyFill="1" applyBorder="1" applyAlignment="1">
      <alignment horizontal="right" vertical="center"/>
    </xf>
    <xf numFmtId="0" fontId="56" fillId="0" borderId="11" xfId="0" applyFont="1" applyBorder="1" applyAlignment="1">
      <alignment vertical="center"/>
    </xf>
    <xf numFmtId="175" fontId="54" fillId="0" borderId="30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54" fillId="0" borderId="18" xfId="0" applyFont="1" applyFill="1" applyBorder="1" applyAlignment="1">
      <alignment vertical="center"/>
    </xf>
    <xf numFmtId="175" fontId="54" fillId="0" borderId="11" xfId="0" applyNumberFormat="1" applyFont="1" applyBorder="1" applyAlignment="1">
      <alignment horizontal="right" vertical="center"/>
    </xf>
    <xf numFmtId="43" fontId="54" fillId="0" borderId="0" xfId="0" applyNumberFormat="1" applyFont="1" applyAlignment="1">
      <alignment vertical="center"/>
    </xf>
    <xf numFmtId="0" fontId="54" fillId="0" borderId="18" xfId="0" applyFont="1" applyBorder="1" applyAlignment="1">
      <alignment vertical="center"/>
    </xf>
    <xf numFmtId="9" fontId="54" fillId="2" borderId="11" xfId="2" applyFont="1" applyFill="1" applyBorder="1" applyAlignment="1">
      <alignment horizontal="right" vertical="center"/>
    </xf>
    <xf numFmtId="49" fontId="54" fillId="0" borderId="18" xfId="0" applyNumberFormat="1" applyFont="1" applyFill="1" applyBorder="1" applyAlignment="1">
      <alignment vertical="center"/>
    </xf>
    <xf numFmtId="0" fontId="58" fillId="0" borderId="11" xfId="0" applyFont="1" applyBorder="1" applyAlignment="1">
      <alignment vertical="center"/>
    </xf>
    <xf numFmtId="0" fontId="54" fillId="0" borderId="25" xfId="0" applyFont="1" applyBorder="1" applyAlignment="1">
      <alignment vertical="center"/>
    </xf>
    <xf numFmtId="179" fontId="54" fillId="0" borderId="25" xfId="0" applyNumberFormat="1" applyFont="1" applyBorder="1" applyAlignment="1">
      <alignment vertical="center"/>
    </xf>
    <xf numFmtId="0" fontId="54" fillId="0" borderId="12" xfId="0" applyFont="1" applyBorder="1" applyAlignment="1">
      <alignment vertical="center"/>
    </xf>
    <xf numFmtId="180" fontId="10" fillId="0" borderId="4" xfId="0" applyNumberFormat="1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43" fontId="54" fillId="0" borderId="26" xfId="0" applyNumberFormat="1" applyFont="1" applyBorder="1" applyAlignment="1">
      <alignment vertical="center"/>
    </xf>
    <xf numFmtId="0" fontId="54" fillId="0" borderId="26" xfId="0" applyFont="1" applyBorder="1" applyAlignment="1">
      <alignment vertical="center"/>
    </xf>
    <xf numFmtId="0" fontId="54" fillId="0" borderId="9" xfId="0" applyFont="1" applyBorder="1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54" fillId="0" borderId="17" xfId="0" applyFont="1" applyBorder="1" applyAlignment="1">
      <alignment vertical="center"/>
    </xf>
    <xf numFmtId="180" fontId="10" fillId="0" borderId="11" xfId="0" applyNumberFormat="1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175" fontId="54" fillId="0" borderId="11" xfId="0" applyNumberFormat="1" applyFont="1" applyBorder="1" applyAlignment="1">
      <alignment vertical="center"/>
    </xf>
    <xf numFmtId="180" fontId="58" fillId="0" borderId="11" xfId="0" applyNumberFormat="1" applyFont="1" applyBorder="1" applyAlignment="1">
      <alignment vertical="center"/>
    </xf>
    <xf numFmtId="0" fontId="58" fillId="0" borderId="25" xfId="0" applyFont="1" applyBorder="1" applyAlignment="1">
      <alignment vertical="center"/>
    </xf>
    <xf numFmtId="0" fontId="54" fillId="0" borderId="18" xfId="0" applyFont="1" applyBorder="1" applyAlignment="1">
      <alignment horizontal="right" vertical="center"/>
    </xf>
    <xf numFmtId="0" fontId="56" fillId="0" borderId="0" xfId="0" applyFont="1" applyBorder="1" applyAlignment="1">
      <alignment vertical="center"/>
    </xf>
    <xf numFmtId="178" fontId="54" fillId="0" borderId="0" xfId="0" applyNumberFormat="1" applyFont="1" applyAlignment="1">
      <alignment vertical="center"/>
    </xf>
    <xf numFmtId="164" fontId="54" fillId="0" borderId="0" xfId="1" applyNumberFormat="1" applyFont="1" applyAlignment="1">
      <alignment vertical="center"/>
    </xf>
    <xf numFmtId="0" fontId="54" fillId="0" borderId="21" xfId="0" applyFont="1" applyBorder="1" applyAlignment="1">
      <alignment horizontal="right" vertical="center"/>
    </xf>
    <xf numFmtId="178" fontId="56" fillId="10" borderId="41" xfId="0" applyNumberFormat="1" applyFont="1" applyFill="1" applyBorder="1" applyAlignment="1">
      <alignment horizontal="right" vertical="center"/>
    </xf>
    <xf numFmtId="0" fontId="56" fillId="0" borderId="22" xfId="0" applyFont="1" applyBorder="1" applyAlignment="1">
      <alignment vertical="center"/>
    </xf>
    <xf numFmtId="0" fontId="54" fillId="0" borderId="23" xfId="0" applyFont="1" applyBorder="1" applyAlignment="1">
      <alignment vertical="center"/>
    </xf>
    <xf numFmtId="10" fontId="54" fillId="0" borderId="0" xfId="2" applyNumberFormat="1" applyFont="1" applyAlignment="1">
      <alignment vertical="center"/>
    </xf>
    <xf numFmtId="0" fontId="0" fillId="0" borderId="0" xfId="0" applyFont="1"/>
    <xf numFmtId="0" fontId="64" fillId="0" borderId="0" xfId="0" applyFont="1" applyBorder="1" applyAlignment="1">
      <alignment horizontal="left" vertical="distributed"/>
    </xf>
    <xf numFmtId="0" fontId="54" fillId="0" borderId="15" xfId="0" applyFont="1" applyBorder="1"/>
    <xf numFmtId="49" fontId="54" fillId="0" borderId="0" xfId="0" applyNumberFormat="1" applyFont="1" applyBorder="1" applyAlignment="1">
      <alignment horizontal="center" vertical="center"/>
    </xf>
    <xf numFmtId="0" fontId="54" fillId="0" borderId="22" xfId="0" applyFont="1" applyBorder="1" applyAlignment="1">
      <alignment vertical="center"/>
    </xf>
    <xf numFmtId="0" fontId="54" fillId="0" borderId="0" xfId="0" applyFont="1" applyFill="1" applyBorder="1" applyAlignment="1">
      <alignment horizontal="right"/>
    </xf>
    <xf numFmtId="178" fontId="56" fillId="0" borderId="0" xfId="0" applyNumberFormat="1" applyFont="1" applyFill="1" applyBorder="1" applyAlignment="1">
      <alignment horizontal="right"/>
    </xf>
    <xf numFmtId="0" fontId="56" fillId="0" borderId="0" xfId="0" applyFont="1" applyFill="1" applyBorder="1"/>
    <xf numFmtId="0" fontId="54" fillId="0" borderId="0" xfId="0" applyFont="1" applyFill="1" applyAlignment="1">
      <alignment horizontal="right"/>
    </xf>
    <xf numFmtId="43" fontId="5" fillId="0" borderId="0" xfId="1" applyFont="1" applyFill="1" applyBorder="1" applyAlignment="1">
      <alignment horizontal="center" vertical="distributed"/>
    </xf>
    <xf numFmtId="43" fontId="43" fillId="0" borderId="0" xfId="1" applyFont="1" applyFill="1" applyBorder="1" applyAlignment="1">
      <alignment horizontal="center" vertical="distributed"/>
    </xf>
    <xf numFmtId="0" fontId="31" fillId="0" borderId="0" xfId="0" applyFont="1" applyFill="1" applyBorder="1" applyAlignment="1">
      <alignment horizontal="center" vertical="distributed"/>
    </xf>
    <xf numFmtId="10" fontId="31" fillId="0" borderId="0" xfId="2" applyNumberFormat="1" applyFont="1" applyFill="1" applyBorder="1" applyAlignment="1">
      <alignment horizontal="center"/>
    </xf>
    <xf numFmtId="10" fontId="31" fillId="0" borderId="0" xfId="2" applyNumberFormat="1" applyFont="1" applyFill="1" applyBorder="1"/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4" fontId="5" fillId="2" borderId="11" xfId="0" applyNumberFormat="1" applyFont="1" applyFill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164" fontId="5" fillId="2" borderId="11" xfId="1" applyNumberFormat="1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43" fontId="2" fillId="0" borderId="0" xfId="0" applyNumberFormat="1" applyFont="1" applyFill="1" applyBorder="1"/>
    <xf numFmtId="0" fontId="5" fillId="0" borderId="11" xfId="0" applyFont="1" applyBorder="1" applyAlignment="1">
      <alignment horizontal="center" vertical="center"/>
    </xf>
    <xf numFmtId="43" fontId="5" fillId="0" borderId="11" xfId="1" applyFont="1" applyBorder="1"/>
    <xf numFmtId="43" fontId="5" fillId="0" borderId="11" xfId="1" applyFont="1" applyFill="1" applyBorder="1" applyAlignment="1">
      <alignment horizontal="center"/>
    </xf>
    <xf numFmtId="43" fontId="5" fillId="0" borderId="10" xfId="1" applyFont="1" applyFill="1" applyBorder="1"/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1" fillId="0" borderId="0" xfId="0" applyFont="1"/>
    <xf numFmtId="164" fontId="5" fillId="0" borderId="11" xfId="0" applyNumberFormat="1" applyFont="1" applyFill="1" applyBorder="1" applyAlignment="1">
      <alignment horizontal="center"/>
    </xf>
    <xf numFmtId="10" fontId="5" fillId="3" borderId="11" xfId="2" applyNumberFormat="1" applyFont="1" applyFill="1" applyBorder="1" applyAlignment="1">
      <alignment horizontal="center"/>
    </xf>
    <xf numFmtId="43" fontId="5" fillId="0" borderId="11" xfId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3" fontId="5" fillId="0" borderId="10" xfId="1" applyFont="1" applyFill="1" applyBorder="1" applyAlignment="1">
      <alignment horizontal="center"/>
    </xf>
    <xf numFmtId="164" fontId="31" fillId="0" borderId="11" xfId="0" applyNumberFormat="1" applyFont="1" applyFill="1" applyBorder="1" applyAlignment="1">
      <alignment horizontal="center"/>
    </xf>
    <xf numFmtId="10" fontId="31" fillId="0" borderId="11" xfId="2" applyNumberFormat="1" applyFont="1" applyFill="1" applyBorder="1" applyAlignment="1">
      <alignment horizontal="center"/>
    </xf>
    <xf numFmtId="43" fontId="5" fillId="0" borderId="0" xfId="1" applyFont="1" applyBorder="1" applyAlignment="1">
      <alignment horizontal="center"/>
    </xf>
    <xf numFmtId="43" fontId="5" fillId="0" borderId="0" xfId="0" applyNumberFormat="1" applyFont="1" applyBorder="1" applyAlignment="1">
      <alignment horizontal="center"/>
    </xf>
    <xf numFmtId="10" fontId="2" fillId="0" borderId="0" xfId="2" applyNumberFormat="1" applyFont="1" applyFill="1" applyBorder="1" applyAlignment="1"/>
    <xf numFmtId="43" fontId="5" fillId="0" borderId="6" xfId="1" applyFont="1" applyFill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169" fontId="5" fillId="0" borderId="11" xfId="2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2" fontId="5" fillId="3" borderId="11" xfId="0" applyNumberFormat="1" applyFont="1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/>
    </xf>
    <xf numFmtId="2" fontId="5" fillId="5" borderId="1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0" fontId="5" fillId="4" borderId="11" xfId="2" applyNumberFormat="1" applyFont="1" applyFill="1" applyBorder="1" applyAlignment="1">
      <alignment horizontal="center"/>
    </xf>
    <xf numFmtId="10" fontId="5" fillId="5" borderId="11" xfId="2" applyNumberFormat="1" applyFont="1" applyFill="1" applyBorder="1" applyAlignment="1">
      <alignment horizontal="center"/>
    </xf>
    <xf numFmtId="10" fontId="5" fillId="3" borderId="11" xfId="2" applyNumberFormat="1" applyFont="1" applyFill="1" applyBorder="1" applyAlignment="1">
      <alignment horizontal="center" vertical="center"/>
    </xf>
    <xf numFmtId="10" fontId="5" fillId="5" borderId="11" xfId="2" applyNumberFormat="1" applyFont="1" applyFill="1" applyBorder="1" applyAlignment="1">
      <alignment horizontal="center" vertical="center"/>
    </xf>
    <xf numFmtId="10" fontId="5" fillId="4" borderId="11" xfId="2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1" fontId="5" fillId="5" borderId="11" xfId="0" applyNumberFormat="1" applyFont="1" applyFill="1" applyBorder="1" applyAlignment="1">
      <alignment horizontal="center" vertical="center"/>
    </xf>
    <xf numFmtId="1" fontId="5" fillId="4" borderId="11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right"/>
    </xf>
    <xf numFmtId="43" fontId="5" fillId="0" borderId="11" xfId="0" applyNumberFormat="1" applyFont="1" applyBorder="1"/>
    <xf numFmtId="165" fontId="5" fillId="10" borderId="11" xfId="1" applyNumberFormat="1" applyFont="1" applyFill="1" applyBorder="1"/>
    <xf numFmtId="43" fontId="6" fillId="10" borderId="0" xfId="0" applyNumberFormat="1" applyFont="1" applyFill="1"/>
    <xf numFmtId="0" fontId="7" fillId="6" borderId="8" xfId="0" applyFont="1" applyFill="1" applyBorder="1" applyAlignment="1">
      <alignment vertical="center"/>
    </xf>
    <xf numFmtId="0" fontId="5" fillId="6" borderId="26" xfId="0" applyFont="1" applyFill="1" applyBorder="1" applyAlignment="1">
      <alignment vertical="center"/>
    </xf>
    <xf numFmtId="0" fontId="2" fillId="6" borderId="25" xfId="0" applyFont="1" applyFill="1" applyBorder="1" applyAlignment="1">
      <alignment horizontal="right" vertical="center"/>
    </xf>
    <xf numFmtId="1" fontId="2" fillId="6" borderId="11" xfId="0" applyNumberFormat="1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right" vertical="center"/>
    </xf>
    <xf numFmtId="1" fontId="2" fillId="7" borderId="11" xfId="0" applyNumberFormat="1" applyFont="1" applyFill="1" applyBorder="1" applyAlignment="1">
      <alignment horizontal="center" vertical="center"/>
    </xf>
    <xf numFmtId="164" fontId="7" fillId="12" borderId="10" xfId="0" applyNumberFormat="1" applyFont="1" applyFill="1" applyBorder="1" applyAlignment="1">
      <alignment horizontal="center" vertical="center"/>
    </xf>
    <xf numFmtId="43" fontId="14" fillId="12" borderId="25" xfId="1" applyFont="1" applyFill="1" applyBorder="1" applyAlignment="1">
      <alignment vertical="center"/>
    </xf>
    <xf numFmtId="43" fontId="2" fillId="12" borderId="25" xfId="1" applyFont="1" applyFill="1" applyBorder="1" applyAlignment="1">
      <alignment horizontal="right" vertical="center"/>
    </xf>
    <xf numFmtId="1" fontId="2" fillId="12" borderId="11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1" fontId="2" fillId="4" borderId="12" xfId="0" applyNumberFormat="1" applyFont="1" applyFill="1" applyBorder="1" applyAlignment="1">
      <alignment horizontal="center" vertical="center"/>
    </xf>
    <xf numFmtId="1" fontId="2" fillId="4" borderId="11" xfId="0" applyNumberFormat="1" applyFont="1" applyFill="1" applyBorder="1" applyAlignment="1">
      <alignment horizontal="center" vertical="center"/>
    </xf>
    <xf numFmtId="164" fontId="7" fillId="12" borderId="8" xfId="0" applyNumberFormat="1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2" fillId="6" borderId="28" xfId="0" applyFont="1" applyFill="1" applyBorder="1" applyAlignment="1">
      <alignment horizontal="right" vertical="center"/>
    </xf>
    <xf numFmtId="0" fontId="5" fillId="4" borderId="25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right" vertical="center"/>
    </xf>
    <xf numFmtId="43" fontId="14" fillId="12" borderId="0" xfId="1" applyFont="1" applyFill="1" applyBorder="1" applyAlignment="1">
      <alignment vertical="center"/>
    </xf>
    <xf numFmtId="43" fontId="2" fillId="12" borderId="0" xfId="1" applyFont="1" applyFill="1" applyBorder="1" applyAlignment="1">
      <alignment horizontal="right" vertical="center"/>
    </xf>
    <xf numFmtId="1" fontId="30" fillId="0" borderId="0" xfId="0" applyNumberFormat="1" applyFont="1" applyFill="1" applyBorder="1" applyAlignment="1">
      <alignment horizontal="center" vertical="center"/>
    </xf>
    <xf numFmtId="49" fontId="5" fillId="9" borderId="11" xfId="0" applyNumberFormat="1" applyFont="1" applyFill="1" applyBorder="1" applyAlignment="1">
      <alignment horizontal="right"/>
    </xf>
    <xf numFmtId="0" fontId="5" fillId="0" borderId="7" xfId="0" applyFont="1" applyBorder="1"/>
    <xf numFmtId="0" fontId="5" fillId="0" borderId="34" xfId="0" applyFont="1" applyBorder="1"/>
    <xf numFmtId="49" fontId="5" fillId="9" borderId="27" xfId="0" applyNumberFormat="1" applyFont="1" applyFill="1" applyBorder="1"/>
    <xf numFmtId="10" fontId="5" fillId="9" borderId="34" xfId="0" applyNumberFormat="1" applyFont="1" applyFill="1" applyBorder="1" applyAlignment="1">
      <alignment horizontal="center"/>
    </xf>
    <xf numFmtId="0" fontId="5" fillId="9" borderId="27" xfId="0" applyFont="1" applyFill="1" applyBorder="1"/>
    <xf numFmtId="49" fontId="5" fillId="9" borderId="8" xfId="0" applyNumberFormat="1" applyFont="1" applyFill="1" applyBorder="1"/>
    <xf numFmtId="0" fontId="5" fillId="9" borderId="26" xfId="0" applyFont="1" applyFill="1" applyBorder="1"/>
    <xf numFmtId="0" fontId="5" fillId="9" borderId="9" xfId="0" applyFont="1" applyFill="1" applyBorder="1"/>
    <xf numFmtId="49" fontId="5" fillId="9" borderId="10" xfId="0" applyNumberFormat="1" applyFont="1" applyFill="1" applyBorder="1"/>
    <xf numFmtId="49" fontId="5" fillId="9" borderId="25" xfId="0" applyNumberFormat="1" applyFont="1" applyFill="1" applyBorder="1"/>
    <xf numFmtId="0" fontId="8" fillId="0" borderId="1" xfId="0" applyFont="1" applyBorder="1" applyAlignment="1">
      <alignment horizontal="left" vertical="distributed"/>
    </xf>
    <xf numFmtId="0" fontId="8" fillId="0" borderId="2" xfId="0" applyFont="1" applyBorder="1" applyAlignment="1">
      <alignment horizontal="left" vertical="distributed"/>
    </xf>
    <xf numFmtId="0" fontId="8" fillId="0" borderId="3" xfId="0" applyFont="1" applyBorder="1" applyAlignment="1">
      <alignment horizontal="left" vertical="distributed"/>
    </xf>
    <xf numFmtId="0" fontId="10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distributed"/>
    </xf>
    <xf numFmtId="0" fontId="2" fillId="0" borderId="12" xfId="0" applyFont="1" applyBorder="1" applyAlignment="1">
      <alignment horizontal="center" vertical="distributed"/>
    </xf>
    <xf numFmtId="0" fontId="39" fillId="0" borderId="19" xfId="0" applyFont="1" applyBorder="1" applyAlignment="1">
      <alignment horizontal="left" vertical="distributed"/>
    </xf>
    <xf numFmtId="0" fontId="39" fillId="0" borderId="29" xfId="0" applyFont="1" applyBorder="1" applyAlignment="1">
      <alignment horizontal="left" vertical="distributed"/>
    </xf>
    <xf numFmtId="0" fontId="39" fillId="0" borderId="31" xfId="0" applyFont="1" applyBorder="1" applyAlignment="1">
      <alignment horizontal="left" vertical="distributed"/>
    </xf>
    <xf numFmtId="0" fontId="6" fillId="0" borderId="4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center" vertical="distributed"/>
    </xf>
    <xf numFmtId="0" fontId="29" fillId="0" borderId="29" xfId="0" applyFont="1" applyBorder="1" applyAlignment="1">
      <alignment horizontal="center" vertical="distributed"/>
    </xf>
    <xf numFmtId="0" fontId="29" fillId="0" borderId="31" xfId="0" applyFont="1" applyBorder="1" applyAlignment="1">
      <alignment horizontal="center" vertical="distributed"/>
    </xf>
    <xf numFmtId="0" fontId="46" fillId="0" borderId="19" xfId="0" applyFont="1" applyBorder="1" applyAlignment="1">
      <alignment horizontal="left" vertical="distributed"/>
    </xf>
    <xf numFmtId="0" fontId="46" fillId="0" borderId="29" xfId="0" applyFont="1" applyBorder="1" applyAlignment="1">
      <alignment horizontal="left" vertical="distributed"/>
    </xf>
    <xf numFmtId="0" fontId="46" fillId="0" borderId="31" xfId="0" applyFont="1" applyBorder="1" applyAlignment="1">
      <alignment horizontal="left" vertical="distributed"/>
    </xf>
    <xf numFmtId="0" fontId="47" fillId="0" borderId="35" xfId="0" applyFont="1" applyBorder="1" applyAlignment="1">
      <alignment horizontal="left" vertical="center" wrapText="1"/>
    </xf>
    <xf numFmtId="0" fontId="47" fillId="0" borderId="36" xfId="0" applyFont="1" applyBorder="1" applyAlignment="1">
      <alignment horizontal="left" vertical="center" wrapText="1"/>
    </xf>
    <xf numFmtId="0" fontId="47" fillId="0" borderId="37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distributed"/>
    </xf>
    <xf numFmtId="0" fontId="53" fillId="0" borderId="19" xfId="0" applyFont="1" applyBorder="1" applyAlignment="1">
      <alignment horizontal="left" vertical="distributed"/>
    </xf>
    <xf numFmtId="0" fontId="53" fillId="0" borderId="29" xfId="0" applyFont="1" applyBorder="1" applyAlignment="1">
      <alignment horizontal="left" vertical="distributed"/>
    </xf>
    <xf numFmtId="0" fontId="53" fillId="0" borderId="31" xfId="0" applyFont="1" applyBorder="1" applyAlignment="1">
      <alignment horizontal="left" vertical="distributed"/>
    </xf>
    <xf numFmtId="0" fontId="6" fillId="0" borderId="8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56" fillId="0" borderId="19" xfId="0" applyFont="1" applyFill="1" applyBorder="1" applyAlignment="1">
      <alignment horizontal="left" vertical="center" wrapText="1"/>
    </xf>
    <xf numFmtId="0" fontId="56" fillId="0" borderId="29" xfId="0" applyFont="1" applyFill="1" applyBorder="1" applyAlignment="1">
      <alignment horizontal="left" vertical="center" wrapText="1"/>
    </xf>
    <xf numFmtId="0" fontId="56" fillId="0" borderId="31" xfId="0" applyFont="1" applyFill="1" applyBorder="1" applyAlignment="1">
      <alignment horizontal="left" vertical="center" wrapText="1"/>
    </xf>
    <xf numFmtId="0" fontId="56" fillId="0" borderId="42" xfId="0" applyFont="1" applyFill="1" applyBorder="1" applyAlignment="1">
      <alignment horizontal="left" vertical="distributed"/>
    </xf>
    <xf numFmtId="0" fontId="56" fillId="0" borderId="36" xfId="0" applyFont="1" applyFill="1" applyBorder="1" applyAlignment="1">
      <alignment horizontal="left" vertical="distributed"/>
    </xf>
    <xf numFmtId="0" fontId="56" fillId="0" borderId="43" xfId="0" applyFont="1" applyFill="1" applyBorder="1" applyAlignment="1">
      <alignment horizontal="left" vertical="distributed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3300"/>
      <color rgb="FFCCFFFF"/>
      <color rgb="FF0000FF"/>
      <color rgb="FF99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s-ES"/>
              <a:t>El fármaco sólo perjudica a "1 paciente", sobre los demás no ejerce ningún perjuicio.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Permancecerán sanos sin tomar el fármaco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ED-480D-A241-385B97B2D326}"/>
                </c:ext>
              </c:extLst>
            </c:dLbl>
            <c:dLbl>
              <c:idx val="1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ED-480D-A241-385B97B2D326}"/>
                </c:ext>
              </c:extLst>
            </c:dLbl>
            <c:dLbl>
              <c:idx val="2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ED-480D-A241-385B97B2D326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3"/>
            </c:numLit>
          </c:val>
          <c:extLst>
            <c:ext xmlns:c16="http://schemas.microsoft.com/office/drawing/2014/chart" uri="{C3380CC4-5D6E-409C-BE32-E72D297353CC}">
              <c16:uniqueId val="{00000003-2BED-480D-A241-385B97B2D326}"/>
            </c:ext>
          </c:extLst>
        </c:ser>
        <c:ser>
          <c:idx val="1"/>
          <c:order val="1"/>
          <c:tx>
            <c:v>Enfermarán por tomar el fármaco</c:v>
          </c:tx>
          <c:spPr>
            <a:solidFill>
              <a:srgbClr val="FF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ED-480D-A241-385B97B2D326}"/>
                </c:ext>
              </c:extLst>
            </c:dLbl>
            <c:dLbl>
              <c:idx val="1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ED-480D-A241-385B97B2D326}"/>
                </c:ext>
              </c:extLst>
            </c:dLbl>
            <c:dLbl>
              <c:idx val="2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ED-480D-A241-385B97B2D326}"/>
                </c:ext>
              </c:extLst>
            </c:dLbl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3"/>
              <c:pt idx="0">
                <c:v>527.59312018571268</c:v>
              </c:pt>
              <c:pt idx="1">
                <c:v>365.25677551318574</c:v>
              </c:pt>
              <c:pt idx="2">
                <c:v>1187.0845204178536</c:v>
              </c:pt>
            </c:numLit>
          </c:val>
          <c:extLst>
            <c:ext xmlns:c16="http://schemas.microsoft.com/office/drawing/2014/chart" uri="{C3380CC4-5D6E-409C-BE32-E72D297353CC}">
              <c16:uniqueId val="{00000007-2BED-480D-A241-385B97B2D326}"/>
            </c:ext>
          </c:extLst>
        </c:ser>
        <c:ser>
          <c:idx val="2"/>
          <c:order val="2"/>
          <c:tx>
            <c:v>Enfermarán incluso sin tomar el fármaco</c:v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ED-480D-A241-385B97B2D326}"/>
                </c:ext>
              </c:extLst>
            </c:dLbl>
            <c:dLbl>
              <c:idx val="1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ED-480D-A241-385B97B2D326}"/>
                </c:ext>
              </c:extLst>
            </c:dLbl>
            <c:dLbl>
              <c:idx val="2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BED-480D-A241-385B97B2D326}"/>
                </c:ext>
              </c:extLst>
            </c:dLbl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3"/>
              <c:pt idx="0">
                <c:v>524.88941648200898</c:v>
              </c:pt>
              <c:pt idx="1">
                <c:v>363.6926729490832</c:v>
              </c:pt>
              <c:pt idx="2">
                <c:v>1179.7511870845203</c:v>
              </c:pt>
            </c:numLit>
          </c:val>
          <c:extLst>
            <c:ext xmlns:c16="http://schemas.microsoft.com/office/drawing/2014/chart" uri="{C3380CC4-5D6E-409C-BE32-E72D297353CC}">
              <c16:uniqueId val="{0000000B-2BED-480D-A241-385B97B2D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6384399"/>
        <c:axId val="1"/>
      </c:barChart>
      <c:catAx>
        <c:axId val="17963843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NND: el 1 es el la estimación puntual. El 2 y el 3 son los límites del IC 95%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Nº de pacientes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79638439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s-ES"/>
              <a:t>El fármaco sólo perjudica a "1 paciente", sobre los demás no ejerce ningún perjuicio.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Permancecerán sanos sin tomar el fármaco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E0-45FD-8EDF-F3C41861AD6A}"/>
                </c:ext>
              </c:extLst>
            </c:dLbl>
            <c:dLbl>
              <c:idx val="1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E0-45FD-8EDF-F3C41861AD6A}"/>
                </c:ext>
              </c:extLst>
            </c:dLbl>
            <c:dLbl>
              <c:idx val="2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E0-45FD-8EDF-F3C41861AD6A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3"/>
              <c:pt idx="0">
                <c:v>45.636316064887517</c:v>
              </c:pt>
              <c:pt idx="1">
                <c:v>31.540637307554604</c:v>
              </c:pt>
              <c:pt idx="2">
                <c:v>97.712018140589635</c:v>
              </c:pt>
            </c:numLit>
          </c:val>
          <c:extLst>
            <c:ext xmlns:c16="http://schemas.microsoft.com/office/drawing/2014/chart" uri="{C3380CC4-5D6E-409C-BE32-E72D297353CC}">
              <c16:uniqueId val="{00000003-57E0-45FD-8EDF-F3C41861AD6A}"/>
            </c:ext>
          </c:extLst>
        </c:ser>
        <c:ser>
          <c:idx val="1"/>
          <c:order val="1"/>
          <c:tx>
            <c:v>Enfermarán por tomar el fármaco</c:v>
          </c:tx>
          <c:spPr>
            <a:solidFill>
              <a:srgbClr val="FF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E0-45FD-8EDF-F3C41861AD6A}"/>
                </c:ext>
              </c:extLst>
            </c:dLbl>
            <c:dLbl>
              <c:idx val="1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E0-45FD-8EDF-F3C41861AD6A}"/>
                </c:ext>
              </c:extLst>
            </c:dLbl>
            <c:dLbl>
              <c:idx val="2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E0-45FD-8EDF-F3C41861AD6A}"/>
                </c:ext>
              </c:extLst>
            </c:dLbl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7-57E0-45FD-8EDF-F3C41861AD6A}"/>
            </c:ext>
          </c:extLst>
        </c:ser>
        <c:ser>
          <c:idx val="2"/>
          <c:order val="2"/>
          <c:tx>
            <c:v>Enfermarán incluso sin tomar el fármaco</c:v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E0-45FD-8EDF-F3C41861AD6A}"/>
                </c:ext>
              </c:extLst>
            </c:dLbl>
            <c:dLbl>
              <c:idx val="1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E0-45FD-8EDF-F3C41861AD6A}"/>
                </c:ext>
              </c:extLst>
            </c:dLbl>
            <c:dLbl>
              <c:idx val="2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7E0-45FD-8EDF-F3C41861AD6A}"/>
                </c:ext>
              </c:extLst>
            </c:dLbl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3"/>
              <c:pt idx="0">
                <c:v>7.6923076923076961</c:v>
              </c:pt>
              <c:pt idx="1">
                <c:v>5.2631578947368425</c:v>
              </c:pt>
              <c:pt idx="2">
                <c:v>16.666666666666675</c:v>
              </c:pt>
            </c:numLit>
          </c:val>
          <c:extLst>
            <c:ext xmlns:c16="http://schemas.microsoft.com/office/drawing/2014/chart" uri="{C3380CC4-5D6E-409C-BE32-E72D297353CC}">
              <c16:uniqueId val="{0000000B-57E0-45FD-8EDF-F3C41861A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0354799"/>
        <c:axId val="1"/>
      </c:barChart>
      <c:catAx>
        <c:axId val="17203547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NND: el 1 es el la estimación puntual. El 2 y el 3 son los límites del IC 95%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Nº de pacientes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72035479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90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" name="Line 48">
          <a:extLst>
            <a:ext uri="{FF2B5EF4-FFF2-40B4-BE49-F238E27FC236}">
              <a16:creationId xmlns:a16="http://schemas.microsoft.com/office/drawing/2014/main" id="{4E453401-931F-4A47-805B-1DBC8E373375}"/>
            </a:ext>
          </a:extLst>
        </xdr:cNvPr>
        <xdr:cNvSpPr>
          <a:spLocks noChangeShapeType="1"/>
        </xdr:cNvSpPr>
      </xdr:nvSpPr>
      <xdr:spPr bwMode="auto">
        <a:xfrm>
          <a:off x="3057525" y="9715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3" name="Line 48">
          <a:extLst>
            <a:ext uri="{FF2B5EF4-FFF2-40B4-BE49-F238E27FC236}">
              <a16:creationId xmlns:a16="http://schemas.microsoft.com/office/drawing/2014/main" id="{0BE14358-C42E-4468-9AFF-D60FAF2B6613}"/>
            </a:ext>
          </a:extLst>
        </xdr:cNvPr>
        <xdr:cNvSpPr>
          <a:spLocks noChangeShapeType="1"/>
        </xdr:cNvSpPr>
      </xdr:nvSpPr>
      <xdr:spPr bwMode="auto">
        <a:xfrm>
          <a:off x="3057525" y="9715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5</xdr:row>
      <xdr:rowOff>209550</xdr:rowOff>
    </xdr:from>
    <xdr:to>
      <xdr:col>25</xdr:col>
      <xdr:colOff>581025</xdr:colOff>
      <xdr:row>25</xdr:row>
      <xdr:rowOff>104775</xdr:rowOff>
    </xdr:to>
    <xdr:graphicFrame macro="">
      <xdr:nvGraphicFramePr>
        <xdr:cNvPr id="2" name="Gráfico 14">
          <a:extLst>
            <a:ext uri="{FF2B5EF4-FFF2-40B4-BE49-F238E27FC236}">
              <a16:creationId xmlns:a16="http://schemas.microsoft.com/office/drawing/2014/main" id="{920B4BB5-9800-4A00-B59A-5A8BC92F8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1219200</xdr:colOff>
      <xdr:row>8</xdr:row>
      <xdr:rowOff>95250</xdr:rowOff>
    </xdr:from>
    <xdr:to>
      <xdr:col>2</xdr:col>
      <xdr:colOff>1009650</xdr:colOff>
      <xdr:row>8</xdr:row>
      <xdr:rowOff>95250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978AE31F-73EE-4444-BCFB-6C72313807B7}"/>
            </a:ext>
          </a:extLst>
        </xdr:cNvPr>
        <xdr:cNvSpPr>
          <a:spLocks noChangeShapeType="1"/>
        </xdr:cNvSpPr>
      </xdr:nvSpPr>
      <xdr:spPr bwMode="auto">
        <a:xfrm>
          <a:off x="1724025" y="185737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180975</xdr:colOff>
      <xdr:row>7</xdr:row>
      <xdr:rowOff>209550</xdr:rowOff>
    </xdr:from>
    <xdr:to>
      <xdr:col>25</xdr:col>
      <xdr:colOff>581025</xdr:colOff>
      <xdr:row>27</xdr:row>
      <xdr:rowOff>104775</xdr:rowOff>
    </xdr:to>
    <xdr:graphicFrame macro="">
      <xdr:nvGraphicFramePr>
        <xdr:cNvPr id="5" name="Gráfico 14">
          <a:extLst>
            <a:ext uri="{FF2B5EF4-FFF2-40B4-BE49-F238E27FC236}">
              <a16:creationId xmlns:a16="http://schemas.microsoft.com/office/drawing/2014/main" id="{D035244C-7808-4DE5-84B9-58E0CE87A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1219200</xdr:colOff>
      <xdr:row>8</xdr:row>
      <xdr:rowOff>95250</xdr:rowOff>
    </xdr:from>
    <xdr:to>
      <xdr:col>2</xdr:col>
      <xdr:colOff>1009650</xdr:colOff>
      <xdr:row>8</xdr:row>
      <xdr:rowOff>95250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692E0DB8-A1B8-454B-9E8A-4F2CE2B04366}"/>
            </a:ext>
          </a:extLst>
        </xdr:cNvPr>
        <xdr:cNvSpPr>
          <a:spLocks noChangeShapeType="1"/>
        </xdr:cNvSpPr>
      </xdr:nvSpPr>
      <xdr:spPr bwMode="auto">
        <a:xfrm>
          <a:off x="1724025" y="2286000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17</xdr:row>
      <xdr:rowOff>123825</xdr:rowOff>
    </xdr:from>
    <xdr:to>
      <xdr:col>1</xdr:col>
      <xdr:colOff>428625</xdr:colOff>
      <xdr:row>23</xdr:row>
      <xdr:rowOff>114300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5318098-9AAE-4EE0-B3A9-7C8FA656E9FA}"/>
            </a:ext>
          </a:extLst>
        </xdr:cNvPr>
        <xdr:cNvSpPr>
          <a:spLocks noChangeShapeType="1"/>
        </xdr:cNvSpPr>
      </xdr:nvSpPr>
      <xdr:spPr bwMode="auto">
        <a:xfrm flipV="1">
          <a:off x="742950" y="3181350"/>
          <a:ext cx="137160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1123950</xdr:colOff>
      <xdr:row>18</xdr:row>
      <xdr:rowOff>161925</xdr:rowOff>
    </xdr:from>
    <xdr:to>
      <xdr:col>7</xdr:col>
      <xdr:colOff>323850</xdr:colOff>
      <xdr:row>24</xdr:row>
      <xdr:rowOff>38100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D224AA0-EEB6-42DD-B052-121EA918858D}"/>
            </a:ext>
          </a:extLst>
        </xdr:cNvPr>
        <xdr:cNvSpPr>
          <a:spLocks noChangeShapeType="1"/>
        </xdr:cNvSpPr>
      </xdr:nvSpPr>
      <xdr:spPr bwMode="auto">
        <a:xfrm flipH="1" flipV="1">
          <a:off x="2809875" y="3409950"/>
          <a:ext cx="3695700" cy="952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</xdr:row>
      <xdr:rowOff>161925</xdr:rowOff>
    </xdr:from>
    <xdr:to>
      <xdr:col>7</xdr:col>
      <xdr:colOff>104775</xdr:colOff>
      <xdr:row>14</xdr:row>
      <xdr:rowOff>47625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B31DA945-9C54-4F86-987F-D2E77AAAF455}"/>
            </a:ext>
          </a:extLst>
        </xdr:cNvPr>
        <xdr:cNvSpPr>
          <a:spLocks noChangeShapeType="1"/>
        </xdr:cNvSpPr>
      </xdr:nvSpPr>
      <xdr:spPr bwMode="auto">
        <a:xfrm flipH="1">
          <a:off x="2838450" y="1333500"/>
          <a:ext cx="3448050" cy="1200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647700</xdr:colOff>
      <xdr:row>7</xdr:row>
      <xdr:rowOff>180975</xdr:rowOff>
    </xdr:from>
    <xdr:to>
      <xdr:col>1</xdr:col>
      <xdr:colOff>685800</xdr:colOff>
      <xdr:row>15</xdr:row>
      <xdr:rowOff>95250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EF5308BB-9B43-41D7-9D1E-6924010276AD}"/>
            </a:ext>
          </a:extLst>
        </xdr:cNvPr>
        <xdr:cNvSpPr>
          <a:spLocks noChangeShapeType="1"/>
        </xdr:cNvSpPr>
      </xdr:nvSpPr>
      <xdr:spPr bwMode="auto">
        <a:xfrm>
          <a:off x="2333625" y="1771650"/>
          <a:ext cx="381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16</xdr:row>
      <xdr:rowOff>123825</xdr:rowOff>
    </xdr:from>
    <xdr:to>
      <xdr:col>1</xdr:col>
      <xdr:colOff>428625</xdr:colOff>
      <xdr:row>22</xdr:row>
      <xdr:rowOff>114300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B46E480-3815-4ED5-BED2-EB0A6937D711}"/>
            </a:ext>
          </a:extLst>
        </xdr:cNvPr>
        <xdr:cNvSpPr>
          <a:spLocks noChangeShapeType="1"/>
        </xdr:cNvSpPr>
      </xdr:nvSpPr>
      <xdr:spPr bwMode="auto">
        <a:xfrm flipV="1">
          <a:off x="742950" y="2981325"/>
          <a:ext cx="1514475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895350</xdr:colOff>
      <xdr:row>17</xdr:row>
      <xdr:rowOff>171450</xdr:rowOff>
    </xdr:from>
    <xdr:to>
      <xdr:col>6</xdr:col>
      <xdr:colOff>819150</xdr:colOff>
      <xdr:row>23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D5AD8ED-761B-4560-9330-D9DC9E107CFE}"/>
            </a:ext>
          </a:extLst>
        </xdr:cNvPr>
        <xdr:cNvSpPr>
          <a:spLocks noChangeShapeType="1"/>
        </xdr:cNvSpPr>
      </xdr:nvSpPr>
      <xdr:spPr bwMode="auto">
        <a:xfrm flipH="1" flipV="1">
          <a:off x="2724150" y="3219450"/>
          <a:ext cx="3400425" cy="1009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933450</xdr:colOff>
      <xdr:row>5</xdr:row>
      <xdr:rowOff>104775</xdr:rowOff>
    </xdr:from>
    <xdr:to>
      <xdr:col>7</xdr:col>
      <xdr:colOff>276225</xdr:colOff>
      <xdr:row>13</xdr:row>
      <xdr:rowOff>47625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409707C3-6651-4566-BE83-BEBE409482E5}"/>
            </a:ext>
          </a:extLst>
        </xdr:cNvPr>
        <xdr:cNvSpPr>
          <a:spLocks noChangeShapeType="1"/>
        </xdr:cNvSpPr>
      </xdr:nvSpPr>
      <xdr:spPr bwMode="auto">
        <a:xfrm flipH="1">
          <a:off x="2762250" y="1209675"/>
          <a:ext cx="3781425" cy="1095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447675</xdr:colOff>
      <xdr:row>7</xdr:row>
      <xdr:rowOff>123825</xdr:rowOff>
    </xdr:from>
    <xdr:to>
      <xdr:col>1</xdr:col>
      <xdr:colOff>447675</xdr:colOff>
      <xdr:row>14</xdr:row>
      <xdr:rowOff>95250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ECF4AB90-D4C3-4E93-BDDD-DDB83CD13B74}"/>
            </a:ext>
          </a:extLst>
        </xdr:cNvPr>
        <xdr:cNvSpPr>
          <a:spLocks noChangeShapeType="1"/>
        </xdr:cNvSpPr>
      </xdr:nvSpPr>
      <xdr:spPr bwMode="auto">
        <a:xfrm flipH="1">
          <a:off x="2276475" y="1647825"/>
          <a:ext cx="0" cy="895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tabSelected="1" zoomScale="110" zoomScaleNormal="110" workbookViewId="0">
      <selection activeCell="B8" sqref="B8"/>
    </sheetView>
  </sheetViews>
  <sheetFormatPr baseColWidth="10" defaultRowHeight="12.75" x14ac:dyDescent="0.2"/>
  <cols>
    <col min="1" max="1" width="20.28515625" style="4" customWidth="1"/>
    <col min="2" max="2" width="26.42578125" style="4" customWidth="1"/>
    <col min="3" max="3" width="22" style="4" customWidth="1"/>
    <col min="4" max="4" width="19.7109375" style="4" customWidth="1"/>
    <col min="5" max="5" width="21.42578125" style="4" customWidth="1"/>
    <col min="6" max="6" width="19.5703125" style="4" customWidth="1"/>
    <col min="7" max="7" width="14.140625" style="4" customWidth="1"/>
    <col min="8" max="8" width="13.140625" style="4" customWidth="1"/>
    <col min="9" max="9" width="14.42578125" style="4" customWidth="1"/>
    <col min="10" max="10" width="16.140625" style="4" customWidth="1"/>
    <col min="11" max="11" width="14.42578125" style="4" customWidth="1"/>
    <col min="12" max="12" width="13.42578125" style="4" customWidth="1"/>
    <col min="13" max="13" width="14.7109375" style="4" customWidth="1"/>
    <col min="14" max="15" width="14.28515625" style="16" customWidth="1"/>
    <col min="16" max="16" width="14" style="4" customWidth="1"/>
    <col min="17" max="17" width="11.5703125" style="4" customWidth="1"/>
    <col min="18" max="18" width="13.85546875" style="4" customWidth="1"/>
    <col min="19" max="19" width="11.42578125" style="4"/>
    <col min="20" max="21" width="11.42578125" style="16"/>
    <col min="22" max="256" width="11.42578125" style="4"/>
    <col min="257" max="257" width="20.28515625" style="4" customWidth="1"/>
    <col min="258" max="258" width="21.7109375" style="4" customWidth="1"/>
    <col min="259" max="259" width="22" style="4" customWidth="1"/>
    <col min="260" max="260" width="17.140625" style="4" customWidth="1"/>
    <col min="261" max="261" width="21.42578125" style="4" customWidth="1"/>
    <col min="262" max="262" width="19.5703125" style="4" customWidth="1"/>
    <col min="263" max="263" width="14.140625" style="4" customWidth="1"/>
    <col min="264" max="264" width="13.140625" style="4" customWidth="1"/>
    <col min="265" max="265" width="14.42578125" style="4" customWidth="1"/>
    <col min="266" max="266" width="16.140625" style="4" customWidth="1"/>
    <col min="267" max="267" width="14.42578125" style="4" customWidth="1"/>
    <col min="268" max="268" width="13.42578125" style="4" customWidth="1"/>
    <col min="269" max="269" width="14.7109375" style="4" customWidth="1"/>
    <col min="270" max="271" width="14.28515625" style="4" customWidth="1"/>
    <col min="272" max="272" width="14" style="4" customWidth="1"/>
    <col min="273" max="273" width="11.5703125" style="4" customWidth="1"/>
    <col min="274" max="274" width="13.85546875" style="4" customWidth="1"/>
    <col min="275" max="512" width="11.42578125" style="4"/>
    <col min="513" max="513" width="20.28515625" style="4" customWidth="1"/>
    <col min="514" max="514" width="21.7109375" style="4" customWidth="1"/>
    <col min="515" max="515" width="22" style="4" customWidth="1"/>
    <col min="516" max="516" width="17.140625" style="4" customWidth="1"/>
    <col min="517" max="517" width="21.42578125" style="4" customWidth="1"/>
    <col min="518" max="518" width="19.5703125" style="4" customWidth="1"/>
    <col min="519" max="519" width="14.140625" style="4" customWidth="1"/>
    <col min="520" max="520" width="13.140625" style="4" customWidth="1"/>
    <col min="521" max="521" width="14.42578125" style="4" customWidth="1"/>
    <col min="522" max="522" width="16.140625" style="4" customWidth="1"/>
    <col min="523" max="523" width="14.42578125" style="4" customWidth="1"/>
    <col min="524" max="524" width="13.42578125" style="4" customWidth="1"/>
    <col min="525" max="525" width="14.7109375" style="4" customWidth="1"/>
    <col min="526" max="527" width="14.28515625" style="4" customWidth="1"/>
    <col min="528" max="528" width="14" style="4" customWidth="1"/>
    <col min="529" max="529" width="11.5703125" style="4" customWidth="1"/>
    <col min="530" max="530" width="13.85546875" style="4" customWidth="1"/>
    <col min="531" max="768" width="11.42578125" style="4"/>
    <col min="769" max="769" width="20.28515625" style="4" customWidth="1"/>
    <col min="770" max="770" width="21.7109375" style="4" customWidth="1"/>
    <col min="771" max="771" width="22" style="4" customWidth="1"/>
    <col min="772" max="772" width="17.140625" style="4" customWidth="1"/>
    <col min="773" max="773" width="21.42578125" style="4" customWidth="1"/>
    <col min="774" max="774" width="19.5703125" style="4" customWidth="1"/>
    <col min="775" max="775" width="14.140625" style="4" customWidth="1"/>
    <col min="776" max="776" width="13.140625" style="4" customWidth="1"/>
    <col min="777" max="777" width="14.42578125" style="4" customWidth="1"/>
    <col min="778" max="778" width="16.140625" style="4" customWidth="1"/>
    <col min="779" max="779" width="14.42578125" style="4" customWidth="1"/>
    <col min="780" max="780" width="13.42578125" style="4" customWidth="1"/>
    <col min="781" max="781" width="14.7109375" style="4" customWidth="1"/>
    <col min="782" max="783" width="14.28515625" style="4" customWidth="1"/>
    <col min="784" max="784" width="14" style="4" customWidth="1"/>
    <col min="785" max="785" width="11.5703125" style="4" customWidth="1"/>
    <col min="786" max="786" width="13.85546875" style="4" customWidth="1"/>
    <col min="787" max="1024" width="11.42578125" style="4"/>
    <col min="1025" max="1025" width="20.28515625" style="4" customWidth="1"/>
    <col min="1026" max="1026" width="21.7109375" style="4" customWidth="1"/>
    <col min="1027" max="1027" width="22" style="4" customWidth="1"/>
    <col min="1028" max="1028" width="17.140625" style="4" customWidth="1"/>
    <col min="1029" max="1029" width="21.42578125" style="4" customWidth="1"/>
    <col min="1030" max="1030" width="19.5703125" style="4" customWidth="1"/>
    <col min="1031" max="1031" width="14.140625" style="4" customWidth="1"/>
    <col min="1032" max="1032" width="13.140625" style="4" customWidth="1"/>
    <col min="1033" max="1033" width="14.42578125" style="4" customWidth="1"/>
    <col min="1034" max="1034" width="16.140625" style="4" customWidth="1"/>
    <col min="1035" max="1035" width="14.42578125" style="4" customWidth="1"/>
    <col min="1036" max="1036" width="13.42578125" style="4" customWidth="1"/>
    <col min="1037" max="1037" width="14.7109375" style="4" customWidth="1"/>
    <col min="1038" max="1039" width="14.28515625" style="4" customWidth="1"/>
    <col min="1040" max="1040" width="14" style="4" customWidth="1"/>
    <col min="1041" max="1041" width="11.5703125" style="4" customWidth="1"/>
    <col min="1042" max="1042" width="13.85546875" style="4" customWidth="1"/>
    <col min="1043" max="1280" width="11.42578125" style="4"/>
    <col min="1281" max="1281" width="20.28515625" style="4" customWidth="1"/>
    <col min="1282" max="1282" width="21.7109375" style="4" customWidth="1"/>
    <col min="1283" max="1283" width="22" style="4" customWidth="1"/>
    <col min="1284" max="1284" width="17.140625" style="4" customWidth="1"/>
    <col min="1285" max="1285" width="21.42578125" style="4" customWidth="1"/>
    <col min="1286" max="1286" width="19.5703125" style="4" customWidth="1"/>
    <col min="1287" max="1287" width="14.140625" style="4" customWidth="1"/>
    <col min="1288" max="1288" width="13.140625" style="4" customWidth="1"/>
    <col min="1289" max="1289" width="14.42578125" style="4" customWidth="1"/>
    <col min="1290" max="1290" width="16.140625" style="4" customWidth="1"/>
    <col min="1291" max="1291" width="14.42578125" style="4" customWidth="1"/>
    <col min="1292" max="1292" width="13.42578125" style="4" customWidth="1"/>
    <col min="1293" max="1293" width="14.7109375" style="4" customWidth="1"/>
    <col min="1294" max="1295" width="14.28515625" style="4" customWidth="1"/>
    <col min="1296" max="1296" width="14" style="4" customWidth="1"/>
    <col min="1297" max="1297" width="11.5703125" style="4" customWidth="1"/>
    <col min="1298" max="1298" width="13.85546875" style="4" customWidth="1"/>
    <col min="1299" max="1536" width="11.42578125" style="4"/>
    <col min="1537" max="1537" width="20.28515625" style="4" customWidth="1"/>
    <col min="1538" max="1538" width="21.7109375" style="4" customWidth="1"/>
    <col min="1539" max="1539" width="22" style="4" customWidth="1"/>
    <col min="1540" max="1540" width="17.140625" style="4" customWidth="1"/>
    <col min="1541" max="1541" width="21.42578125" style="4" customWidth="1"/>
    <col min="1542" max="1542" width="19.5703125" style="4" customWidth="1"/>
    <col min="1543" max="1543" width="14.140625" style="4" customWidth="1"/>
    <col min="1544" max="1544" width="13.140625" style="4" customWidth="1"/>
    <col min="1545" max="1545" width="14.42578125" style="4" customWidth="1"/>
    <col min="1546" max="1546" width="16.140625" style="4" customWidth="1"/>
    <col min="1547" max="1547" width="14.42578125" style="4" customWidth="1"/>
    <col min="1548" max="1548" width="13.42578125" style="4" customWidth="1"/>
    <col min="1549" max="1549" width="14.7109375" style="4" customWidth="1"/>
    <col min="1550" max="1551" width="14.28515625" style="4" customWidth="1"/>
    <col min="1552" max="1552" width="14" style="4" customWidth="1"/>
    <col min="1553" max="1553" width="11.5703125" style="4" customWidth="1"/>
    <col min="1554" max="1554" width="13.85546875" style="4" customWidth="1"/>
    <col min="1555" max="1792" width="11.42578125" style="4"/>
    <col min="1793" max="1793" width="20.28515625" style="4" customWidth="1"/>
    <col min="1794" max="1794" width="21.7109375" style="4" customWidth="1"/>
    <col min="1795" max="1795" width="22" style="4" customWidth="1"/>
    <col min="1796" max="1796" width="17.140625" style="4" customWidth="1"/>
    <col min="1797" max="1797" width="21.42578125" style="4" customWidth="1"/>
    <col min="1798" max="1798" width="19.5703125" style="4" customWidth="1"/>
    <col min="1799" max="1799" width="14.140625" style="4" customWidth="1"/>
    <col min="1800" max="1800" width="13.140625" style="4" customWidth="1"/>
    <col min="1801" max="1801" width="14.42578125" style="4" customWidth="1"/>
    <col min="1802" max="1802" width="16.140625" style="4" customWidth="1"/>
    <col min="1803" max="1803" width="14.42578125" style="4" customWidth="1"/>
    <col min="1804" max="1804" width="13.42578125" style="4" customWidth="1"/>
    <col min="1805" max="1805" width="14.7109375" style="4" customWidth="1"/>
    <col min="1806" max="1807" width="14.28515625" style="4" customWidth="1"/>
    <col min="1808" max="1808" width="14" style="4" customWidth="1"/>
    <col min="1809" max="1809" width="11.5703125" style="4" customWidth="1"/>
    <col min="1810" max="1810" width="13.85546875" style="4" customWidth="1"/>
    <col min="1811" max="2048" width="11.42578125" style="4"/>
    <col min="2049" max="2049" width="20.28515625" style="4" customWidth="1"/>
    <col min="2050" max="2050" width="21.7109375" style="4" customWidth="1"/>
    <col min="2051" max="2051" width="22" style="4" customWidth="1"/>
    <col min="2052" max="2052" width="17.140625" style="4" customWidth="1"/>
    <col min="2053" max="2053" width="21.42578125" style="4" customWidth="1"/>
    <col min="2054" max="2054" width="19.5703125" style="4" customWidth="1"/>
    <col min="2055" max="2055" width="14.140625" style="4" customWidth="1"/>
    <col min="2056" max="2056" width="13.140625" style="4" customWidth="1"/>
    <col min="2057" max="2057" width="14.42578125" style="4" customWidth="1"/>
    <col min="2058" max="2058" width="16.140625" style="4" customWidth="1"/>
    <col min="2059" max="2059" width="14.42578125" style="4" customWidth="1"/>
    <col min="2060" max="2060" width="13.42578125" style="4" customWidth="1"/>
    <col min="2061" max="2061" width="14.7109375" style="4" customWidth="1"/>
    <col min="2062" max="2063" width="14.28515625" style="4" customWidth="1"/>
    <col min="2064" max="2064" width="14" style="4" customWidth="1"/>
    <col min="2065" max="2065" width="11.5703125" style="4" customWidth="1"/>
    <col min="2066" max="2066" width="13.85546875" style="4" customWidth="1"/>
    <col min="2067" max="2304" width="11.42578125" style="4"/>
    <col min="2305" max="2305" width="20.28515625" style="4" customWidth="1"/>
    <col min="2306" max="2306" width="21.7109375" style="4" customWidth="1"/>
    <col min="2307" max="2307" width="22" style="4" customWidth="1"/>
    <col min="2308" max="2308" width="17.140625" style="4" customWidth="1"/>
    <col min="2309" max="2309" width="21.42578125" style="4" customWidth="1"/>
    <col min="2310" max="2310" width="19.5703125" style="4" customWidth="1"/>
    <col min="2311" max="2311" width="14.140625" style="4" customWidth="1"/>
    <col min="2312" max="2312" width="13.140625" style="4" customWidth="1"/>
    <col min="2313" max="2313" width="14.42578125" style="4" customWidth="1"/>
    <col min="2314" max="2314" width="16.140625" style="4" customWidth="1"/>
    <col min="2315" max="2315" width="14.42578125" style="4" customWidth="1"/>
    <col min="2316" max="2316" width="13.42578125" style="4" customWidth="1"/>
    <col min="2317" max="2317" width="14.7109375" style="4" customWidth="1"/>
    <col min="2318" max="2319" width="14.28515625" style="4" customWidth="1"/>
    <col min="2320" max="2320" width="14" style="4" customWidth="1"/>
    <col min="2321" max="2321" width="11.5703125" style="4" customWidth="1"/>
    <col min="2322" max="2322" width="13.85546875" style="4" customWidth="1"/>
    <col min="2323" max="2560" width="11.42578125" style="4"/>
    <col min="2561" max="2561" width="20.28515625" style="4" customWidth="1"/>
    <col min="2562" max="2562" width="21.7109375" style="4" customWidth="1"/>
    <col min="2563" max="2563" width="22" style="4" customWidth="1"/>
    <col min="2564" max="2564" width="17.140625" style="4" customWidth="1"/>
    <col min="2565" max="2565" width="21.42578125" style="4" customWidth="1"/>
    <col min="2566" max="2566" width="19.5703125" style="4" customWidth="1"/>
    <col min="2567" max="2567" width="14.140625" style="4" customWidth="1"/>
    <col min="2568" max="2568" width="13.140625" style="4" customWidth="1"/>
    <col min="2569" max="2569" width="14.42578125" style="4" customWidth="1"/>
    <col min="2570" max="2570" width="16.140625" style="4" customWidth="1"/>
    <col min="2571" max="2571" width="14.42578125" style="4" customWidth="1"/>
    <col min="2572" max="2572" width="13.42578125" style="4" customWidth="1"/>
    <col min="2573" max="2573" width="14.7109375" style="4" customWidth="1"/>
    <col min="2574" max="2575" width="14.28515625" style="4" customWidth="1"/>
    <col min="2576" max="2576" width="14" style="4" customWidth="1"/>
    <col min="2577" max="2577" width="11.5703125" style="4" customWidth="1"/>
    <col min="2578" max="2578" width="13.85546875" style="4" customWidth="1"/>
    <col min="2579" max="2816" width="11.42578125" style="4"/>
    <col min="2817" max="2817" width="20.28515625" style="4" customWidth="1"/>
    <col min="2818" max="2818" width="21.7109375" style="4" customWidth="1"/>
    <col min="2819" max="2819" width="22" style="4" customWidth="1"/>
    <col min="2820" max="2820" width="17.140625" style="4" customWidth="1"/>
    <col min="2821" max="2821" width="21.42578125" style="4" customWidth="1"/>
    <col min="2822" max="2822" width="19.5703125" style="4" customWidth="1"/>
    <col min="2823" max="2823" width="14.140625" style="4" customWidth="1"/>
    <col min="2824" max="2824" width="13.140625" style="4" customWidth="1"/>
    <col min="2825" max="2825" width="14.42578125" style="4" customWidth="1"/>
    <col min="2826" max="2826" width="16.140625" style="4" customWidth="1"/>
    <col min="2827" max="2827" width="14.42578125" style="4" customWidth="1"/>
    <col min="2828" max="2828" width="13.42578125" style="4" customWidth="1"/>
    <col min="2829" max="2829" width="14.7109375" style="4" customWidth="1"/>
    <col min="2830" max="2831" width="14.28515625" style="4" customWidth="1"/>
    <col min="2832" max="2832" width="14" style="4" customWidth="1"/>
    <col min="2833" max="2833" width="11.5703125" style="4" customWidth="1"/>
    <col min="2834" max="2834" width="13.85546875" style="4" customWidth="1"/>
    <col min="2835" max="3072" width="11.42578125" style="4"/>
    <col min="3073" max="3073" width="20.28515625" style="4" customWidth="1"/>
    <col min="3074" max="3074" width="21.7109375" style="4" customWidth="1"/>
    <col min="3075" max="3075" width="22" style="4" customWidth="1"/>
    <col min="3076" max="3076" width="17.140625" style="4" customWidth="1"/>
    <col min="3077" max="3077" width="21.42578125" style="4" customWidth="1"/>
    <col min="3078" max="3078" width="19.5703125" style="4" customWidth="1"/>
    <col min="3079" max="3079" width="14.140625" style="4" customWidth="1"/>
    <col min="3080" max="3080" width="13.140625" style="4" customWidth="1"/>
    <col min="3081" max="3081" width="14.42578125" style="4" customWidth="1"/>
    <col min="3082" max="3082" width="16.140625" style="4" customWidth="1"/>
    <col min="3083" max="3083" width="14.42578125" style="4" customWidth="1"/>
    <col min="3084" max="3084" width="13.42578125" style="4" customWidth="1"/>
    <col min="3085" max="3085" width="14.7109375" style="4" customWidth="1"/>
    <col min="3086" max="3087" width="14.28515625" style="4" customWidth="1"/>
    <col min="3088" max="3088" width="14" style="4" customWidth="1"/>
    <col min="3089" max="3089" width="11.5703125" style="4" customWidth="1"/>
    <col min="3090" max="3090" width="13.85546875" style="4" customWidth="1"/>
    <col min="3091" max="3328" width="11.42578125" style="4"/>
    <col min="3329" max="3329" width="20.28515625" style="4" customWidth="1"/>
    <col min="3330" max="3330" width="21.7109375" style="4" customWidth="1"/>
    <col min="3331" max="3331" width="22" style="4" customWidth="1"/>
    <col min="3332" max="3332" width="17.140625" style="4" customWidth="1"/>
    <col min="3333" max="3333" width="21.42578125" style="4" customWidth="1"/>
    <col min="3334" max="3334" width="19.5703125" style="4" customWidth="1"/>
    <col min="3335" max="3335" width="14.140625" style="4" customWidth="1"/>
    <col min="3336" max="3336" width="13.140625" style="4" customWidth="1"/>
    <col min="3337" max="3337" width="14.42578125" style="4" customWidth="1"/>
    <col min="3338" max="3338" width="16.140625" style="4" customWidth="1"/>
    <col min="3339" max="3339" width="14.42578125" style="4" customWidth="1"/>
    <col min="3340" max="3340" width="13.42578125" style="4" customWidth="1"/>
    <col min="3341" max="3341" width="14.7109375" style="4" customWidth="1"/>
    <col min="3342" max="3343" width="14.28515625" style="4" customWidth="1"/>
    <col min="3344" max="3344" width="14" style="4" customWidth="1"/>
    <col min="3345" max="3345" width="11.5703125" style="4" customWidth="1"/>
    <col min="3346" max="3346" width="13.85546875" style="4" customWidth="1"/>
    <col min="3347" max="3584" width="11.42578125" style="4"/>
    <col min="3585" max="3585" width="20.28515625" style="4" customWidth="1"/>
    <col min="3586" max="3586" width="21.7109375" style="4" customWidth="1"/>
    <col min="3587" max="3587" width="22" style="4" customWidth="1"/>
    <col min="3588" max="3588" width="17.140625" style="4" customWidth="1"/>
    <col min="3589" max="3589" width="21.42578125" style="4" customWidth="1"/>
    <col min="3590" max="3590" width="19.5703125" style="4" customWidth="1"/>
    <col min="3591" max="3591" width="14.140625" style="4" customWidth="1"/>
    <col min="3592" max="3592" width="13.140625" style="4" customWidth="1"/>
    <col min="3593" max="3593" width="14.42578125" style="4" customWidth="1"/>
    <col min="3594" max="3594" width="16.140625" style="4" customWidth="1"/>
    <col min="3595" max="3595" width="14.42578125" style="4" customWidth="1"/>
    <col min="3596" max="3596" width="13.42578125" style="4" customWidth="1"/>
    <col min="3597" max="3597" width="14.7109375" style="4" customWidth="1"/>
    <col min="3598" max="3599" width="14.28515625" style="4" customWidth="1"/>
    <col min="3600" max="3600" width="14" style="4" customWidth="1"/>
    <col min="3601" max="3601" width="11.5703125" style="4" customWidth="1"/>
    <col min="3602" max="3602" width="13.85546875" style="4" customWidth="1"/>
    <col min="3603" max="3840" width="11.42578125" style="4"/>
    <col min="3841" max="3841" width="20.28515625" style="4" customWidth="1"/>
    <col min="3842" max="3842" width="21.7109375" style="4" customWidth="1"/>
    <col min="3843" max="3843" width="22" style="4" customWidth="1"/>
    <col min="3844" max="3844" width="17.140625" style="4" customWidth="1"/>
    <col min="3845" max="3845" width="21.42578125" style="4" customWidth="1"/>
    <col min="3846" max="3846" width="19.5703125" style="4" customWidth="1"/>
    <col min="3847" max="3847" width="14.140625" style="4" customWidth="1"/>
    <col min="3848" max="3848" width="13.140625" style="4" customWidth="1"/>
    <col min="3849" max="3849" width="14.42578125" style="4" customWidth="1"/>
    <col min="3850" max="3850" width="16.140625" style="4" customWidth="1"/>
    <col min="3851" max="3851" width="14.42578125" style="4" customWidth="1"/>
    <col min="3852" max="3852" width="13.42578125" style="4" customWidth="1"/>
    <col min="3853" max="3853" width="14.7109375" style="4" customWidth="1"/>
    <col min="3854" max="3855" width="14.28515625" style="4" customWidth="1"/>
    <col min="3856" max="3856" width="14" style="4" customWidth="1"/>
    <col min="3857" max="3857" width="11.5703125" style="4" customWidth="1"/>
    <col min="3858" max="3858" width="13.85546875" style="4" customWidth="1"/>
    <col min="3859" max="4096" width="11.42578125" style="4"/>
    <col min="4097" max="4097" width="20.28515625" style="4" customWidth="1"/>
    <col min="4098" max="4098" width="21.7109375" style="4" customWidth="1"/>
    <col min="4099" max="4099" width="22" style="4" customWidth="1"/>
    <col min="4100" max="4100" width="17.140625" style="4" customWidth="1"/>
    <col min="4101" max="4101" width="21.42578125" style="4" customWidth="1"/>
    <col min="4102" max="4102" width="19.5703125" style="4" customWidth="1"/>
    <col min="4103" max="4103" width="14.140625" style="4" customWidth="1"/>
    <col min="4104" max="4104" width="13.140625" style="4" customWidth="1"/>
    <col min="4105" max="4105" width="14.42578125" style="4" customWidth="1"/>
    <col min="4106" max="4106" width="16.140625" style="4" customWidth="1"/>
    <col min="4107" max="4107" width="14.42578125" style="4" customWidth="1"/>
    <col min="4108" max="4108" width="13.42578125" style="4" customWidth="1"/>
    <col min="4109" max="4109" width="14.7109375" style="4" customWidth="1"/>
    <col min="4110" max="4111" width="14.28515625" style="4" customWidth="1"/>
    <col min="4112" max="4112" width="14" style="4" customWidth="1"/>
    <col min="4113" max="4113" width="11.5703125" style="4" customWidth="1"/>
    <col min="4114" max="4114" width="13.85546875" style="4" customWidth="1"/>
    <col min="4115" max="4352" width="11.42578125" style="4"/>
    <col min="4353" max="4353" width="20.28515625" style="4" customWidth="1"/>
    <col min="4354" max="4354" width="21.7109375" style="4" customWidth="1"/>
    <col min="4355" max="4355" width="22" style="4" customWidth="1"/>
    <col min="4356" max="4356" width="17.140625" style="4" customWidth="1"/>
    <col min="4357" max="4357" width="21.42578125" style="4" customWidth="1"/>
    <col min="4358" max="4358" width="19.5703125" style="4" customWidth="1"/>
    <col min="4359" max="4359" width="14.140625" style="4" customWidth="1"/>
    <col min="4360" max="4360" width="13.140625" style="4" customWidth="1"/>
    <col min="4361" max="4361" width="14.42578125" style="4" customWidth="1"/>
    <col min="4362" max="4362" width="16.140625" style="4" customWidth="1"/>
    <col min="4363" max="4363" width="14.42578125" style="4" customWidth="1"/>
    <col min="4364" max="4364" width="13.42578125" style="4" customWidth="1"/>
    <col min="4365" max="4365" width="14.7109375" style="4" customWidth="1"/>
    <col min="4366" max="4367" width="14.28515625" style="4" customWidth="1"/>
    <col min="4368" max="4368" width="14" style="4" customWidth="1"/>
    <col min="4369" max="4369" width="11.5703125" style="4" customWidth="1"/>
    <col min="4370" max="4370" width="13.85546875" style="4" customWidth="1"/>
    <col min="4371" max="4608" width="11.42578125" style="4"/>
    <col min="4609" max="4609" width="20.28515625" style="4" customWidth="1"/>
    <col min="4610" max="4610" width="21.7109375" style="4" customWidth="1"/>
    <col min="4611" max="4611" width="22" style="4" customWidth="1"/>
    <col min="4612" max="4612" width="17.140625" style="4" customWidth="1"/>
    <col min="4613" max="4613" width="21.42578125" style="4" customWidth="1"/>
    <col min="4614" max="4614" width="19.5703125" style="4" customWidth="1"/>
    <col min="4615" max="4615" width="14.140625" style="4" customWidth="1"/>
    <col min="4616" max="4616" width="13.140625" style="4" customWidth="1"/>
    <col min="4617" max="4617" width="14.42578125" style="4" customWidth="1"/>
    <col min="4618" max="4618" width="16.140625" style="4" customWidth="1"/>
    <col min="4619" max="4619" width="14.42578125" style="4" customWidth="1"/>
    <col min="4620" max="4620" width="13.42578125" style="4" customWidth="1"/>
    <col min="4621" max="4621" width="14.7109375" style="4" customWidth="1"/>
    <col min="4622" max="4623" width="14.28515625" style="4" customWidth="1"/>
    <col min="4624" max="4624" width="14" style="4" customWidth="1"/>
    <col min="4625" max="4625" width="11.5703125" style="4" customWidth="1"/>
    <col min="4626" max="4626" width="13.85546875" style="4" customWidth="1"/>
    <col min="4627" max="4864" width="11.42578125" style="4"/>
    <col min="4865" max="4865" width="20.28515625" style="4" customWidth="1"/>
    <col min="4866" max="4866" width="21.7109375" style="4" customWidth="1"/>
    <col min="4867" max="4867" width="22" style="4" customWidth="1"/>
    <col min="4868" max="4868" width="17.140625" style="4" customWidth="1"/>
    <col min="4869" max="4869" width="21.42578125" style="4" customWidth="1"/>
    <col min="4870" max="4870" width="19.5703125" style="4" customWidth="1"/>
    <col min="4871" max="4871" width="14.140625" style="4" customWidth="1"/>
    <col min="4872" max="4872" width="13.140625" style="4" customWidth="1"/>
    <col min="4873" max="4873" width="14.42578125" style="4" customWidth="1"/>
    <col min="4874" max="4874" width="16.140625" style="4" customWidth="1"/>
    <col min="4875" max="4875" width="14.42578125" style="4" customWidth="1"/>
    <col min="4876" max="4876" width="13.42578125" style="4" customWidth="1"/>
    <col min="4877" max="4877" width="14.7109375" style="4" customWidth="1"/>
    <col min="4878" max="4879" width="14.28515625" style="4" customWidth="1"/>
    <col min="4880" max="4880" width="14" style="4" customWidth="1"/>
    <col min="4881" max="4881" width="11.5703125" style="4" customWidth="1"/>
    <col min="4882" max="4882" width="13.85546875" style="4" customWidth="1"/>
    <col min="4883" max="5120" width="11.42578125" style="4"/>
    <col min="5121" max="5121" width="20.28515625" style="4" customWidth="1"/>
    <col min="5122" max="5122" width="21.7109375" style="4" customWidth="1"/>
    <col min="5123" max="5123" width="22" style="4" customWidth="1"/>
    <col min="5124" max="5124" width="17.140625" style="4" customWidth="1"/>
    <col min="5125" max="5125" width="21.42578125" style="4" customWidth="1"/>
    <col min="5126" max="5126" width="19.5703125" style="4" customWidth="1"/>
    <col min="5127" max="5127" width="14.140625" style="4" customWidth="1"/>
    <col min="5128" max="5128" width="13.140625" style="4" customWidth="1"/>
    <col min="5129" max="5129" width="14.42578125" style="4" customWidth="1"/>
    <col min="5130" max="5130" width="16.140625" style="4" customWidth="1"/>
    <col min="5131" max="5131" width="14.42578125" style="4" customWidth="1"/>
    <col min="5132" max="5132" width="13.42578125" style="4" customWidth="1"/>
    <col min="5133" max="5133" width="14.7109375" style="4" customWidth="1"/>
    <col min="5134" max="5135" width="14.28515625" style="4" customWidth="1"/>
    <col min="5136" max="5136" width="14" style="4" customWidth="1"/>
    <col min="5137" max="5137" width="11.5703125" style="4" customWidth="1"/>
    <col min="5138" max="5138" width="13.85546875" style="4" customWidth="1"/>
    <col min="5139" max="5376" width="11.42578125" style="4"/>
    <col min="5377" max="5377" width="20.28515625" style="4" customWidth="1"/>
    <col min="5378" max="5378" width="21.7109375" style="4" customWidth="1"/>
    <col min="5379" max="5379" width="22" style="4" customWidth="1"/>
    <col min="5380" max="5380" width="17.140625" style="4" customWidth="1"/>
    <col min="5381" max="5381" width="21.42578125" style="4" customWidth="1"/>
    <col min="5382" max="5382" width="19.5703125" style="4" customWidth="1"/>
    <col min="5383" max="5383" width="14.140625" style="4" customWidth="1"/>
    <col min="5384" max="5384" width="13.140625" style="4" customWidth="1"/>
    <col min="5385" max="5385" width="14.42578125" style="4" customWidth="1"/>
    <col min="5386" max="5386" width="16.140625" style="4" customWidth="1"/>
    <col min="5387" max="5387" width="14.42578125" style="4" customWidth="1"/>
    <col min="5388" max="5388" width="13.42578125" style="4" customWidth="1"/>
    <col min="5389" max="5389" width="14.7109375" style="4" customWidth="1"/>
    <col min="5390" max="5391" width="14.28515625" style="4" customWidth="1"/>
    <col min="5392" max="5392" width="14" style="4" customWidth="1"/>
    <col min="5393" max="5393" width="11.5703125" style="4" customWidth="1"/>
    <col min="5394" max="5394" width="13.85546875" style="4" customWidth="1"/>
    <col min="5395" max="5632" width="11.42578125" style="4"/>
    <col min="5633" max="5633" width="20.28515625" style="4" customWidth="1"/>
    <col min="5634" max="5634" width="21.7109375" style="4" customWidth="1"/>
    <col min="5635" max="5635" width="22" style="4" customWidth="1"/>
    <col min="5636" max="5636" width="17.140625" style="4" customWidth="1"/>
    <col min="5637" max="5637" width="21.42578125" style="4" customWidth="1"/>
    <col min="5638" max="5638" width="19.5703125" style="4" customWidth="1"/>
    <col min="5639" max="5639" width="14.140625" style="4" customWidth="1"/>
    <col min="5640" max="5640" width="13.140625" style="4" customWidth="1"/>
    <col min="5641" max="5641" width="14.42578125" style="4" customWidth="1"/>
    <col min="5642" max="5642" width="16.140625" style="4" customWidth="1"/>
    <col min="5643" max="5643" width="14.42578125" style="4" customWidth="1"/>
    <col min="5644" max="5644" width="13.42578125" style="4" customWidth="1"/>
    <col min="5645" max="5645" width="14.7109375" style="4" customWidth="1"/>
    <col min="5646" max="5647" width="14.28515625" style="4" customWidth="1"/>
    <col min="5648" max="5648" width="14" style="4" customWidth="1"/>
    <col min="5649" max="5649" width="11.5703125" style="4" customWidth="1"/>
    <col min="5650" max="5650" width="13.85546875" style="4" customWidth="1"/>
    <col min="5651" max="5888" width="11.42578125" style="4"/>
    <col min="5889" max="5889" width="20.28515625" style="4" customWidth="1"/>
    <col min="5890" max="5890" width="21.7109375" style="4" customWidth="1"/>
    <col min="5891" max="5891" width="22" style="4" customWidth="1"/>
    <col min="5892" max="5892" width="17.140625" style="4" customWidth="1"/>
    <col min="5893" max="5893" width="21.42578125" style="4" customWidth="1"/>
    <col min="5894" max="5894" width="19.5703125" style="4" customWidth="1"/>
    <col min="5895" max="5895" width="14.140625" style="4" customWidth="1"/>
    <col min="5896" max="5896" width="13.140625" style="4" customWidth="1"/>
    <col min="5897" max="5897" width="14.42578125" style="4" customWidth="1"/>
    <col min="5898" max="5898" width="16.140625" style="4" customWidth="1"/>
    <col min="5899" max="5899" width="14.42578125" style="4" customWidth="1"/>
    <col min="5900" max="5900" width="13.42578125" style="4" customWidth="1"/>
    <col min="5901" max="5901" width="14.7109375" style="4" customWidth="1"/>
    <col min="5902" max="5903" width="14.28515625" style="4" customWidth="1"/>
    <col min="5904" max="5904" width="14" style="4" customWidth="1"/>
    <col min="5905" max="5905" width="11.5703125" style="4" customWidth="1"/>
    <col min="5906" max="5906" width="13.85546875" style="4" customWidth="1"/>
    <col min="5907" max="6144" width="11.42578125" style="4"/>
    <col min="6145" max="6145" width="20.28515625" style="4" customWidth="1"/>
    <col min="6146" max="6146" width="21.7109375" style="4" customWidth="1"/>
    <col min="6147" max="6147" width="22" style="4" customWidth="1"/>
    <col min="6148" max="6148" width="17.140625" style="4" customWidth="1"/>
    <col min="6149" max="6149" width="21.42578125" style="4" customWidth="1"/>
    <col min="6150" max="6150" width="19.5703125" style="4" customWidth="1"/>
    <col min="6151" max="6151" width="14.140625" style="4" customWidth="1"/>
    <col min="6152" max="6152" width="13.140625" style="4" customWidth="1"/>
    <col min="6153" max="6153" width="14.42578125" style="4" customWidth="1"/>
    <col min="6154" max="6154" width="16.140625" style="4" customWidth="1"/>
    <col min="6155" max="6155" width="14.42578125" style="4" customWidth="1"/>
    <col min="6156" max="6156" width="13.42578125" style="4" customWidth="1"/>
    <col min="6157" max="6157" width="14.7109375" style="4" customWidth="1"/>
    <col min="6158" max="6159" width="14.28515625" style="4" customWidth="1"/>
    <col min="6160" max="6160" width="14" style="4" customWidth="1"/>
    <col min="6161" max="6161" width="11.5703125" style="4" customWidth="1"/>
    <col min="6162" max="6162" width="13.85546875" style="4" customWidth="1"/>
    <col min="6163" max="6400" width="11.42578125" style="4"/>
    <col min="6401" max="6401" width="20.28515625" style="4" customWidth="1"/>
    <col min="6402" max="6402" width="21.7109375" style="4" customWidth="1"/>
    <col min="6403" max="6403" width="22" style="4" customWidth="1"/>
    <col min="6404" max="6404" width="17.140625" style="4" customWidth="1"/>
    <col min="6405" max="6405" width="21.42578125" style="4" customWidth="1"/>
    <col min="6406" max="6406" width="19.5703125" style="4" customWidth="1"/>
    <col min="6407" max="6407" width="14.140625" style="4" customWidth="1"/>
    <col min="6408" max="6408" width="13.140625" style="4" customWidth="1"/>
    <col min="6409" max="6409" width="14.42578125" style="4" customWidth="1"/>
    <col min="6410" max="6410" width="16.140625" style="4" customWidth="1"/>
    <col min="6411" max="6411" width="14.42578125" style="4" customWidth="1"/>
    <col min="6412" max="6412" width="13.42578125" style="4" customWidth="1"/>
    <col min="6413" max="6413" width="14.7109375" style="4" customWidth="1"/>
    <col min="6414" max="6415" width="14.28515625" style="4" customWidth="1"/>
    <col min="6416" max="6416" width="14" style="4" customWidth="1"/>
    <col min="6417" max="6417" width="11.5703125" style="4" customWidth="1"/>
    <col min="6418" max="6418" width="13.85546875" style="4" customWidth="1"/>
    <col min="6419" max="6656" width="11.42578125" style="4"/>
    <col min="6657" max="6657" width="20.28515625" style="4" customWidth="1"/>
    <col min="6658" max="6658" width="21.7109375" style="4" customWidth="1"/>
    <col min="6659" max="6659" width="22" style="4" customWidth="1"/>
    <col min="6660" max="6660" width="17.140625" style="4" customWidth="1"/>
    <col min="6661" max="6661" width="21.42578125" style="4" customWidth="1"/>
    <col min="6662" max="6662" width="19.5703125" style="4" customWidth="1"/>
    <col min="6663" max="6663" width="14.140625" style="4" customWidth="1"/>
    <col min="6664" max="6664" width="13.140625" style="4" customWidth="1"/>
    <col min="6665" max="6665" width="14.42578125" style="4" customWidth="1"/>
    <col min="6666" max="6666" width="16.140625" style="4" customWidth="1"/>
    <col min="6667" max="6667" width="14.42578125" style="4" customWidth="1"/>
    <col min="6668" max="6668" width="13.42578125" style="4" customWidth="1"/>
    <col min="6669" max="6669" width="14.7109375" style="4" customWidth="1"/>
    <col min="6670" max="6671" width="14.28515625" style="4" customWidth="1"/>
    <col min="6672" max="6672" width="14" style="4" customWidth="1"/>
    <col min="6673" max="6673" width="11.5703125" style="4" customWidth="1"/>
    <col min="6674" max="6674" width="13.85546875" style="4" customWidth="1"/>
    <col min="6675" max="6912" width="11.42578125" style="4"/>
    <col min="6913" max="6913" width="20.28515625" style="4" customWidth="1"/>
    <col min="6914" max="6914" width="21.7109375" style="4" customWidth="1"/>
    <col min="6915" max="6915" width="22" style="4" customWidth="1"/>
    <col min="6916" max="6916" width="17.140625" style="4" customWidth="1"/>
    <col min="6917" max="6917" width="21.42578125" style="4" customWidth="1"/>
    <col min="6918" max="6918" width="19.5703125" style="4" customWidth="1"/>
    <col min="6919" max="6919" width="14.140625" style="4" customWidth="1"/>
    <col min="6920" max="6920" width="13.140625" style="4" customWidth="1"/>
    <col min="6921" max="6921" width="14.42578125" style="4" customWidth="1"/>
    <col min="6922" max="6922" width="16.140625" style="4" customWidth="1"/>
    <col min="6923" max="6923" width="14.42578125" style="4" customWidth="1"/>
    <col min="6924" max="6924" width="13.42578125" style="4" customWidth="1"/>
    <col min="6925" max="6925" width="14.7109375" style="4" customWidth="1"/>
    <col min="6926" max="6927" width="14.28515625" style="4" customWidth="1"/>
    <col min="6928" max="6928" width="14" style="4" customWidth="1"/>
    <col min="6929" max="6929" width="11.5703125" style="4" customWidth="1"/>
    <col min="6930" max="6930" width="13.85546875" style="4" customWidth="1"/>
    <col min="6931" max="7168" width="11.42578125" style="4"/>
    <col min="7169" max="7169" width="20.28515625" style="4" customWidth="1"/>
    <col min="7170" max="7170" width="21.7109375" style="4" customWidth="1"/>
    <col min="7171" max="7171" width="22" style="4" customWidth="1"/>
    <col min="7172" max="7172" width="17.140625" style="4" customWidth="1"/>
    <col min="7173" max="7173" width="21.42578125" style="4" customWidth="1"/>
    <col min="7174" max="7174" width="19.5703125" style="4" customWidth="1"/>
    <col min="7175" max="7175" width="14.140625" style="4" customWidth="1"/>
    <col min="7176" max="7176" width="13.140625" style="4" customWidth="1"/>
    <col min="7177" max="7177" width="14.42578125" style="4" customWidth="1"/>
    <col min="7178" max="7178" width="16.140625" style="4" customWidth="1"/>
    <col min="7179" max="7179" width="14.42578125" style="4" customWidth="1"/>
    <col min="7180" max="7180" width="13.42578125" style="4" customWidth="1"/>
    <col min="7181" max="7181" width="14.7109375" style="4" customWidth="1"/>
    <col min="7182" max="7183" width="14.28515625" style="4" customWidth="1"/>
    <col min="7184" max="7184" width="14" style="4" customWidth="1"/>
    <col min="7185" max="7185" width="11.5703125" style="4" customWidth="1"/>
    <col min="7186" max="7186" width="13.85546875" style="4" customWidth="1"/>
    <col min="7187" max="7424" width="11.42578125" style="4"/>
    <col min="7425" max="7425" width="20.28515625" style="4" customWidth="1"/>
    <col min="7426" max="7426" width="21.7109375" style="4" customWidth="1"/>
    <col min="7427" max="7427" width="22" style="4" customWidth="1"/>
    <col min="7428" max="7428" width="17.140625" style="4" customWidth="1"/>
    <col min="7429" max="7429" width="21.42578125" style="4" customWidth="1"/>
    <col min="7430" max="7430" width="19.5703125" style="4" customWidth="1"/>
    <col min="7431" max="7431" width="14.140625" style="4" customWidth="1"/>
    <col min="7432" max="7432" width="13.140625" style="4" customWidth="1"/>
    <col min="7433" max="7433" width="14.42578125" style="4" customWidth="1"/>
    <col min="7434" max="7434" width="16.140625" style="4" customWidth="1"/>
    <col min="7435" max="7435" width="14.42578125" style="4" customWidth="1"/>
    <col min="7436" max="7436" width="13.42578125" style="4" customWidth="1"/>
    <col min="7437" max="7437" width="14.7109375" style="4" customWidth="1"/>
    <col min="7438" max="7439" width="14.28515625" style="4" customWidth="1"/>
    <col min="7440" max="7440" width="14" style="4" customWidth="1"/>
    <col min="7441" max="7441" width="11.5703125" style="4" customWidth="1"/>
    <col min="7442" max="7442" width="13.85546875" style="4" customWidth="1"/>
    <col min="7443" max="7680" width="11.42578125" style="4"/>
    <col min="7681" max="7681" width="20.28515625" style="4" customWidth="1"/>
    <col min="7682" max="7682" width="21.7109375" style="4" customWidth="1"/>
    <col min="7683" max="7683" width="22" style="4" customWidth="1"/>
    <col min="7684" max="7684" width="17.140625" style="4" customWidth="1"/>
    <col min="7685" max="7685" width="21.42578125" style="4" customWidth="1"/>
    <col min="7686" max="7686" width="19.5703125" style="4" customWidth="1"/>
    <col min="7687" max="7687" width="14.140625" style="4" customWidth="1"/>
    <col min="7688" max="7688" width="13.140625" style="4" customWidth="1"/>
    <col min="7689" max="7689" width="14.42578125" style="4" customWidth="1"/>
    <col min="7690" max="7690" width="16.140625" style="4" customWidth="1"/>
    <col min="7691" max="7691" width="14.42578125" style="4" customWidth="1"/>
    <col min="7692" max="7692" width="13.42578125" style="4" customWidth="1"/>
    <col min="7693" max="7693" width="14.7109375" style="4" customWidth="1"/>
    <col min="7694" max="7695" width="14.28515625" style="4" customWidth="1"/>
    <col min="7696" max="7696" width="14" style="4" customWidth="1"/>
    <col min="7697" max="7697" width="11.5703125" style="4" customWidth="1"/>
    <col min="7698" max="7698" width="13.85546875" style="4" customWidth="1"/>
    <col min="7699" max="7936" width="11.42578125" style="4"/>
    <col min="7937" max="7937" width="20.28515625" style="4" customWidth="1"/>
    <col min="7938" max="7938" width="21.7109375" style="4" customWidth="1"/>
    <col min="7939" max="7939" width="22" style="4" customWidth="1"/>
    <col min="7940" max="7940" width="17.140625" style="4" customWidth="1"/>
    <col min="7941" max="7941" width="21.42578125" style="4" customWidth="1"/>
    <col min="7942" max="7942" width="19.5703125" style="4" customWidth="1"/>
    <col min="7943" max="7943" width="14.140625" style="4" customWidth="1"/>
    <col min="7944" max="7944" width="13.140625" style="4" customWidth="1"/>
    <col min="7945" max="7945" width="14.42578125" style="4" customWidth="1"/>
    <col min="7946" max="7946" width="16.140625" style="4" customWidth="1"/>
    <col min="7947" max="7947" width="14.42578125" style="4" customWidth="1"/>
    <col min="7948" max="7948" width="13.42578125" style="4" customWidth="1"/>
    <col min="7949" max="7949" width="14.7109375" style="4" customWidth="1"/>
    <col min="7950" max="7951" width="14.28515625" style="4" customWidth="1"/>
    <col min="7952" max="7952" width="14" style="4" customWidth="1"/>
    <col min="7953" max="7953" width="11.5703125" style="4" customWidth="1"/>
    <col min="7954" max="7954" width="13.85546875" style="4" customWidth="1"/>
    <col min="7955" max="8192" width="11.42578125" style="4"/>
    <col min="8193" max="8193" width="20.28515625" style="4" customWidth="1"/>
    <col min="8194" max="8194" width="21.7109375" style="4" customWidth="1"/>
    <col min="8195" max="8195" width="22" style="4" customWidth="1"/>
    <col min="8196" max="8196" width="17.140625" style="4" customWidth="1"/>
    <col min="8197" max="8197" width="21.42578125" style="4" customWidth="1"/>
    <col min="8198" max="8198" width="19.5703125" style="4" customWidth="1"/>
    <col min="8199" max="8199" width="14.140625" style="4" customWidth="1"/>
    <col min="8200" max="8200" width="13.140625" style="4" customWidth="1"/>
    <col min="8201" max="8201" width="14.42578125" style="4" customWidth="1"/>
    <col min="8202" max="8202" width="16.140625" style="4" customWidth="1"/>
    <col min="8203" max="8203" width="14.42578125" style="4" customWidth="1"/>
    <col min="8204" max="8204" width="13.42578125" style="4" customWidth="1"/>
    <col min="8205" max="8205" width="14.7109375" style="4" customWidth="1"/>
    <col min="8206" max="8207" width="14.28515625" style="4" customWidth="1"/>
    <col min="8208" max="8208" width="14" style="4" customWidth="1"/>
    <col min="8209" max="8209" width="11.5703125" style="4" customWidth="1"/>
    <col min="8210" max="8210" width="13.85546875" style="4" customWidth="1"/>
    <col min="8211" max="8448" width="11.42578125" style="4"/>
    <col min="8449" max="8449" width="20.28515625" style="4" customWidth="1"/>
    <col min="8450" max="8450" width="21.7109375" style="4" customWidth="1"/>
    <col min="8451" max="8451" width="22" style="4" customWidth="1"/>
    <col min="8452" max="8452" width="17.140625" style="4" customWidth="1"/>
    <col min="8453" max="8453" width="21.42578125" style="4" customWidth="1"/>
    <col min="8454" max="8454" width="19.5703125" style="4" customWidth="1"/>
    <col min="8455" max="8455" width="14.140625" style="4" customWidth="1"/>
    <col min="8456" max="8456" width="13.140625" style="4" customWidth="1"/>
    <col min="8457" max="8457" width="14.42578125" style="4" customWidth="1"/>
    <col min="8458" max="8458" width="16.140625" style="4" customWidth="1"/>
    <col min="8459" max="8459" width="14.42578125" style="4" customWidth="1"/>
    <col min="8460" max="8460" width="13.42578125" style="4" customWidth="1"/>
    <col min="8461" max="8461" width="14.7109375" style="4" customWidth="1"/>
    <col min="8462" max="8463" width="14.28515625" style="4" customWidth="1"/>
    <col min="8464" max="8464" width="14" style="4" customWidth="1"/>
    <col min="8465" max="8465" width="11.5703125" style="4" customWidth="1"/>
    <col min="8466" max="8466" width="13.85546875" style="4" customWidth="1"/>
    <col min="8467" max="8704" width="11.42578125" style="4"/>
    <col min="8705" max="8705" width="20.28515625" style="4" customWidth="1"/>
    <col min="8706" max="8706" width="21.7109375" style="4" customWidth="1"/>
    <col min="8707" max="8707" width="22" style="4" customWidth="1"/>
    <col min="8708" max="8708" width="17.140625" style="4" customWidth="1"/>
    <col min="8709" max="8709" width="21.42578125" style="4" customWidth="1"/>
    <col min="8710" max="8710" width="19.5703125" style="4" customWidth="1"/>
    <col min="8711" max="8711" width="14.140625" style="4" customWidth="1"/>
    <col min="8712" max="8712" width="13.140625" style="4" customWidth="1"/>
    <col min="8713" max="8713" width="14.42578125" style="4" customWidth="1"/>
    <col min="8714" max="8714" width="16.140625" style="4" customWidth="1"/>
    <col min="8715" max="8715" width="14.42578125" style="4" customWidth="1"/>
    <col min="8716" max="8716" width="13.42578125" style="4" customWidth="1"/>
    <col min="8717" max="8717" width="14.7109375" style="4" customWidth="1"/>
    <col min="8718" max="8719" width="14.28515625" style="4" customWidth="1"/>
    <col min="8720" max="8720" width="14" style="4" customWidth="1"/>
    <col min="8721" max="8721" width="11.5703125" style="4" customWidth="1"/>
    <col min="8722" max="8722" width="13.85546875" style="4" customWidth="1"/>
    <col min="8723" max="8960" width="11.42578125" style="4"/>
    <col min="8961" max="8961" width="20.28515625" style="4" customWidth="1"/>
    <col min="8962" max="8962" width="21.7109375" style="4" customWidth="1"/>
    <col min="8963" max="8963" width="22" style="4" customWidth="1"/>
    <col min="8964" max="8964" width="17.140625" style="4" customWidth="1"/>
    <col min="8965" max="8965" width="21.42578125" style="4" customWidth="1"/>
    <col min="8966" max="8966" width="19.5703125" style="4" customWidth="1"/>
    <col min="8967" max="8967" width="14.140625" style="4" customWidth="1"/>
    <col min="8968" max="8968" width="13.140625" style="4" customWidth="1"/>
    <col min="8969" max="8969" width="14.42578125" style="4" customWidth="1"/>
    <col min="8970" max="8970" width="16.140625" style="4" customWidth="1"/>
    <col min="8971" max="8971" width="14.42578125" style="4" customWidth="1"/>
    <col min="8972" max="8972" width="13.42578125" style="4" customWidth="1"/>
    <col min="8973" max="8973" width="14.7109375" style="4" customWidth="1"/>
    <col min="8974" max="8975" width="14.28515625" style="4" customWidth="1"/>
    <col min="8976" max="8976" width="14" style="4" customWidth="1"/>
    <col min="8977" max="8977" width="11.5703125" style="4" customWidth="1"/>
    <col min="8978" max="8978" width="13.85546875" style="4" customWidth="1"/>
    <col min="8979" max="9216" width="11.42578125" style="4"/>
    <col min="9217" max="9217" width="20.28515625" style="4" customWidth="1"/>
    <col min="9218" max="9218" width="21.7109375" style="4" customWidth="1"/>
    <col min="9219" max="9219" width="22" style="4" customWidth="1"/>
    <col min="9220" max="9220" width="17.140625" style="4" customWidth="1"/>
    <col min="9221" max="9221" width="21.42578125" style="4" customWidth="1"/>
    <col min="9222" max="9222" width="19.5703125" style="4" customWidth="1"/>
    <col min="9223" max="9223" width="14.140625" style="4" customWidth="1"/>
    <col min="9224" max="9224" width="13.140625" style="4" customWidth="1"/>
    <col min="9225" max="9225" width="14.42578125" style="4" customWidth="1"/>
    <col min="9226" max="9226" width="16.140625" style="4" customWidth="1"/>
    <col min="9227" max="9227" width="14.42578125" style="4" customWidth="1"/>
    <col min="9228" max="9228" width="13.42578125" style="4" customWidth="1"/>
    <col min="9229" max="9229" width="14.7109375" style="4" customWidth="1"/>
    <col min="9230" max="9231" width="14.28515625" style="4" customWidth="1"/>
    <col min="9232" max="9232" width="14" style="4" customWidth="1"/>
    <col min="9233" max="9233" width="11.5703125" style="4" customWidth="1"/>
    <col min="9234" max="9234" width="13.85546875" style="4" customWidth="1"/>
    <col min="9235" max="9472" width="11.42578125" style="4"/>
    <col min="9473" max="9473" width="20.28515625" style="4" customWidth="1"/>
    <col min="9474" max="9474" width="21.7109375" style="4" customWidth="1"/>
    <col min="9475" max="9475" width="22" style="4" customWidth="1"/>
    <col min="9476" max="9476" width="17.140625" style="4" customWidth="1"/>
    <col min="9477" max="9477" width="21.42578125" style="4" customWidth="1"/>
    <col min="9478" max="9478" width="19.5703125" style="4" customWidth="1"/>
    <col min="9479" max="9479" width="14.140625" style="4" customWidth="1"/>
    <col min="9480" max="9480" width="13.140625" style="4" customWidth="1"/>
    <col min="9481" max="9481" width="14.42578125" style="4" customWidth="1"/>
    <col min="9482" max="9482" width="16.140625" style="4" customWidth="1"/>
    <col min="9483" max="9483" width="14.42578125" style="4" customWidth="1"/>
    <col min="9484" max="9484" width="13.42578125" style="4" customWidth="1"/>
    <col min="9485" max="9485" width="14.7109375" style="4" customWidth="1"/>
    <col min="9486" max="9487" width="14.28515625" style="4" customWidth="1"/>
    <col min="9488" max="9488" width="14" style="4" customWidth="1"/>
    <col min="9489" max="9489" width="11.5703125" style="4" customWidth="1"/>
    <col min="9490" max="9490" width="13.85546875" style="4" customWidth="1"/>
    <col min="9491" max="9728" width="11.42578125" style="4"/>
    <col min="9729" max="9729" width="20.28515625" style="4" customWidth="1"/>
    <col min="9730" max="9730" width="21.7109375" style="4" customWidth="1"/>
    <col min="9731" max="9731" width="22" style="4" customWidth="1"/>
    <col min="9732" max="9732" width="17.140625" style="4" customWidth="1"/>
    <col min="9733" max="9733" width="21.42578125" style="4" customWidth="1"/>
    <col min="9734" max="9734" width="19.5703125" style="4" customWidth="1"/>
    <col min="9735" max="9735" width="14.140625" style="4" customWidth="1"/>
    <col min="9736" max="9736" width="13.140625" style="4" customWidth="1"/>
    <col min="9737" max="9737" width="14.42578125" style="4" customWidth="1"/>
    <col min="9738" max="9738" width="16.140625" style="4" customWidth="1"/>
    <col min="9739" max="9739" width="14.42578125" style="4" customWidth="1"/>
    <col min="9740" max="9740" width="13.42578125" style="4" customWidth="1"/>
    <col min="9741" max="9741" width="14.7109375" style="4" customWidth="1"/>
    <col min="9742" max="9743" width="14.28515625" style="4" customWidth="1"/>
    <col min="9744" max="9744" width="14" style="4" customWidth="1"/>
    <col min="9745" max="9745" width="11.5703125" style="4" customWidth="1"/>
    <col min="9746" max="9746" width="13.85546875" style="4" customWidth="1"/>
    <col min="9747" max="9984" width="11.42578125" style="4"/>
    <col min="9985" max="9985" width="20.28515625" style="4" customWidth="1"/>
    <col min="9986" max="9986" width="21.7109375" style="4" customWidth="1"/>
    <col min="9987" max="9987" width="22" style="4" customWidth="1"/>
    <col min="9988" max="9988" width="17.140625" style="4" customWidth="1"/>
    <col min="9989" max="9989" width="21.42578125" style="4" customWidth="1"/>
    <col min="9990" max="9990" width="19.5703125" style="4" customWidth="1"/>
    <col min="9991" max="9991" width="14.140625" style="4" customWidth="1"/>
    <col min="9992" max="9992" width="13.140625" style="4" customWidth="1"/>
    <col min="9993" max="9993" width="14.42578125" style="4" customWidth="1"/>
    <col min="9994" max="9994" width="16.140625" style="4" customWidth="1"/>
    <col min="9995" max="9995" width="14.42578125" style="4" customWidth="1"/>
    <col min="9996" max="9996" width="13.42578125" style="4" customWidth="1"/>
    <col min="9997" max="9997" width="14.7109375" style="4" customWidth="1"/>
    <col min="9998" max="9999" width="14.28515625" style="4" customWidth="1"/>
    <col min="10000" max="10000" width="14" style="4" customWidth="1"/>
    <col min="10001" max="10001" width="11.5703125" style="4" customWidth="1"/>
    <col min="10002" max="10002" width="13.85546875" style="4" customWidth="1"/>
    <col min="10003" max="10240" width="11.42578125" style="4"/>
    <col min="10241" max="10241" width="20.28515625" style="4" customWidth="1"/>
    <col min="10242" max="10242" width="21.7109375" style="4" customWidth="1"/>
    <col min="10243" max="10243" width="22" style="4" customWidth="1"/>
    <col min="10244" max="10244" width="17.140625" style="4" customWidth="1"/>
    <col min="10245" max="10245" width="21.42578125" style="4" customWidth="1"/>
    <col min="10246" max="10246" width="19.5703125" style="4" customWidth="1"/>
    <col min="10247" max="10247" width="14.140625" style="4" customWidth="1"/>
    <col min="10248" max="10248" width="13.140625" style="4" customWidth="1"/>
    <col min="10249" max="10249" width="14.42578125" style="4" customWidth="1"/>
    <col min="10250" max="10250" width="16.140625" style="4" customWidth="1"/>
    <col min="10251" max="10251" width="14.42578125" style="4" customWidth="1"/>
    <col min="10252" max="10252" width="13.42578125" style="4" customWidth="1"/>
    <col min="10253" max="10253" width="14.7109375" style="4" customWidth="1"/>
    <col min="10254" max="10255" width="14.28515625" style="4" customWidth="1"/>
    <col min="10256" max="10256" width="14" style="4" customWidth="1"/>
    <col min="10257" max="10257" width="11.5703125" style="4" customWidth="1"/>
    <col min="10258" max="10258" width="13.85546875" style="4" customWidth="1"/>
    <col min="10259" max="10496" width="11.42578125" style="4"/>
    <col min="10497" max="10497" width="20.28515625" style="4" customWidth="1"/>
    <col min="10498" max="10498" width="21.7109375" style="4" customWidth="1"/>
    <col min="10499" max="10499" width="22" style="4" customWidth="1"/>
    <col min="10500" max="10500" width="17.140625" style="4" customWidth="1"/>
    <col min="10501" max="10501" width="21.42578125" style="4" customWidth="1"/>
    <col min="10502" max="10502" width="19.5703125" style="4" customWidth="1"/>
    <col min="10503" max="10503" width="14.140625" style="4" customWidth="1"/>
    <col min="10504" max="10504" width="13.140625" style="4" customWidth="1"/>
    <col min="10505" max="10505" width="14.42578125" style="4" customWidth="1"/>
    <col min="10506" max="10506" width="16.140625" style="4" customWidth="1"/>
    <col min="10507" max="10507" width="14.42578125" style="4" customWidth="1"/>
    <col min="10508" max="10508" width="13.42578125" style="4" customWidth="1"/>
    <col min="10509" max="10509" width="14.7109375" style="4" customWidth="1"/>
    <col min="10510" max="10511" width="14.28515625" style="4" customWidth="1"/>
    <col min="10512" max="10512" width="14" style="4" customWidth="1"/>
    <col min="10513" max="10513" width="11.5703125" style="4" customWidth="1"/>
    <col min="10514" max="10514" width="13.85546875" style="4" customWidth="1"/>
    <col min="10515" max="10752" width="11.42578125" style="4"/>
    <col min="10753" max="10753" width="20.28515625" style="4" customWidth="1"/>
    <col min="10754" max="10754" width="21.7109375" style="4" customWidth="1"/>
    <col min="10755" max="10755" width="22" style="4" customWidth="1"/>
    <col min="10756" max="10756" width="17.140625" style="4" customWidth="1"/>
    <col min="10757" max="10757" width="21.42578125" style="4" customWidth="1"/>
    <col min="10758" max="10758" width="19.5703125" style="4" customWidth="1"/>
    <col min="10759" max="10759" width="14.140625" style="4" customWidth="1"/>
    <col min="10760" max="10760" width="13.140625" style="4" customWidth="1"/>
    <col min="10761" max="10761" width="14.42578125" style="4" customWidth="1"/>
    <col min="10762" max="10762" width="16.140625" style="4" customWidth="1"/>
    <col min="10763" max="10763" width="14.42578125" style="4" customWidth="1"/>
    <col min="10764" max="10764" width="13.42578125" style="4" customWidth="1"/>
    <col min="10765" max="10765" width="14.7109375" style="4" customWidth="1"/>
    <col min="10766" max="10767" width="14.28515625" style="4" customWidth="1"/>
    <col min="10768" max="10768" width="14" style="4" customWidth="1"/>
    <col min="10769" max="10769" width="11.5703125" style="4" customWidth="1"/>
    <col min="10770" max="10770" width="13.85546875" style="4" customWidth="1"/>
    <col min="10771" max="11008" width="11.42578125" style="4"/>
    <col min="11009" max="11009" width="20.28515625" style="4" customWidth="1"/>
    <col min="11010" max="11010" width="21.7109375" style="4" customWidth="1"/>
    <col min="11011" max="11011" width="22" style="4" customWidth="1"/>
    <col min="11012" max="11012" width="17.140625" style="4" customWidth="1"/>
    <col min="11013" max="11013" width="21.42578125" style="4" customWidth="1"/>
    <col min="11014" max="11014" width="19.5703125" style="4" customWidth="1"/>
    <col min="11015" max="11015" width="14.140625" style="4" customWidth="1"/>
    <col min="11016" max="11016" width="13.140625" style="4" customWidth="1"/>
    <col min="11017" max="11017" width="14.42578125" style="4" customWidth="1"/>
    <col min="11018" max="11018" width="16.140625" style="4" customWidth="1"/>
    <col min="11019" max="11019" width="14.42578125" style="4" customWidth="1"/>
    <col min="11020" max="11020" width="13.42578125" style="4" customWidth="1"/>
    <col min="11021" max="11021" width="14.7109375" style="4" customWidth="1"/>
    <col min="11022" max="11023" width="14.28515625" style="4" customWidth="1"/>
    <col min="11024" max="11024" width="14" style="4" customWidth="1"/>
    <col min="11025" max="11025" width="11.5703125" style="4" customWidth="1"/>
    <col min="11026" max="11026" width="13.85546875" style="4" customWidth="1"/>
    <col min="11027" max="11264" width="11.42578125" style="4"/>
    <col min="11265" max="11265" width="20.28515625" style="4" customWidth="1"/>
    <col min="11266" max="11266" width="21.7109375" style="4" customWidth="1"/>
    <col min="11267" max="11267" width="22" style="4" customWidth="1"/>
    <col min="11268" max="11268" width="17.140625" style="4" customWidth="1"/>
    <col min="11269" max="11269" width="21.42578125" style="4" customWidth="1"/>
    <col min="11270" max="11270" width="19.5703125" style="4" customWidth="1"/>
    <col min="11271" max="11271" width="14.140625" style="4" customWidth="1"/>
    <col min="11272" max="11272" width="13.140625" style="4" customWidth="1"/>
    <col min="11273" max="11273" width="14.42578125" style="4" customWidth="1"/>
    <col min="11274" max="11274" width="16.140625" style="4" customWidth="1"/>
    <col min="11275" max="11275" width="14.42578125" style="4" customWidth="1"/>
    <col min="11276" max="11276" width="13.42578125" style="4" customWidth="1"/>
    <col min="11277" max="11277" width="14.7109375" style="4" customWidth="1"/>
    <col min="11278" max="11279" width="14.28515625" style="4" customWidth="1"/>
    <col min="11280" max="11280" width="14" style="4" customWidth="1"/>
    <col min="11281" max="11281" width="11.5703125" style="4" customWidth="1"/>
    <col min="11282" max="11282" width="13.85546875" style="4" customWidth="1"/>
    <col min="11283" max="11520" width="11.42578125" style="4"/>
    <col min="11521" max="11521" width="20.28515625" style="4" customWidth="1"/>
    <col min="11522" max="11522" width="21.7109375" style="4" customWidth="1"/>
    <col min="11523" max="11523" width="22" style="4" customWidth="1"/>
    <col min="11524" max="11524" width="17.140625" style="4" customWidth="1"/>
    <col min="11525" max="11525" width="21.42578125" style="4" customWidth="1"/>
    <col min="11526" max="11526" width="19.5703125" style="4" customWidth="1"/>
    <col min="11527" max="11527" width="14.140625" style="4" customWidth="1"/>
    <col min="11528" max="11528" width="13.140625" style="4" customWidth="1"/>
    <col min="11529" max="11529" width="14.42578125" style="4" customWidth="1"/>
    <col min="11530" max="11530" width="16.140625" style="4" customWidth="1"/>
    <col min="11531" max="11531" width="14.42578125" style="4" customWidth="1"/>
    <col min="11532" max="11532" width="13.42578125" style="4" customWidth="1"/>
    <col min="11533" max="11533" width="14.7109375" style="4" customWidth="1"/>
    <col min="11534" max="11535" width="14.28515625" style="4" customWidth="1"/>
    <col min="11536" max="11536" width="14" style="4" customWidth="1"/>
    <col min="11537" max="11537" width="11.5703125" style="4" customWidth="1"/>
    <col min="11538" max="11538" width="13.85546875" style="4" customWidth="1"/>
    <col min="11539" max="11776" width="11.42578125" style="4"/>
    <col min="11777" max="11777" width="20.28515625" style="4" customWidth="1"/>
    <col min="11778" max="11778" width="21.7109375" style="4" customWidth="1"/>
    <col min="11779" max="11779" width="22" style="4" customWidth="1"/>
    <col min="11780" max="11780" width="17.140625" style="4" customWidth="1"/>
    <col min="11781" max="11781" width="21.42578125" style="4" customWidth="1"/>
    <col min="11782" max="11782" width="19.5703125" style="4" customWidth="1"/>
    <col min="11783" max="11783" width="14.140625" style="4" customWidth="1"/>
    <col min="11784" max="11784" width="13.140625" style="4" customWidth="1"/>
    <col min="11785" max="11785" width="14.42578125" style="4" customWidth="1"/>
    <col min="11786" max="11786" width="16.140625" style="4" customWidth="1"/>
    <col min="11787" max="11787" width="14.42578125" style="4" customWidth="1"/>
    <col min="11788" max="11788" width="13.42578125" style="4" customWidth="1"/>
    <col min="11789" max="11789" width="14.7109375" style="4" customWidth="1"/>
    <col min="11790" max="11791" width="14.28515625" style="4" customWidth="1"/>
    <col min="11792" max="11792" width="14" style="4" customWidth="1"/>
    <col min="11793" max="11793" width="11.5703125" style="4" customWidth="1"/>
    <col min="11794" max="11794" width="13.85546875" style="4" customWidth="1"/>
    <col min="11795" max="12032" width="11.42578125" style="4"/>
    <col min="12033" max="12033" width="20.28515625" style="4" customWidth="1"/>
    <col min="12034" max="12034" width="21.7109375" style="4" customWidth="1"/>
    <col min="12035" max="12035" width="22" style="4" customWidth="1"/>
    <col min="12036" max="12036" width="17.140625" style="4" customWidth="1"/>
    <col min="12037" max="12037" width="21.42578125" style="4" customWidth="1"/>
    <col min="12038" max="12038" width="19.5703125" style="4" customWidth="1"/>
    <col min="12039" max="12039" width="14.140625" style="4" customWidth="1"/>
    <col min="12040" max="12040" width="13.140625" style="4" customWidth="1"/>
    <col min="12041" max="12041" width="14.42578125" style="4" customWidth="1"/>
    <col min="12042" max="12042" width="16.140625" style="4" customWidth="1"/>
    <col min="12043" max="12043" width="14.42578125" style="4" customWidth="1"/>
    <col min="12044" max="12044" width="13.42578125" style="4" customWidth="1"/>
    <col min="12045" max="12045" width="14.7109375" style="4" customWidth="1"/>
    <col min="12046" max="12047" width="14.28515625" style="4" customWidth="1"/>
    <col min="12048" max="12048" width="14" style="4" customWidth="1"/>
    <col min="12049" max="12049" width="11.5703125" style="4" customWidth="1"/>
    <col min="12050" max="12050" width="13.85546875" style="4" customWidth="1"/>
    <col min="12051" max="12288" width="11.42578125" style="4"/>
    <col min="12289" max="12289" width="20.28515625" style="4" customWidth="1"/>
    <col min="12290" max="12290" width="21.7109375" style="4" customWidth="1"/>
    <col min="12291" max="12291" width="22" style="4" customWidth="1"/>
    <col min="12292" max="12292" width="17.140625" style="4" customWidth="1"/>
    <col min="12293" max="12293" width="21.42578125" style="4" customWidth="1"/>
    <col min="12294" max="12294" width="19.5703125" style="4" customWidth="1"/>
    <col min="12295" max="12295" width="14.140625" style="4" customWidth="1"/>
    <col min="12296" max="12296" width="13.140625" style="4" customWidth="1"/>
    <col min="12297" max="12297" width="14.42578125" style="4" customWidth="1"/>
    <col min="12298" max="12298" width="16.140625" style="4" customWidth="1"/>
    <col min="12299" max="12299" width="14.42578125" style="4" customWidth="1"/>
    <col min="12300" max="12300" width="13.42578125" style="4" customWidth="1"/>
    <col min="12301" max="12301" width="14.7109375" style="4" customWidth="1"/>
    <col min="12302" max="12303" width="14.28515625" style="4" customWidth="1"/>
    <col min="12304" max="12304" width="14" style="4" customWidth="1"/>
    <col min="12305" max="12305" width="11.5703125" style="4" customWidth="1"/>
    <col min="12306" max="12306" width="13.85546875" style="4" customWidth="1"/>
    <col min="12307" max="12544" width="11.42578125" style="4"/>
    <col min="12545" max="12545" width="20.28515625" style="4" customWidth="1"/>
    <col min="12546" max="12546" width="21.7109375" style="4" customWidth="1"/>
    <col min="12547" max="12547" width="22" style="4" customWidth="1"/>
    <col min="12548" max="12548" width="17.140625" style="4" customWidth="1"/>
    <col min="12549" max="12549" width="21.42578125" style="4" customWidth="1"/>
    <col min="12550" max="12550" width="19.5703125" style="4" customWidth="1"/>
    <col min="12551" max="12551" width="14.140625" style="4" customWidth="1"/>
    <col min="12552" max="12552" width="13.140625" style="4" customWidth="1"/>
    <col min="12553" max="12553" width="14.42578125" style="4" customWidth="1"/>
    <col min="12554" max="12554" width="16.140625" style="4" customWidth="1"/>
    <col min="12555" max="12555" width="14.42578125" style="4" customWidth="1"/>
    <col min="12556" max="12556" width="13.42578125" style="4" customWidth="1"/>
    <col min="12557" max="12557" width="14.7109375" style="4" customWidth="1"/>
    <col min="12558" max="12559" width="14.28515625" style="4" customWidth="1"/>
    <col min="12560" max="12560" width="14" style="4" customWidth="1"/>
    <col min="12561" max="12561" width="11.5703125" style="4" customWidth="1"/>
    <col min="12562" max="12562" width="13.85546875" style="4" customWidth="1"/>
    <col min="12563" max="12800" width="11.42578125" style="4"/>
    <col min="12801" max="12801" width="20.28515625" style="4" customWidth="1"/>
    <col min="12802" max="12802" width="21.7109375" style="4" customWidth="1"/>
    <col min="12803" max="12803" width="22" style="4" customWidth="1"/>
    <col min="12804" max="12804" width="17.140625" style="4" customWidth="1"/>
    <col min="12805" max="12805" width="21.42578125" style="4" customWidth="1"/>
    <col min="12806" max="12806" width="19.5703125" style="4" customWidth="1"/>
    <col min="12807" max="12807" width="14.140625" style="4" customWidth="1"/>
    <col min="12808" max="12808" width="13.140625" style="4" customWidth="1"/>
    <col min="12809" max="12809" width="14.42578125" style="4" customWidth="1"/>
    <col min="12810" max="12810" width="16.140625" style="4" customWidth="1"/>
    <col min="12811" max="12811" width="14.42578125" style="4" customWidth="1"/>
    <col min="12812" max="12812" width="13.42578125" style="4" customWidth="1"/>
    <col min="12813" max="12813" width="14.7109375" style="4" customWidth="1"/>
    <col min="12814" max="12815" width="14.28515625" style="4" customWidth="1"/>
    <col min="12816" max="12816" width="14" style="4" customWidth="1"/>
    <col min="12817" max="12817" width="11.5703125" style="4" customWidth="1"/>
    <col min="12818" max="12818" width="13.85546875" style="4" customWidth="1"/>
    <col min="12819" max="13056" width="11.42578125" style="4"/>
    <col min="13057" max="13057" width="20.28515625" style="4" customWidth="1"/>
    <col min="13058" max="13058" width="21.7109375" style="4" customWidth="1"/>
    <col min="13059" max="13059" width="22" style="4" customWidth="1"/>
    <col min="13060" max="13060" width="17.140625" style="4" customWidth="1"/>
    <col min="13061" max="13061" width="21.42578125" style="4" customWidth="1"/>
    <col min="13062" max="13062" width="19.5703125" style="4" customWidth="1"/>
    <col min="13063" max="13063" width="14.140625" style="4" customWidth="1"/>
    <col min="13064" max="13064" width="13.140625" style="4" customWidth="1"/>
    <col min="13065" max="13065" width="14.42578125" style="4" customWidth="1"/>
    <col min="13066" max="13066" width="16.140625" style="4" customWidth="1"/>
    <col min="13067" max="13067" width="14.42578125" style="4" customWidth="1"/>
    <col min="13068" max="13068" width="13.42578125" style="4" customWidth="1"/>
    <col min="13069" max="13069" width="14.7109375" style="4" customWidth="1"/>
    <col min="13070" max="13071" width="14.28515625" style="4" customWidth="1"/>
    <col min="13072" max="13072" width="14" style="4" customWidth="1"/>
    <col min="13073" max="13073" width="11.5703125" style="4" customWidth="1"/>
    <col min="13074" max="13074" width="13.85546875" style="4" customWidth="1"/>
    <col min="13075" max="13312" width="11.42578125" style="4"/>
    <col min="13313" max="13313" width="20.28515625" style="4" customWidth="1"/>
    <col min="13314" max="13314" width="21.7109375" style="4" customWidth="1"/>
    <col min="13315" max="13315" width="22" style="4" customWidth="1"/>
    <col min="13316" max="13316" width="17.140625" style="4" customWidth="1"/>
    <col min="13317" max="13317" width="21.42578125" style="4" customWidth="1"/>
    <col min="13318" max="13318" width="19.5703125" style="4" customWidth="1"/>
    <col min="13319" max="13319" width="14.140625" style="4" customWidth="1"/>
    <col min="13320" max="13320" width="13.140625" style="4" customWidth="1"/>
    <col min="13321" max="13321" width="14.42578125" style="4" customWidth="1"/>
    <col min="13322" max="13322" width="16.140625" style="4" customWidth="1"/>
    <col min="13323" max="13323" width="14.42578125" style="4" customWidth="1"/>
    <col min="13324" max="13324" width="13.42578125" style="4" customWidth="1"/>
    <col min="13325" max="13325" width="14.7109375" style="4" customWidth="1"/>
    <col min="13326" max="13327" width="14.28515625" style="4" customWidth="1"/>
    <col min="13328" max="13328" width="14" style="4" customWidth="1"/>
    <col min="13329" max="13329" width="11.5703125" style="4" customWidth="1"/>
    <col min="13330" max="13330" width="13.85546875" style="4" customWidth="1"/>
    <col min="13331" max="13568" width="11.42578125" style="4"/>
    <col min="13569" max="13569" width="20.28515625" style="4" customWidth="1"/>
    <col min="13570" max="13570" width="21.7109375" style="4" customWidth="1"/>
    <col min="13571" max="13571" width="22" style="4" customWidth="1"/>
    <col min="13572" max="13572" width="17.140625" style="4" customWidth="1"/>
    <col min="13573" max="13573" width="21.42578125" style="4" customWidth="1"/>
    <col min="13574" max="13574" width="19.5703125" style="4" customWidth="1"/>
    <col min="13575" max="13575" width="14.140625" style="4" customWidth="1"/>
    <col min="13576" max="13576" width="13.140625" style="4" customWidth="1"/>
    <col min="13577" max="13577" width="14.42578125" style="4" customWidth="1"/>
    <col min="13578" max="13578" width="16.140625" style="4" customWidth="1"/>
    <col min="13579" max="13579" width="14.42578125" style="4" customWidth="1"/>
    <col min="13580" max="13580" width="13.42578125" style="4" customWidth="1"/>
    <col min="13581" max="13581" width="14.7109375" style="4" customWidth="1"/>
    <col min="13582" max="13583" width="14.28515625" style="4" customWidth="1"/>
    <col min="13584" max="13584" width="14" style="4" customWidth="1"/>
    <col min="13585" max="13585" width="11.5703125" style="4" customWidth="1"/>
    <col min="13586" max="13586" width="13.85546875" style="4" customWidth="1"/>
    <col min="13587" max="13824" width="11.42578125" style="4"/>
    <col min="13825" max="13825" width="20.28515625" style="4" customWidth="1"/>
    <col min="13826" max="13826" width="21.7109375" style="4" customWidth="1"/>
    <col min="13827" max="13827" width="22" style="4" customWidth="1"/>
    <col min="13828" max="13828" width="17.140625" style="4" customWidth="1"/>
    <col min="13829" max="13829" width="21.42578125" style="4" customWidth="1"/>
    <col min="13830" max="13830" width="19.5703125" style="4" customWidth="1"/>
    <col min="13831" max="13831" width="14.140625" style="4" customWidth="1"/>
    <col min="13832" max="13832" width="13.140625" style="4" customWidth="1"/>
    <col min="13833" max="13833" width="14.42578125" style="4" customWidth="1"/>
    <col min="13834" max="13834" width="16.140625" style="4" customWidth="1"/>
    <col min="13835" max="13835" width="14.42578125" style="4" customWidth="1"/>
    <col min="13836" max="13836" width="13.42578125" style="4" customWidth="1"/>
    <col min="13837" max="13837" width="14.7109375" style="4" customWidth="1"/>
    <col min="13838" max="13839" width="14.28515625" style="4" customWidth="1"/>
    <col min="13840" max="13840" width="14" style="4" customWidth="1"/>
    <col min="13841" max="13841" width="11.5703125" style="4" customWidth="1"/>
    <col min="13842" max="13842" width="13.85546875" style="4" customWidth="1"/>
    <col min="13843" max="14080" width="11.42578125" style="4"/>
    <col min="14081" max="14081" width="20.28515625" style="4" customWidth="1"/>
    <col min="14082" max="14082" width="21.7109375" style="4" customWidth="1"/>
    <col min="14083" max="14083" width="22" style="4" customWidth="1"/>
    <col min="14084" max="14084" width="17.140625" style="4" customWidth="1"/>
    <col min="14085" max="14085" width="21.42578125" style="4" customWidth="1"/>
    <col min="14086" max="14086" width="19.5703125" style="4" customWidth="1"/>
    <col min="14087" max="14087" width="14.140625" style="4" customWidth="1"/>
    <col min="14088" max="14088" width="13.140625" style="4" customWidth="1"/>
    <col min="14089" max="14089" width="14.42578125" style="4" customWidth="1"/>
    <col min="14090" max="14090" width="16.140625" style="4" customWidth="1"/>
    <col min="14091" max="14091" width="14.42578125" style="4" customWidth="1"/>
    <col min="14092" max="14092" width="13.42578125" style="4" customWidth="1"/>
    <col min="14093" max="14093" width="14.7109375" style="4" customWidth="1"/>
    <col min="14094" max="14095" width="14.28515625" style="4" customWidth="1"/>
    <col min="14096" max="14096" width="14" style="4" customWidth="1"/>
    <col min="14097" max="14097" width="11.5703125" style="4" customWidth="1"/>
    <col min="14098" max="14098" width="13.85546875" style="4" customWidth="1"/>
    <col min="14099" max="14336" width="11.42578125" style="4"/>
    <col min="14337" max="14337" width="20.28515625" style="4" customWidth="1"/>
    <col min="14338" max="14338" width="21.7109375" style="4" customWidth="1"/>
    <col min="14339" max="14339" width="22" style="4" customWidth="1"/>
    <col min="14340" max="14340" width="17.140625" style="4" customWidth="1"/>
    <col min="14341" max="14341" width="21.42578125" style="4" customWidth="1"/>
    <col min="14342" max="14342" width="19.5703125" style="4" customWidth="1"/>
    <col min="14343" max="14343" width="14.140625" style="4" customWidth="1"/>
    <col min="14344" max="14344" width="13.140625" style="4" customWidth="1"/>
    <col min="14345" max="14345" width="14.42578125" style="4" customWidth="1"/>
    <col min="14346" max="14346" width="16.140625" style="4" customWidth="1"/>
    <col min="14347" max="14347" width="14.42578125" style="4" customWidth="1"/>
    <col min="14348" max="14348" width="13.42578125" style="4" customWidth="1"/>
    <col min="14349" max="14349" width="14.7109375" style="4" customWidth="1"/>
    <col min="14350" max="14351" width="14.28515625" style="4" customWidth="1"/>
    <col min="14352" max="14352" width="14" style="4" customWidth="1"/>
    <col min="14353" max="14353" width="11.5703125" style="4" customWidth="1"/>
    <col min="14354" max="14354" width="13.85546875" style="4" customWidth="1"/>
    <col min="14355" max="14592" width="11.42578125" style="4"/>
    <col min="14593" max="14593" width="20.28515625" style="4" customWidth="1"/>
    <col min="14594" max="14594" width="21.7109375" style="4" customWidth="1"/>
    <col min="14595" max="14595" width="22" style="4" customWidth="1"/>
    <col min="14596" max="14596" width="17.140625" style="4" customWidth="1"/>
    <col min="14597" max="14597" width="21.42578125" style="4" customWidth="1"/>
    <col min="14598" max="14598" width="19.5703125" style="4" customWidth="1"/>
    <col min="14599" max="14599" width="14.140625" style="4" customWidth="1"/>
    <col min="14600" max="14600" width="13.140625" style="4" customWidth="1"/>
    <col min="14601" max="14601" width="14.42578125" style="4" customWidth="1"/>
    <col min="14602" max="14602" width="16.140625" style="4" customWidth="1"/>
    <col min="14603" max="14603" width="14.42578125" style="4" customWidth="1"/>
    <col min="14604" max="14604" width="13.42578125" style="4" customWidth="1"/>
    <col min="14605" max="14605" width="14.7109375" style="4" customWidth="1"/>
    <col min="14606" max="14607" width="14.28515625" style="4" customWidth="1"/>
    <col min="14608" max="14608" width="14" style="4" customWidth="1"/>
    <col min="14609" max="14609" width="11.5703125" style="4" customWidth="1"/>
    <col min="14610" max="14610" width="13.85546875" style="4" customWidth="1"/>
    <col min="14611" max="14848" width="11.42578125" style="4"/>
    <col min="14849" max="14849" width="20.28515625" style="4" customWidth="1"/>
    <col min="14850" max="14850" width="21.7109375" style="4" customWidth="1"/>
    <col min="14851" max="14851" width="22" style="4" customWidth="1"/>
    <col min="14852" max="14852" width="17.140625" style="4" customWidth="1"/>
    <col min="14853" max="14853" width="21.42578125" style="4" customWidth="1"/>
    <col min="14854" max="14854" width="19.5703125" style="4" customWidth="1"/>
    <col min="14855" max="14855" width="14.140625" style="4" customWidth="1"/>
    <col min="14856" max="14856" width="13.140625" style="4" customWidth="1"/>
    <col min="14857" max="14857" width="14.42578125" style="4" customWidth="1"/>
    <col min="14858" max="14858" width="16.140625" style="4" customWidth="1"/>
    <col min="14859" max="14859" width="14.42578125" style="4" customWidth="1"/>
    <col min="14860" max="14860" width="13.42578125" style="4" customWidth="1"/>
    <col min="14861" max="14861" width="14.7109375" style="4" customWidth="1"/>
    <col min="14862" max="14863" width="14.28515625" style="4" customWidth="1"/>
    <col min="14864" max="14864" width="14" style="4" customWidth="1"/>
    <col min="14865" max="14865" width="11.5703125" style="4" customWidth="1"/>
    <col min="14866" max="14866" width="13.85546875" style="4" customWidth="1"/>
    <col min="14867" max="15104" width="11.42578125" style="4"/>
    <col min="15105" max="15105" width="20.28515625" style="4" customWidth="1"/>
    <col min="15106" max="15106" width="21.7109375" style="4" customWidth="1"/>
    <col min="15107" max="15107" width="22" style="4" customWidth="1"/>
    <col min="15108" max="15108" width="17.140625" style="4" customWidth="1"/>
    <col min="15109" max="15109" width="21.42578125" style="4" customWidth="1"/>
    <col min="15110" max="15110" width="19.5703125" style="4" customWidth="1"/>
    <col min="15111" max="15111" width="14.140625" style="4" customWidth="1"/>
    <col min="15112" max="15112" width="13.140625" style="4" customWidth="1"/>
    <col min="15113" max="15113" width="14.42578125" style="4" customWidth="1"/>
    <col min="15114" max="15114" width="16.140625" style="4" customWidth="1"/>
    <col min="15115" max="15115" width="14.42578125" style="4" customWidth="1"/>
    <col min="15116" max="15116" width="13.42578125" style="4" customWidth="1"/>
    <col min="15117" max="15117" width="14.7109375" style="4" customWidth="1"/>
    <col min="15118" max="15119" width="14.28515625" style="4" customWidth="1"/>
    <col min="15120" max="15120" width="14" style="4" customWidth="1"/>
    <col min="15121" max="15121" width="11.5703125" style="4" customWidth="1"/>
    <col min="15122" max="15122" width="13.85546875" style="4" customWidth="1"/>
    <col min="15123" max="15360" width="11.42578125" style="4"/>
    <col min="15361" max="15361" width="20.28515625" style="4" customWidth="1"/>
    <col min="15362" max="15362" width="21.7109375" style="4" customWidth="1"/>
    <col min="15363" max="15363" width="22" style="4" customWidth="1"/>
    <col min="15364" max="15364" width="17.140625" style="4" customWidth="1"/>
    <col min="15365" max="15365" width="21.42578125" style="4" customWidth="1"/>
    <col min="15366" max="15366" width="19.5703125" style="4" customWidth="1"/>
    <col min="15367" max="15367" width="14.140625" style="4" customWidth="1"/>
    <col min="15368" max="15368" width="13.140625" style="4" customWidth="1"/>
    <col min="15369" max="15369" width="14.42578125" style="4" customWidth="1"/>
    <col min="15370" max="15370" width="16.140625" style="4" customWidth="1"/>
    <col min="15371" max="15371" width="14.42578125" style="4" customWidth="1"/>
    <col min="15372" max="15372" width="13.42578125" style="4" customWidth="1"/>
    <col min="15373" max="15373" width="14.7109375" style="4" customWidth="1"/>
    <col min="15374" max="15375" width="14.28515625" style="4" customWidth="1"/>
    <col min="15376" max="15376" width="14" style="4" customWidth="1"/>
    <col min="15377" max="15377" width="11.5703125" style="4" customWidth="1"/>
    <col min="15378" max="15378" width="13.85546875" style="4" customWidth="1"/>
    <col min="15379" max="15616" width="11.42578125" style="4"/>
    <col min="15617" max="15617" width="20.28515625" style="4" customWidth="1"/>
    <col min="15618" max="15618" width="21.7109375" style="4" customWidth="1"/>
    <col min="15619" max="15619" width="22" style="4" customWidth="1"/>
    <col min="15620" max="15620" width="17.140625" style="4" customWidth="1"/>
    <col min="15621" max="15621" width="21.42578125" style="4" customWidth="1"/>
    <col min="15622" max="15622" width="19.5703125" style="4" customWidth="1"/>
    <col min="15623" max="15623" width="14.140625" style="4" customWidth="1"/>
    <col min="15624" max="15624" width="13.140625" style="4" customWidth="1"/>
    <col min="15625" max="15625" width="14.42578125" style="4" customWidth="1"/>
    <col min="15626" max="15626" width="16.140625" style="4" customWidth="1"/>
    <col min="15627" max="15627" width="14.42578125" style="4" customWidth="1"/>
    <col min="15628" max="15628" width="13.42578125" style="4" customWidth="1"/>
    <col min="15629" max="15629" width="14.7109375" style="4" customWidth="1"/>
    <col min="15630" max="15631" width="14.28515625" style="4" customWidth="1"/>
    <col min="15632" max="15632" width="14" style="4" customWidth="1"/>
    <col min="15633" max="15633" width="11.5703125" style="4" customWidth="1"/>
    <col min="15634" max="15634" width="13.85546875" style="4" customWidth="1"/>
    <col min="15635" max="15872" width="11.42578125" style="4"/>
    <col min="15873" max="15873" width="20.28515625" style="4" customWidth="1"/>
    <col min="15874" max="15874" width="21.7109375" style="4" customWidth="1"/>
    <col min="15875" max="15875" width="22" style="4" customWidth="1"/>
    <col min="15876" max="15876" width="17.140625" style="4" customWidth="1"/>
    <col min="15877" max="15877" width="21.42578125" style="4" customWidth="1"/>
    <col min="15878" max="15878" width="19.5703125" style="4" customWidth="1"/>
    <col min="15879" max="15879" width="14.140625" style="4" customWidth="1"/>
    <col min="15880" max="15880" width="13.140625" style="4" customWidth="1"/>
    <col min="15881" max="15881" width="14.42578125" style="4" customWidth="1"/>
    <col min="15882" max="15882" width="16.140625" style="4" customWidth="1"/>
    <col min="15883" max="15883" width="14.42578125" style="4" customWidth="1"/>
    <col min="15884" max="15884" width="13.42578125" style="4" customWidth="1"/>
    <col min="15885" max="15885" width="14.7109375" style="4" customWidth="1"/>
    <col min="15886" max="15887" width="14.28515625" style="4" customWidth="1"/>
    <col min="15888" max="15888" width="14" style="4" customWidth="1"/>
    <col min="15889" max="15889" width="11.5703125" style="4" customWidth="1"/>
    <col min="15890" max="15890" width="13.85546875" style="4" customWidth="1"/>
    <col min="15891" max="16128" width="11.42578125" style="4"/>
    <col min="16129" max="16129" width="20.28515625" style="4" customWidth="1"/>
    <col min="16130" max="16130" width="21.7109375" style="4" customWidth="1"/>
    <col min="16131" max="16131" width="22" style="4" customWidth="1"/>
    <col min="16132" max="16132" width="17.140625" style="4" customWidth="1"/>
    <col min="16133" max="16133" width="21.42578125" style="4" customWidth="1"/>
    <col min="16134" max="16134" width="19.5703125" style="4" customWidth="1"/>
    <col min="16135" max="16135" width="14.140625" style="4" customWidth="1"/>
    <col min="16136" max="16136" width="13.140625" style="4" customWidth="1"/>
    <col min="16137" max="16137" width="14.42578125" style="4" customWidth="1"/>
    <col min="16138" max="16138" width="16.140625" style="4" customWidth="1"/>
    <col min="16139" max="16139" width="14.42578125" style="4" customWidth="1"/>
    <col min="16140" max="16140" width="13.42578125" style="4" customWidth="1"/>
    <col min="16141" max="16141" width="14.7109375" style="4" customWidth="1"/>
    <col min="16142" max="16143" width="14.28515625" style="4" customWidth="1"/>
    <col min="16144" max="16144" width="14" style="4" customWidth="1"/>
    <col min="16145" max="16145" width="11.5703125" style="4" customWidth="1"/>
    <col min="16146" max="16146" width="13.85546875" style="4" customWidth="1"/>
    <col min="16147" max="16384" width="11.42578125" style="4"/>
  </cols>
  <sheetData>
    <row r="1" spans="1:29" s="11" customFormat="1" ht="8.25" customHeight="1" thickBot="1" x14ac:dyDescent="0.25">
      <c r="A1" s="1"/>
      <c r="B1" s="2"/>
      <c r="C1" s="1"/>
      <c r="D1" s="3"/>
      <c r="E1" s="4"/>
      <c r="F1" s="4"/>
      <c r="G1" s="5"/>
      <c r="H1" s="5"/>
      <c r="I1" s="5"/>
      <c r="J1" s="5"/>
      <c r="K1" s="6"/>
      <c r="L1" s="7"/>
      <c r="M1" s="7"/>
      <c r="N1" s="8"/>
      <c r="O1" s="8"/>
      <c r="P1" s="9"/>
      <c r="Q1" s="8"/>
      <c r="R1" s="8"/>
      <c r="S1" s="8"/>
      <c r="T1" s="10"/>
      <c r="U1" s="10"/>
      <c r="V1" s="10"/>
      <c r="W1" s="10"/>
      <c r="X1" s="10"/>
      <c r="Y1" s="10"/>
      <c r="Z1" s="10"/>
      <c r="AA1" s="10"/>
      <c r="AB1" s="10"/>
    </row>
    <row r="2" spans="1:29" ht="25.5" customHeight="1" thickBot="1" x14ac:dyDescent="0.25">
      <c r="A2" s="597" t="s">
        <v>0</v>
      </c>
      <c r="B2" s="598"/>
      <c r="C2" s="598"/>
      <c r="D2" s="598"/>
      <c r="E2" s="598"/>
      <c r="F2" s="598"/>
      <c r="G2" s="598"/>
      <c r="H2" s="598"/>
      <c r="I2" s="599"/>
      <c r="J2" s="12"/>
      <c r="K2" s="6"/>
      <c r="L2" s="13"/>
      <c r="M2" s="13"/>
      <c r="N2" s="14"/>
      <c r="O2" s="14"/>
      <c r="P2" s="15"/>
      <c r="Q2" s="14"/>
      <c r="R2" s="14"/>
      <c r="S2" s="14"/>
      <c r="T2" s="14"/>
      <c r="U2" s="14"/>
      <c r="V2" s="14"/>
      <c r="W2" s="16"/>
      <c r="X2" s="16"/>
      <c r="Y2" s="16"/>
      <c r="Z2" s="16"/>
      <c r="AA2" s="16"/>
      <c r="AB2" s="16"/>
      <c r="AC2" s="16"/>
    </row>
    <row r="3" spans="1:29" ht="31.5" customHeight="1" x14ac:dyDescent="0.2">
      <c r="A3" s="600" t="s">
        <v>1</v>
      </c>
      <c r="B3" s="600"/>
      <c r="C3" s="600"/>
      <c r="D3" s="600"/>
      <c r="E3" s="600"/>
      <c r="F3" s="600"/>
      <c r="G3" s="600"/>
      <c r="H3" s="600"/>
      <c r="I3" s="600"/>
      <c r="J3" s="12"/>
      <c r="K3" s="6"/>
      <c r="L3" s="13"/>
      <c r="M3" s="13"/>
      <c r="N3" s="14"/>
      <c r="O3" s="14"/>
      <c r="P3" s="15"/>
      <c r="Q3" s="14"/>
      <c r="R3" s="14"/>
      <c r="S3" s="14"/>
      <c r="T3" s="14"/>
      <c r="U3" s="14"/>
      <c r="V3" s="14"/>
      <c r="W3" s="16"/>
      <c r="X3" s="16"/>
      <c r="Y3" s="16"/>
      <c r="Z3" s="16"/>
      <c r="AA3" s="16"/>
      <c r="AB3" s="16"/>
      <c r="AC3" s="16"/>
    </row>
    <row r="4" spans="1:29" ht="12.75" customHeight="1" x14ac:dyDescent="0.5">
      <c r="A4" s="17"/>
      <c r="B4" s="18"/>
      <c r="C4" s="7"/>
      <c r="D4" s="7"/>
      <c r="E4" s="19"/>
      <c r="F4" s="20"/>
      <c r="G4" s="21"/>
      <c r="H4" s="22"/>
      <c r="I4" s="22"/>
      <c r="J4" s="23"/>
      <c r="K4" s="24"/>
      <c r="N4" s="14"/>
      <c r="O4" s="14"/>
      <c r="P4" s="25"/>
      <c r="Q4" s="14"/>
      <c r="R4" s="14"/>
      <c r="S4" s="20"/>
      <c r="U4" s="26"/>
      <c r="V4" s="26"/>
      <c r="W4" s="16"/>
      <c r="X4" s="26"/>
      <c r="Y4" s="27"/>
      <c r="Z4" s="16"/>
      <c r="AA4" s="16"/>
      <c r="AB4" s="16"/>
      <c r="AC4" s="16"/>
    </row>
    <row r="5" spans="1:29" x14ac:dyDescent="0.2">
      <c r="A5" s="28" t="s">
        <v>2</v>
      </c>
      <c r="B5" s="29"/>
      <c r="C5" s="30" t="s">
        <v>3</v>
      </c>
      <c r="D5" s="30" t="s">
        <v>4</v>
      </c>
      <c r="E5" s="31"/>
      <c r="F5" s="32"/>
      <c r="G5" s="32"/>
      <c r="H5" s="7"/>
      <c r="I5" s="22"/>
      <c r="J5" s="32"/>
      <c r="N5" s="14"/>
      <c r="O5" s="14"/>
      <c r="P5" s="14"/>
      <c r="Q5" s="14"/>
      <c r="R5" s="14"/>
      <c r="S5" s="20"/>
      <c r="U5" s="26"/>
      <c r="V5" s="26"/>
      <c r="W5" s="16"/>
      <c r="X5" s="26"/>
      <c r="Y5" s="27"/>
      <c r="Z5" s="16"/>
      <c r="AA5" s="16"/>
      <c r="AB5" s="16"/>
      <c r="AC5" s="16"/>
    </row>
    <row r="6" spans="1:29" x14ac:dyDescent="0.2">
      <c r="B6" s="33"/>
      <c r="C6" s="512" t="s">
        <v>5</v>
      </c>
      <c r="D6" s="512" t="s">
        <v>6</v>
      </c>
      <c r="E6" s="513" t="s">
        <v>7</v>
      </c>
      <c r="G6" s="32"/>
      <c r="H6" s="7"/>
      <c r="I6" s="22"/>
      <c r="J6" s="7"/>
      <c r="N6" s="14"/>
      <c r="O6" s="14"/>
      <c r="P6" s="14"/>
      <c r="Q6" s="14"/>
      <c r="R6" s="14"/>
      <c r="S6" s="20"/>
      <c r="U6" s="26"/>
      <c r="V6" s="26"/>
      <c r="W6" s="16"/>
      <c r="X6" s="26"/>
      <c r="Y6" s="16"/>
      <c r="Z6" s="16"/>
      <c r="AA6" s="16"/>
      <c r="AB6" s="16"/>
      <c r="AC6" s="16"/>
    </row>
    <row r="7" spans="1:29" ht="12.75" customHeight="1" x14ac:dyDescent="0.2">
      <c r="B7" s="34" t="s">
        <v>188</v>
      </c>
      <c r="C7" s="514">
        <v>125</v>
      </c>
      <c r="D7" s="515">
        <f>E7-C7</f>
        <v>17406</v>
      </c>
      <c r="E7" s="516">
        <v>17531</v>
      </c>
      <c r="F7" s="35"/>
      <c r="G7" s="517"/>
      <c r="H7" s="36"/>
      <c r="I7" s="22"/>
      <c r="J7" s="36">
        <v>52</v>
      </c>
      <c r="N7" s="14"/>
      <c r="O7" s="14"/>
      <c r="P7" s="14"/>
      <c r="Q7" s="14"/>
      <c r="R7" s="14"/>
      <c r="S7" s="20"/>
      <c r="U7" s="26"/>
      <c r="V7" s="26"/>
      <c r="W7" s="16"/>
      <c r="X7" s="26"/>
      <c r="Y7" s="16"/>
      <c r="Z7" s="16"/>
      <c r="AA7" s="16"/>
      <c r="AB7" s="16"/>
      <c r="AC7" s="16"/>
    </row>
    <row r="8" spans="1:29" ht="12.75" customHeight="1" x14ac:dyDescent="0.2">
      <c r="B8" s="34" t="s">
        <v>8</v>
      </c>
      <c r="C8" s="514">
        <v>256</v>
      </c>
      <c r="D8" s="515">
        <f>E8-C8</f>
        <v>97754</v>
      </c>
      <c r="E8" s="516">
        <v>98010</v>
      </c>
      <c r="F8" s="37"/>
      <c r="G8" s="518"/>
      <c r="H8" s="38"/>
      <c r="I8" s="22"/>
      <c r="J8" s="38"/>
      <c r="L8" s="39"/>
      <c r="N8" s="14"/>
      <c r="O8" s="14"/>
      <c r="P8" s="14"/>
      <c r="Q8" s="14"/>
      <c r="R8" s="14"/>
      <c r="S8" s="20"/>
      <c r="U8" s="26"/>
      <c r="V8" s="26"/>
      <c r="W8" s="16"/>
      <c r="X8" s="26"/>
      <c r="Y8" s="16"/>
      <c r="Z8" s="16"/>
      <c r="AA8" s="16"/>
      <c r="AB8" s="16"/>
      <c r="AC8" s="16"/>
    </row>
    <row r="9" spans="1:29" x14ac:dyDescent="0.2">
      <c r="B9" s="40" t="s">
        <v>7</v>
      </c>
      <c r="C9" s="519">
        <f>SUM(C7:C8)</f>
        <v>381</v>
      </c>
      <c r="D9" s="520">
        <f>SUM(D7:D8)</f>
        <v>115160</v>
      </c>
      <c r="E9" s="521">
        <f>SUM(E7:E8)</f>
        <v>115541</v>
      </c>
      <c r="F9" s="41"/>
      <c r="G9" s="42"/>
      <c r="H9" s="7"/>
      <c r="I9" s="7"/>
      <c r="J9" s="7"/>
      <c r="L9" s="39"/>
      <c r="O9" s="43"/>
      <c r="P9" s="44"/>
      <c r="Q9" s="44"/>
      <c r="R9" s="44"/>
      <c r="S9" s="26"/>
      <c r="U9" s="26"/>
      <c r="V9" s="26"/>
      <c r="W9" s="16"/>
      <c r="X9" s="26"/>
      <c r="Y9" s="16"/>
      <c r="Z9" s="16"/>
      <c r="AA9" s="16"/>
      <c r="AB9" s="16"/>
      <c r="AC9" s="16"/>
    </row>
    <row r="10" spans="1:29" x14ac:dyDescent="0.2">
      <c r="B10" s="45"/>
      <c r="C10" s="46"/>
      <c r="D10" s="42"/>
      <c r="E10" s="42"/>
      <c r="G10" s="47"/>
      <c r="H10" s="7"/>
      <c r="I10" s="7"/>
      <c r="J10" s="7"/>
      <c r="L10" s="39"/>
      <c r="O10" s="43"/>
      <c r="P10" s="44"/>
      <c r="Q10" s="44"/>
      <c r="R10" s="44"/>
      <c r="S10" s="26"/>
      <c r="U10" s="26"/>
      <c r="V10" s="26"/>
      <c r="W10" s="16"/>
      <c r="X10" s="26"/>
      <c r="Y10" s="16"/>
      <c r="Z10" s="16"/>
      <c r="AA10" s="16"/>
      <c r="AB10" s="16"/>
      <c r="AC10" s="16"/>
    </row>
    <row r="11" spans="1:29" s="11" customFormat="1" hidden="1" x14ac:dyDescent="0.2">
      <c r="A11" s="48" t="s">
        <v>9</v>
      </c>
      <c r="B11" s="49"/>
      <c r="C11" s="50"/>
      <c r="D11" s="8"/>
      <c r="E11" s="39"/>
      <c r="F11" s="51"/>
      <c r="G11" s="39"/>
      <c r="H11" s="52"/>
      <c r="I11" s="39"/>
      <c r="L11" s="51"/>
      <c r="O11" s="8"/>
      <c r="P11" s="53"/>
      <c r="Q11" s="53"/>
      <c r="R11" s="53"/>
      <c r="S11" s="8"/>
      <c r="T11" s="8"/>
      <c r="U11" s="8"/>
      <c r="V11" s="8"/>
    </row>
    <row r="12" spans="1:29" s="11" customFormat="1" hidden="1" x14ac:dyDescent="0.2">
      <c r="A12" s="4" t="s">
        <v>181</v>
      </c>
      <c r="B12" s="49"/>
      <c r="C12" s="50"/>
      <c r="D12" s="8"/>
      <c r="E12" s="39"/>
      <c r="F12" s="51"/>
      <c r="G12" s="39"/>
      <c r="H12" s="52"/>
      <c r="I12" s="39"/>
      <c r="J12" s="54"/>
      <c r="O12" s="8"/>
      <c r="P12" s="9"/>
      <c r="Q12" s="9"/>
      <c r="R12" s="9"/>
      <c r="S12" s="8"/>
      <c r="T12" s="8"/>
      <c r="U12" s="8"/>
      <c r="V12" s="8"/>
    </row>
    <row r="13" spans="1:29" s="11" customFormat="1" ht="39.75" hidden="1" customHeight="1" x14ac:dyDescent="0.2">
      <c r="A13" s="527" t="s">
        <v>10</v>
      </c>
      <c r="B13" s="527" t="s">
        <v>173</v>
      </c>
      <c r="C13" s="527" t="s">
        <v>11</v>
      </c>
      <c r="D13" s="527" t="s">
        <v>172</v>
      </c>
      <c r="E13" s="527" t="s">
        <v>171</v>
      </c>
      <c r="F13" s="527" t="s">
        <v>12</v>
      </c>
      <c r="G13" s="527" t="s">
        <v>13</v>
      </c>
      <c r="H13" s="527" t="s">
        <v>14</v>
      </c>
      <c r="I13" s="39"/>
      <c r="J13" s="541" t="s">
        <v>15</v>
      </c>
      <c r="K13" s="542" t="s">
        <v>13</v>
      </c>
      <c r="L13" s="542" t="s">
        <v>14</v>
      </c>
      <c r="O13" s="8"/>
      <c r="P13" s="8"/>
      <c r="Q13" s="8"/>
      <c r="R13" s="8"/>
      <c r="S13" s="8"/>
      <c r="T13" s="8"/>
      <c r="U13" s="8"/>
      <c r="V13" s="8"/>
    </row>
    <row r="14" spans="1:29" s="11" customFormat="1" hidden="1" x14ac:dyDescent="0.2">
      <c r="A14" s="524">
        <f>LN((C7/E7)/(C8/E8))</f>
        <v>1.0042350647320901</v>
      </c>
      <c r="B14" s="524">
        <f>SQRT((D7/(C7*E7)+(D8/(C8*E8))))</f>
        <v>0.10880719253728584</v>
      </c>
      <c r="C14" s="525">
        <f>-NORMSINV(2.5/100)</f>
        <v>1.9599639845400538</v>
      </c>
      <c r="D14" s="525">
        <f>A14-(C14*B14)</f>
        <v>0.79097688610009453</v>
      </c>
      <c r="E14" s="526">
        <f>A14+(C14*B14)</f>
        <v>1.2174932433640857</v>
      </c>
      <c r="F14" s="545">
        <f>(C7/E7)/(C8/E8)</f>
        <v>2.7298183396554676</v>
      </c>
      <c r="G14" s="546">
        <f>EXP(D14)</f>
        <v>2.2055499452978933</v>
      </c>
      <c r="H14" s="547">
        <f>EXP(E14)</f>
        <v>3.3787075116600178</v>
      </c>
      <c r="I14" s="39"/>
      <c r="J14" s="543">
        <f>1-F14</f>
        <v>-1.7298183396554676</v>
      </c>
      <c r="K14" s="544">
        <f>1-G14</f>
        <v>-1.2055499452978933</v>
      </c>
      <c r="L14" s="544">
        <f>1-H14</f>
        <v>-2.3787075116600178</v>
      </c>
      <c r="M14" s="522"/>
      <c r="O14" s="8"/>
      <c r="P14" s="8"/>
      <c r="Q14" s="8"/>
      <c r="R14" s="8"/>
      <c r="S14" s="8"/>
      <c r="T14" s="8"/>
      <c r="U14" s="8"/>
      <c r="V14" s="8"/>
    </row>
    <row r="15" spans="1:29" s="11" customFormat="1" hidden="1" x14ac:dyDescent="0.2">
      <c r="B15" s="49"/>
      <c r="C15" s="55"/>
      <c r="D15" s="56"/>
      <c r="E15" s="57"/>
      <c r="F15" s="58"/>
      <c r="G15" s="59"/>
      <c r="H15" s="56"/>
      <c r="I15" s="39"/>
      <c r="J15" s="51"/>
      <c r="K15" s="51"/>
      <c r="L15" s="51"/>
      <c r="O15" s="8"/>
      <c r="P15" s="8"/>
      <c r="Q15" s="8"/>
      <c r="R15" s="8"/>
      <c r="S15" s="8"/>
      <c r="T15" s="8"/>
      <c r="U15" s="8"/>
      <c r="V15" s="8"/>
    </row>
    <row r="16" spans="1:29" s="16" customFormat="1" hidden="1" x14ac:dyDescent="0.2">
      <c r="B16" s="60"/>
      <c r="C16" s="61"/>
      <c r="D16" s="62"/>
      <c r="E16" s="63"/>
      <c r="F16" s="64"/>
      <c r="G16" s="65"/>
      <c r="H16" s="66"/>
      <c r="I16" s="67"/>
      <c r="L16" s="68"/>
      <c r="M16" s="68"/>
    </row>
    <row r="17" spans="1:29" ht="18.75" hidden="1" x14ac:dyDescent="0.3">
      <c r="A17" s="69" t="s">
        <v>16</v>
      </c>
      <c r="B17" s="70"/>
      <c r="C17" s="71"/>
      <c r="D17" s="72"/>
      <c r="E17" s="67"/>
      <c r="F17" s="67"/>
      <c r="G17" s="67"/>
      <c r="H17" s="73"/>
      <c r="I17" s="67"/>
      <c r="J17" s="16"/>
      <c r="K17" s="74"/>
      <c r="L17" s="8"/>
      <c r="M17" s="75"/>
      <c r="N17" s="75"/>
      <c r="O17" s="8"/>
      <c r="P17" s="8"/>
      <c r="Q17" s="76"/>
      <c r="R17" s="75"/>
      <c r="S17" s="77"/>
      <c r="T17" s="77"/>
      <c r="U17" s="77"/>
      <c r="V17" s="16"/>
      <c r="W17" s="16"/>
      <c r="X17" s="16"/>
      <c r="Y17" s="16"/>
      <c r="Z17" s="16"/>
      <c r="AA17" s="16"/>
      <c r="AB17" s="16"/>
    </row>
    <row r="18" spans="1:29" hidden="1" x14ac:dyDescent="0.2">
      <c r="A18" s="83" t="s">
        <v>17</v>
      </c>
      <c r="B18" s="528" t="s">
        <v>182</v>
      </c>
      <c r="C18" s="79"/>
      <c r="D18" s="80"/>
      <c r="E18" s="81"/>
      <c r="F18" s="81"/>
      <c r="G18" s="81"/>
      <c r="H18" s="82"/>
      <c r="I18" s="81"/>
      <c r="J18" s="83"/>
      <c r="K18" s="84"/>
      <c r="L18" s="85"/>
      <c r="M18" s="75"/>
      <c r="N18" s="8"/>
      <c r="O18" s="8"/>
      <c r="P18" s="76"/>
      <c r="Q18" s="75"/>
      <c r="R18" s="77"/>
      <c r="S18" s="77"/>
      <c r="T18" s="77"/>
      <c r="V18" s="16" t="s">
        <v>18</v>
      </c>
      <c r="W18" s="16"/>
      <c r="X18" s="16"/>
      <c r="Y18" s="16"/>
      <c r="Z18" s="16"/>
      <c r="AA18" s="16"/>
    </row>
    <row r="19" spans="1:29" ht="13.5" hidden="1" customHeight="1" thickBot="1" x14ac:dyDescent="0.25">
      <c r="A19" s="529" t="s">
        <v>183</v>
      </c>
      <c r="B19" s="4" t="s">
        <v>19</v>
      </c>
      <c r="C19" s="11"/>
      <c r="D19" s="4" t="s">
        <v>184</v>
      </c>
      <c r="F19" s="4" t="s">
        <v>20</v>
      </c>
      <c r="H19" s="4" t="s">
        <v>21</v>
      </c>
      <c r="I19" s="77"/>
      <c r="J19" s="77"/>
      <c r="K19" s="77"/>
      <c r="L19" s="85"/>
      <c r="M19" s="16"/>
      <c r="O19" s="4"/>
      <c r="S19" s="16"/>
      <c r="U19" s="4"/>
      <c r="V19" s="4" t="s">
        <v>22</v>
      </c>
      <c r="X19" s="87"/>
      <c r="Y19" s="87"/>
      <c r="Z19" s="87"/>
      <c r="AA19" s="87"/>
      <c r="AB19" s="87"/>
      <c r="AC19" s="87"/>
    </row>
    <row r="20" spans="1:29" ht="38.25" hidden="1" customHeight="1" x14ac:dyDescent="0.2">
      <c r="A20" s="527" t="s">
        <v>23</v>
      </c>
      <c r="B20" s="527" t="s">
        <v>24</v>
      </c>
      <c r="C20" s="445" t="s">
        <v>25</v>
      </c>
      <c r="D20" s="445" t="s">
        <v>19</v>
      </c>
      <c r="E20" s="445" t="s">
        <v>184</v>
      </c>
      <c r="F20" s="445" t="s">
        <v>20</v>
      </c>
      <c r="G20" s="445" t="s">
        <v>21</v>
      </c>
      <c r="H20" s="548" t="s">
        <v>11</v>
      </c>
      <c r="I20" s="549" t="s">
        <v>26</v>
      </c>
      <c r="J20" s="549" t="s">
        <v>13</v>
      </c>
      <c r="K20" s="445" t="s">
        <v>14</v>
      </c>
      <c r="L20" s="88"/>
      <c r="M20" s="89"/>
      <c r="N20" s="90" t="s">
        <v>27</v>
      </c>
      <c r="O20" s="91" t="s">
        <v>28</v>
      </c>
      <c r="P20" s="92"/>
      <c r="Q20" s="93"/>
      <c r="R20" s="94"/>
      <c r="S20" s="94"/>
      <c r="T20" s="95"/>
      <c r="V20" s="96"/>
      <c r="W20" s="90" t="s">
        <v>29</v>
      </c>
      <c r="X20" s="91" t="s">
        <v>30</v>
      </c>
      <c r="Y20" s="97"/>
      <c r="Z20" s="97"/>
      <c r="AA20" s="97"/>
      <c r="AB20" s="97"/>
      <c r="AC20" s="98"/>
    </row>
    <row r="21" spans="1:29" ht="12.75" hidden="1" customHeight="1" x14ac:dyDescent="0.2">
      <c r="A21" s="530">
        <f>C7</f>
        <v>125</v>
      </c>
      <c r="B21" s="530">
        <f>E7</f>
        <v>17531</v>
      </c>
      <c r="C21" s="531">
        <f>A21/B21</f>
        <v>7.1302264559922422E-3</v>
      </c>
      <c r="D21" s="532">
        <f>2*A21+H21^2</f>
        <v>253.84145882069413</v>
      </c>
      <c r="E21" s="532">
        <f>H21*SQRT((H21^2)+(4*A21*(1-C21)))</f>
        <v>43.838236512908367</v>
      </c>
      <c r="F21" s="533">
        <f>2*(B21+H21^2)</f>
        <v>35069.682917641388</v>
      </c>
      <c r="G21" s="534" t="s">
        <v>31</v>
      </c>
      <c r="H21" s="535">
        <f>-NORMSINV(2.5/100)</f>
        <v>1.9599639845400538</v>
      </c>
      <c r="I21" s="531">
        <f>C21</f>
        <v>7.1302264559922422E-3</v>
      </c>
      <c r="J21" s="550">
        <f>(D21-E21)/F21</f>
        <v>5.9881699757868678E-3</v>
      </c>
      <c r="K21" s="551">
        <f>(D21+E21)/F21</f>
        <v>8.4882345823508489E-3</v>
      </c>
      <c r="L21" s="88"/>
      <c r="M21" s="99">
        <f>B21</f>
        <v>17531</v>
      </c>
      <c r="N21" s="32" t="s">
        <v>32</v>
      </c>
      <c r="O21" s="8"/>
      <c r="P21" s="76"/>
      <c r="Q21" s="75"/>
      <c r="R21" s="77"/>
      <c r="S21" s="77"/>
      <c r="T21" s="100"/>
      <c r="V21" s="101">
        <f>ABS(C21-C22)</f>
        <v>4.5182480864381152E-3</v>
      </c>
      <c r="W21" s="32" t="s">
        <v>33</v>
      </c>
      <c r="X21" s="8"/>
      <c r="Y21" s="32"/>
      <c r="Z21" s="32"/>
      <c r="AA21" s="32"/>
      <c r="AB21" s="32"/>
      <c r="AC21" s="102"/>
    </row>
    <row r="22" spans="1:29" hidden="1" x14ac:dyDescent="0.2">
      <c r="A22" s="530">
        <f>C8</f>
        <v>256</v>
      </c>
      <c r="B22" s="530">
        <f>E8</f>
        <v>98010</v>
      </c>
      <c r="C22" s="531">
        <f>A22/B22</f>
        <v>2.6119783695541269E-3</v>
      </c>
      <c r="D22" s="532">
        <f>2*A22+H22^2</f>
        <v>515.84145882069413</v>
      </c>
      <c r="E22" s="532">
        <f>H22*SQRT((H22^2)+(4*A22*(1-C22)))</f>
        <v>62.754569710407175</v>
      </c>
      <c r="F22" s="533">
        <f>2*(B22+H22^2)</f>
        <v>196027.68291764139</v>
      </c>
      <c r="G22" s="534" t="s">
        <v>31</v>
      </c>
      <c r="H22" s="535">
        <f>-NORMSINV(2.5/100)</f>
        <v>1.9599639845400538</v>
      </c>
      <c r="I22" s="531">
        <f>C22</f>
        <v>2.6119783695541269E-3</v>
      </c>
      <c r="J22" s="550">
        <f>(D22-E22)/F22</f>
        <v>2.3113413491738606E-3</v>
      </c>
      <c r="K22" s="551">
        <f>(D22+E22)/F22</f>
        <v>2.9516036710702299E-3</v>
      </c>
      <c r="L22" s="88"/>
      <c r="M22" s="103">
        <f>I26</f>
        <v>-4.5182480864381152E-3</v>
      </c>
      <c r="N22" s="32" t="s">
        <v>34</v>
      </c>
      <c r="O22" s="32"/>
      <c r="P22" s="32"/>
      <c r="Q22" s="32"/>
      <c r="R22" s="32"/>
      <c r="S22" s="32"/>
      <c r="T22" s="104"/>
      <c r="V22" s="105">
        <f>SQRT((C23*(1-C23)/B21)+(C23*(1-C23)/B22))</f>
        <v>4.7011782201569145E-4</v>
      </c>
      <c r="W22" s="106" t="s">
        <v>35</v>
      </c>
      <c r="X22" s="32"/>
      <c r="Y22" s="32"/>
      <c r="Z22" s="32"/>
      <c r="AA22" s="32"/>
      <c r="AB22" s="32"/>
      <c r="AC22" s="102"/>
    </row>
    <row r="23" spans="1:29" hidden="1" x14ac:dyDescent="0.2">
      <c r="A23" s="536">
        <f>A21+A22</f>
        <v>381</v>
      </c>
      <c r="B23" s="536">
        <f>B21+B22</f>
        <v>115541</v>
      </c>
      <c r="C23" s="537">
        <f>A23/B23</f>
        <v>3.2975307466613585E-3</v>
      </c>
      <c r="D23" s="538"/>
      <c r="E23" s="538"/>
      <c r="F23" s="539"/>
      <c r="G23" s="7"/>
      <c r="H23" s="75"/>
      <c r="I23" s="540"/>
      <c r="J23" s="540"/>
      <c r="K23" s="540"/>
      <c r="L23" s="88"/>
      <c r="M23" s="107">
        <f>(A21+A22)/(B21+B22)</f>
        <v>3.2975307466613585E-3</v>
      </c>
      <c r="N23" s="32" t="s">
        <v>36</v>
      </c>
      <c r="O23" s="8"/>
      <c r="P23" s="76"/>
      <c r="Q23" s="75"/>
      <c r="R23" s="77"/>
      <c r="S23" s="77"/>
      <c r="T23" s="102"/>
      <c r="V23" s="108">
        <f>V21/V22</f>
        <v>9.6108844950092251</v>
      </c>
      <c r="W23" s="32" t="s">
        <v>37</v>
      </c>
      <c r="X23" s="8"/>
      <c r="Y23" s="32"/>
      <c r="Z23" s="32"/>
      <c r="AA23" s="32"/>
      <c r="AB23" s="32"/>
      <c r="AC23" s="102"/>
    </row>
    <row r="24" spans="1:29" hidden="1" x14ac:dyDescent="0.2">
      <c r="A24" s="86"/>
      <c r="B24" s="78" t="s">
        <v>38</v>
      </c>
      <c r="C24" s="86"/>
      <c r="D24" s="86"/>
      <c r="E24" s="81"/>
      <c r="F24" s="81"/>
      <c r="G24" s="81"/>
      <c r="H24" s="82"/>
      <c r="I24" s="81"/>
      <c r="J24" s="83"/>
      <c r="K24" s="86"/>
      <c r="L24" s="88"/>
      <c r="M24" s="109">
        <f>SQRT(M21*M22^2/(2*M23*(1-M23)))-H21</f>
        <v>5.4187593445725257</v>
      </c>
      <c r="N24" s="32" t="s">
        <v>39</v>
      </c>
      <c r="O24" s="32"/>
      <c r="P24" s="32"/>
      <c r="Q24" s="32"/>
      <c r="R24" s="32"/>
      <c r="S24" s="11"/>
      <c r="T24" s="100"/>
      <c r="V24" s="110">
        <f>NORMSDIST(-V23)</f>
        <v>3.5964210663011927E-22</v>
      </c>
      <c r="W24" s="74" t="s">
        <v>40</v>
      </c>
      <c r="X24" s="32"/>
      <c r="Y24" s="11"/>
      <c r="Z24" s="11"/>
      <c r="AA24" s="11"/>
      <c r="AB24" s="11"/>
      <c r="AC24" s="104"/>
    </row>
    <row r="25" spans="1:29" ht="13.5" hidden="1" customHeight="1" x14ac:dyDescent="0.2">
      <c r="A25" s="86"/>
      <c r="B25" s="78" t="s">
        <v>41</v>
      </c>
      <c r="C25" s="79"/>
      <c r="D25" s="80"/>
      <c r="E25" s="81"/>
      <c r="F25" s="81"/>
      <c r="I25" s="111"/>
      <c r="J25" s="111"/>
      <c r="K25" s="111"/>
      <c r="L25" s="88"/>
      <c r="M25" s="112">
        <f>NORMSDIST(M24)</f>
        <v>0.99999996999298235</v>
      </c>
      <c r="N25" s="74" t="s">
        <v>42</v>
      </c>
      <c r="O25" s="113"/>
      <c r="P25" s="32"/>
      <c r="Q25" s="32"/>
      <c r="R25" s="32"/>
      <c r="S25" s="32"/>
      <c r="T25" s="102"/>
      <c r="V25" s="114">
        <f>1-V24</f>
        <v>1</v>
      </c>
      <c r="W25" s="115" t="s">
        <v>43</v>
      </c>
      <c r="X25" s="113"/>
      <c r="Y25" s="11"/>
      <c r="Z25" s="11"/>
      <c r="AA25" s="11"/>
      <c r="AB25" s="11"/>
      <c r="AC25" s="104"/>
    </row>
    <row r="26" spans="1:29" ht="15" hidden="1" customHeight="1" thickBot="1" x14ac:dyDescent="0.35">
      <c r="A26" s="116" t="s">
        <v>44</v>
      </c>
      <c r="B26" s="117"/>
      <c r="D26" s="79"/>
      <c r="E26" s="118" t="s">
        <v>45</v>
      </c>
      <c r="F26" s="86"/>
      <c r="G26" s="79"/>
      <c r="H26" s="523" t="s">
        <v>46</v>
      </c>
      <c r="I26" s="552">
        <f>C22-C21</f>
        <v>-4.5182480864381152E-3</v>
      </c>
      <c r="J26" s="553">
        <f>I26+SQRT((C22-J22)^2+(K21-C21)^2)</f>
        <v>-3.1273603521909769E-3</v>
      </c>
      <c r="K26" s="554">
        <f>I26-SQRT((C21-J21)^2+(K22-C22)^2)</f>
        <v>-5.7097338603393369E-3</v>
      </c>
      <c r="L26" s="32"/>
      <c r="M26" s="119">
        <f>1-M25</f>
        <v>3.0007017648436829E-8</v>
      </c>
      <c r="N26" s="120" t="s">
        <v>47</v>
      </c>
      <c r="O26" s="121"/>
      <c r="P26" s="122"/>
      <c r="Q26" s="121"/>
      <c r="R26" s="121"/>
      <c r="S26" s="121"/>
      <c r="T26" s="123"/>
      <c r="V26" s="124"/>
      <c r="W26" s="125"/>
      <c r="X26" s="121"/>
      <c r="Y26" s="125"/>
      <c r="Z26" s="125"/>
      <c r="AA26" s="125"/>
      <c r="AB26" s="125"/>
      <c r="AC26" s="126"/>
    </row>
    <row r="27" spans="1:29" hidden="1" x14ac:dyDescent="0.2">
      <c r="C27" s="41"/>
      <c r="E27" s="127"/>
      <c r="H27" s="523" t="s">
        <v>48</v>
      </c>
      <c r="I27" s="555">
        <f>1/I26</f>
        <v>-221.32472163305516</v>
      </c>
      <c r="J27" s="556">
        <f>1/J26</f>
        <v>-319.75848235698726</v>
      </c>
      <c r="K27" s="557">
        <f>1/K26</f>
        <v>-175.13951165852916</v>
      </c>
      <c r="L27" s="42"/>
      <c r="N27" s="4"/>
      <c r="O27" s="4"/>
      <c r="T27" s="4"/>
      <c r="U27" s="4"/>
      <c r="V27" s="16"/>
      <c r="W27" s="16"/>
      <c r="X27" s="16"/>
      <c r="Y27" s="16"/>
      <c r="Z27" s="16"/>
      <c r="AA27" s="16"/>
      <c r="AB27" s="16"/>
    </row>
    <row r="28" spans="1:29" hidden="1" x14ac:dyDescent="0.2">
      <c r="A28" s="11"/>
      <c r="B28" s="128"/>
      <c r="C28" s="41"/>
      <c r="D28" s="129"/>
      <c r="I28" s="130"/>
      <c r="J28" s="131"/>
      <c r="K28" s="131"/>
      <c r="L28" s="132"/>
      <c r="M28" s="132"/>
      <c r="N28" s="19"/>
      <c r="O28" s="19"/>
      <c r="P28" s="19"/>
      <c r="Q28" s="19"/>
      <c r="R28" s="19"/>
      <c r="S28" s="19"/>
      <c r="T28" s="4"/>
      <c r="U28" s="4"/>
    </row>
    <row r="29" spans="1:29" ht="15.75" hidden="1" x14ac:dyDescent="0.25">
      <c r="A29" s="54"/>
      <c r="B29" s="54"/>
      <c r="C29" s="128"/>
      <c r="D29" s="129"/>
      <c r="E29" s="133"/>
      <c r="F29" s="134"/>
      <c r="G29" s="135" t="s">
        <v>49</v>
      </c>
      <c r="H29" s="136" t="s">
        <v>50</v>
      </c>
      <c r="I29" s="585">
        <f>I27</f>
        <v>-221.32472163305516</v>
      </c>
      <c r="J29" s="585">
        <f>J27</f>
        <v>-319.75848235698726</v>
      </c>
      <c r="K29" s="585">
        <f>K27</f>
        <v>-175.13951165852916</v>
      </c>
      <c r="L29" s="47"/>
      <c r="T29" s="4"/>
      <c r="U29" s="4"/>
    </row>
    <row r="30" spans="1:29" s="11" customFormat="1" hidden="1" x14ac:dyDescent="0.2">
      <c r="A30" s="39"/>
      <c r="B30" s="129"/>
      <c r="C30" s="129"/>
      <c r="D30" s="138"/>
      <c r="E30" s="139"/>
      <c r="F30" s="562"/>
      <c r="G30" s="563"/>
      <c r="H30" s="564" t="s">
        <v>51</v>
      </c>
      <c r="I30" s="565">
        <f>(1-C22)*I27</f>
        <v>-220.74662624750204</v>
      </c>
      <c r="J30" s="565">
        <f>(1-C22)*J27</f>
        <v>-318.92328011758934</v>
      </c>
      <c r="K30" s="565">
        <f>(1-C22)*K27</f>
        <v>-174.68205104242278</v>
      </c>
      <c r="L30" s="4"/>
      <c r="M30" s="4"/>
      <c r="N30" s="16"/>
      <c r="O30" s="16"/>
      <c r="P30" s="4"/>
      <c r="Q30" s="4"/>
      <c r="R30" s="4"/>
      <c r="S30" s="4"/>
    </row>
    <row r="31" spans="1:29" s="11" customFormat="1" hidden="1" x14ac:dyDescent="0.2">
      <c r="B31" s="128"/>
      <c r="C31" s="128"/>
      <c r="D31" s="128"/>
      <c r="E31" s="140"/>
      <c r="F31" s="566"/>
      <c r="G31" s="567"/>
      <c r="H31" s="568" t="s">
        <v>52</v>
      </c>
      <c r="I31" s="569">
        <f>I27*I26</f>
        <v>1</v>
      </c>
      <c r="J31" s="569">
        <f>J27*J26</f>
        <v>1</v>
      </c>
      <c r="K31" s="569">
        <f>K27*K26</f>
        <v>1</v>
      </c>
    </row>
    <row r="32" spans="1:29" s="11" customFormat="1" hidden="1" x14ac:dyDescent="0.2">
      <c r="A32" s="51"/>
      <c r="B32" s="142"/>
      <c r="D32" s="51"/>
      <c r="F32" s="570"/>
      <c r="G32" s="571"/>
      <c r="H32" s="572" t="s">
        <v>53</v>
      </c>
      <c r="I32" s="573">
        <f>(C22-I26)*I27</f>
        <v>-1.5780953855531283</v>
      </c>
      <c r="J32" s="573">
        <f>(C22-J26)*J27</f>
        <v>-1.8352022393979055</v>
      </c>
      <c r="K32" s="573">
        <f>(C22-K26)*K27</f>
        <v>-1.457460616106351</v>
      </c>
    </row>
    <row r="33" spans="1:21" s="11" customFormat="1" hidden="1" x14ac:dyDescent="0.2">
      <c r="A33" s="51"/>
      <c r="F33" s="143"/>
      <c r="G33" s="143"/>
      <c r="H33" s="143"/>
      <c r="I33" s="144"/>
      <c r="J33" s="144"/>
      <c r="K33" s="144"/>
    </row>
    <row r="34" spans="1:21" s="11" customFormat="1" ht="15.75" hidden="1" x14ac:dyDescent="0.25">
      <c r="E34" s="145"/>
      <c r="F34" s="146"/>
      <c r="G34" s="135" t="s">
        <v>54</v>
      </c>
      <c r="H34" s="136" t="s">
        <v>55</v>
      </c>
      <c r="I34" s="137">
        <f>ABS(I27)</f>
        <v>221.32472163305516</v>
      </c>
      <c r="J34" s="137">
        <f>ABS(K27)</f>
        <v>175.13951165852916</v>
      </c>
      <c r="K34" s="137">
        <f>ABS(J27)</f>
        <v>319.75848235698726</v>
      </c>
      <c r="M34" s="147"/>
      <c r="N34" s="147"/>
      <c r="O34" s="148"/>
      <c r="P34" s="149"/>
    </row>
    <row r="35" spans="1:21" s="11" customFormat="1" ht="13.5" hidden="1" customHeight="1" x14ac:dyDescent="0.2">
      <c r="F35" s="578"/>
      <c r="G35" s="579"/>
      <c r="H35" s="580" t="s">
        <v>51</v>
      </c>
      <c r="I35" s="565">
        <f>ABS((1-(C22-I26))*I27)</f>
        <v>219.74662624750204</v>
      </c>
      <c r="J35" s="565">
        <f>ABS((1-(C22-K26))*K27)</f>
        <v>173.68205104242281</v>
      </c>
      <c r="K35" s="565">
        <f>ABS((1-(C22-J26))*J27)</f>
        <v>317.92328011758934</v>
      </c>
      <c r="M35" s="147"/>
      <c r="N35" s="147"/>
      <c r="O35" s="147"/>
      <c r="P35" s="149"/>
    </row>
    <row r="36" spans="1:21" s="11" customFormat="1" hidden="1" x14ac:dyDescent="0.2">
      <c r="E36" s="151"/>
      <c r="F36" s="574"/>
      <c r="G36" s="581"/>
      <c r="H36" s="582" t="s">
        <v>56</v>
      </c>
      <c r="I36" s="575">
        <f>I27*I26</f>
        <v>1</v>
      </c>
      <c r="J36" s="576">
        <f>K27*K26</f>
        <v>1</v>
      </c>
      <c r="K36" s="576">
        <f>J27*J26</f>
        <v>1</v>
      </c>
    </row>
    <row r="37" spans="1:21" ht="15.75" hidden="1" x14ac:dyDescent="0.25">
      <c r="A37" s="152" t="s">
        <v>57</v>
      </c>
      <c r="B37" s="153"/>
      <c r="C37" s="153"/>
      <c r="D37" s="153"/>
      <c r="E37" s="143"/>
      <c r="F37" s="577"/>
      <c r="G37" s="583"/>
      <c r="H37" s="584" t="s">
        <v>58</v>
      </c>
      <c r="I37" s="573">
        <f>ABS(C22*I27)</f>
        <v>0.57809538555312845</v>
      </c>
      <c r="J37" s="573">
        <f>ABS(C22*K27)</f>
        <v>0.45746061610635097</v>
      </c>
      <c r="K37" s="573">
        <f>ABS(C22*J27)</f>
        <v>0.83520223939790561</v>
      </c>
      <c r="M37" s="11"/>
      <c r="N37" s="11"/>
      <c r="O37" s="11"/>
      <c r="P37" s="11"/>
      <c r="Q37" s="11"/>
      <c r="T37" s="4"/>
      <c r="U37" s="4"/>
    </row>
    <row r="38" spans="1:21" s="16" customFormat="1" hidden="1" x14ac:dyDescent="0.2">
      <c r="A38" s="4"/>
      <c r="B38" s="154" t="s">
        <v>3</v>
      </c>
      <c r="C38" s="155" t="s">
        <v>4</v>
      </c>
      <c r="D38" s="32"/>
      <c r="E38" s="143"/>
      <c r="F38" s="143"/>
      <c r="G38" s="156"/>
      <c r="H38" s="157"/>
      <c r="I38" s="158"/>
      <c r="J38" s="158"/>
      <c r="K38" s="158"/>
      <c r="M38" s="11"/>
      <c r="N38" s="11"/>
      <c r="O38" s="11"/>
      <c r="P38" s="11"/>
      <c r="Q38" s="11"/>
    </row>
    <row r="39" spans="1:21" hidden="1" x14ac:dyDescent="0.2">
      <c r="A39" s="159" t="s">
        <v>59</v>
      </c>
      <c r="B39" s="160" t="s">
        <v>5</v>
      </c>
      <c r="C39" s="161" t="s">
        <v>6</v>
      </c>
      <c r="D39" s="162" t="s">
        <v>7</v>
      </c>
      <c r="M39" s="11"/>
      <c r="N39" s="11"/>
      <c r="O39" s="11"/>
      <c r="P39" s="11"/>
      <c r="Q39" s="11"/>
      <c r="T39" s="4"/>
      <c r="U39" s="4"/>
    </row>
    <row r="40" spans="1:21" hidden="1" x14ac:dyDescent="0.2">
      <c r="A40" s="163" t="s">
        <v>60</v>
      </c>
      <c r="B40" s="164">
        <f>E7*C9/E9</f>
        <v>57.809011519720272</v>
      </c>
      <c r="C40" s="164">
        <f>E7*D9/E9</f>
        <v>17473.190988480281</v>
      </c>
      <c r="D40" s="164">
        <f>E7</f>
        <v>17531</v>
      </c>
      <c r="F40" s="165"/>
      <c r="G40" s="166" t="s">
        <v>61</v>
      </c>
      <c r="H40" s="167">
        <f>CHIINV(0.05,J41)</f>
        <v>3.8414588206941236</v>
      </c>
      <c r="M40" s="11"/>
      <c r="N40" s="147"/>
      <c r="O40" s="147"/>
      <c r="P40" s="147"/>
      <c r="Q40" s="11"/>
      <c r="T40" s="4"/>
      <c r="U40" s="4"/>
    </row>
    <row r="41" spans="1:21" hidden="1" x14ac:dyDescent="0.2">
      <c r="A41" s="163" t="s">
        <v>62</v>
      </c>
      <c r="B41" s="164">
        <f>E8*C9/E9</f>
        <v>323.19098848027971</v>
      </c>
      <c r="C41" s="164">
        <f>E8*D9/E9</f>
        <v>97686.809011519726</v>
      </c>
      <c r="D41" s="164">
        <f>E8</f>
        <v>98010</v>
      </c>
      <c r="E41" s="16"/>
      <c r="F41" s="168"/>
      <c r="G41" s="168"/>
      <c r="H41" s="134"/>
      <c r="I41" s="169" t="s">
        <v>63</v>
      </c>
      <c r="J41" s="170">
        <f>(COUNT(B40:C40)-1)*(COUNT(B40:B41)-1)</f>
        <v>1</v>
      </c>
      <c r="N41" s="147"/>
      <c r="O41" s="147"/>
      <c r="P41" s="147"/>
      <c r="Q41" s="11"/>
      <c r="T41" s="4"/>
      <c r="U41" s="4"/>
    </row>
    <row r="42" spans="1:21" hidden="1" x14ac:dyDescent="0.2">
      <c r="A42" s="79" t="s">
        <v>64</v>
      </c>
      <c r="B42" s="164">
        <f>SUM(B40:B41)</f>
        <v>381</v>
      </c>
      <c r="C42" s="164">
        <f>SUM(C40:C41)</f>
        <v>115160</v>
      </c>
      <c r="D42" s="171">
        <f>SUM(D40:D41)</f>
        <v>115541</v>
      </c>
      <c r="E42" s="16"/>
      <c r="F42" s="16"/>
      <c r="G42" s="172" t="s">
        <v>65</v>
      </c>
      <c r="H42" s="32" t="s">
        <v>66</v>
      </c>
      <c r="N42" s="147"/>
      <c r="O42" s="148"/>
      <c r="P42" s="147"/>
      <c r="Q42" s="11"/>
      <c r="T42" s="4"/>
      <c r="U42" s="4"/>
    </row>
    <row r="43" spans="1:21" hidden="1" x14ac:dyDescent="0.2">
      <c r="A43" s="79"/>
      <c r="B43" s="173"/>
      <c r="C43" s="173"/>
      <c r="D43" s="174"/>
      <c r="E43" s="16"/>
      <c r="F43" s="16"/>
      <c r="G43" s="172" t="s">
        <v>67</v>
      </c>
      <c r="H43" s="32" t="s">
        <v>186</v>
      </c>
      <c r="N43" s="149"/>
      <c r="O43" s="149"/>
      <c r="P43" s="149"/>
      <c r="Q43" s="11"/>
      <c r="T43" s="4"/>
      <c r="U43" s="4"/>
    </row>
    <row r="44" spans="1:21" ht="26.25" hidden="1" customHeight="1" x14ac:dyDescent="0.2">
      <c r="A44" s="175"/>
      <c r="B44" s="601" t="s">
        <v>68</v>
      </c>
      <c r="C44" s="602"/>
      <c r="F44" s="79"/>
      <c r="G44" s="176"/>
      <c r="H44" s="86"/>
      <c r="N44" s="4"/>
      <c r="O44" s="4"/>
      <c r="T44" s="4"/>
      <c r="U44" s="4"/>
    </row>
    <row r="45" spans="1:21" hidden="1" x14ac:dyDescent="0.2">
      <c r="A45" s="175"/>
      <c r="B45" s="177">
        <f>(C7-B40)^2/B40</f>
        <v>78.095591228315953</v>
      </c>
      <c r="C45" s="177">
        <f>(D7-C40)^2/C40</f>
        <v>0.25837461147958773</v>
      </c>
      <c r="E45" s="159"/>
      <c r="F45" s="178"/>
      <c r="I45" s="11"/>
      <c r="J45" s="11"/>
      <c r="K45" s="179"/>
      <c r="N45" s="4"/>
      <c r="O45" s="4"/>
      <c r="T45" s="4"/>
      <c r="U45" s="4"/>
    </row>
    <row r="46" spans="1:21" hidden="1" x14ac:dyDescent="0.2">
      <c r="A46" s="175"/>
      <c r="B46" s="177">
        <f>(C8-B41)^2/B41</f>
        <v>13.968919598241063</v>
      </c>
      <c r="C46" s="177">
        <f>(D8-C41)^2/C41</f>
        <v>4.6215338372081131E-2</v>
      </c>
      <c r="D46" s="24"/>
      <c r="E46" s="180" t="s">
        <v>69</v>
      </c>
      <c r="F46" s="561">
        <f>B48-H40</f>
        <v>88.527641955714543</v>
      </c>
      <c r="I46" s="11"/>
      <c r="J46" s="11"/>
      <c r="N46" s="4"/>
      <c r="O46" s="4"/>
      <c r="T46" s="4"/>
      <c r="U46" s="4"/>
    </row>
    <row r="47" spans="1:21" ht="13.5" hidden="1" customHeight="1" x14ac:dyDescent="0.2">
      <c r="A47" s="32" t="s">
        <v>70</v>
      </c>
      <c r="C47" s="181"/>
      <c r="F47" s="86" t="s">
        <v>71</v>
      </c>
      <c r="I47" s="11"/>
      <c r="J47" s="11"/>
      <c r="N47" s="4"/>
      <c r="O47" s="4"/>
      <c r="T47" s="4"/>
      <c r="U47" s="4"/>
    </row>
    <row r="48" spans="1:21" ht="13.5" hidden="1" customHeight="1" x14ac:dyDescent="0.2">
      <c r="A48" s="172" t="s">
        <v>72</v>
      </c>
      <c r="B48" s="559">
        <f>SUM(B45:C46)</f>
        <v>92.369100776408672</v>
      </c>
      <c r="C48" s="32"/>
      <c r="F48" s="86" t="s">
        <v>185</v>
      </c>
      <c r="H48" s="182"/>
      <c r="I48" s="11"/>
      <c r="J48" s="11"/>
      <c r="K48" s="183"/>
      <c r="N48" s="4"/>
      <c r="O48" s="4"/>
      <c r="T48" s="4"/>
      <c r="U48" s="4"/>
    </row>
    <row r="49" spans="1:21" hidden="1" x14ac:dyDescent="0.2">
      <c r="A49" s="558" t="s">
        <v>73</v>
      </c>
      <c r="B49" s="560">
        <f>CHIDIST(B48,1)</f>
        <v>7.1928421326026966E-22</v>
      </c>
      <c r="D49" s="32"/>
      <c r="E49" s="32"/>
      <c r="F49" s="32"/>
      <c r="G49" s="184"/>
      <c r="H49" s="32"/>
      <c r="I49" s="11"/>
      <c r="J49" s="11"/>
      <c r="K49" s="32"/>
      <c r="N49" s="4"/>
      <c r="O49" s="4"/>
      <c r="T49" s="4"/>
      <c r="U49" s="4"/>
    </row>
    <row r="50" spans="1:21" s="11" customFormat="1" hidden="1" x14ac:dyDescent="0.2">
      <c r="D50" s="185"/>
      <c r="E50" s="185"/>
      <c r="H50" s="186"/>
    </row>
    <row r="51" spans="1:21" hidden="1" x14ac:dyDescent="0.2">
      <c r="I51" s="11"/>
      <c r="J51" s="11"/>
      <c r="N51" s="4"/>
      <c r="O51" s="4"/>
      <c r="T51" s="4"/>
      <c r="U51" s="4"/>
    </row>
    <row r="52" spans="1:21" ht="13.5" hidden="1" customHeight="1" x14ac:dyDescent="0.2">
      <c r="F52" s="130"/>
      <c r="I52" s="11"/>
      <c r="J52" s="11"/>
      <c r="N52" s="4"/>
      <c r="O52" s="4"/>
      <c r="T52" s="4"/>
      <c r="U52" s="4"/>
    </row>
    <row r="53" spans="1:21" hidden="1" x14ac:dyDescent="0.2">
      <c r="A53" s="595" t="s">
        <v>187</v>
      </c>
      <c r="B53" s="596"/>
      <c r="C53" s="596"/>
      <c r="D53" s="586" t="s">
        <v>74</v>
      </c>
      <c r="E53" s="586" t="s">
        <v>75</v>
      </c>
      <c r="F53" s="586" t="s">
        <v>76</v>
      </c>
      <c r="G53" s="587"/>
      <c r="I53" s="11"/>
      <c r="J53" s="11"/>
      <c r="N53" s="4"/>
      <c r="O53" s="4"/>
      <c r="T53" s="4"/>
      <c r="U53" s="4"/>
    </row>
    <row r="54" spans="1:21" hidden="1" x14ac:dyDescent="0.2">
      <c r="A54" s="589" t="s">
        <v>77</v>
      </c>
      <c r="B54" s="187">
        <f>ROUND(E7,0)</f>
        <v>17531</v>
      </c>
      <c r="C54" s="187">
        <f>ROUND(E8,0)</f>
        <v>98010</v>
      </c>
      <c r="D54" s="188">
        <f>ROUND(F14,2)</f>
        <v>2.73</v>
      </c>
      <c r="E54" s="189">
        <f>ROUND(I26,4)</f>
        <v>-4.4999999999999997E-3</v>
      </c>
      <c r="F54" s="190">
        <f>ROUND(I27,0)</f>
        <v>-221</v>
      </c>
      <c r="G54" s="588"/>
      <c r="I54" s="11"/>
      <c r="J54" s="11"/>
      <c r="N54" s="4"/>
      <c r="O54" s="4"/>
      <c r="T54" s="4"/>
      <c r="U54" s="4"/>
    </row>
    <row r="55" spans="1:21" hidden="1" x14ac:dyDescent="0.2">
      <c r="A55" s="589" t="s">
        <v>78</v>
      </c>
      <c r="B55" s="187">
        <f>ROUND(C7,0)</f>
        <v>125</v>
      </c>
      <c r="C55" s="187">
        <f>ROUND(C8,0)</f>
        <v>256</v>
      </c>
      <c r="D55" s="188">
        <f>ROUND(G14,2)</f>
        <v>2.21</v>
      </c>
      <c r="E55" s="189">
        <f>ROUND(K26,4)</f>
        <v>-5.7000000000000002E-3</v>
      </c>
      <c r="F55" s="190">
        <f>ROUND(J27,0)</f>
        <v>-320</v>
      </c>
      <c r="G55" s="588"/>
      <c r="I55" s="11"/>
      <c r="J55" s="11"/>
      <c r="N55" s="4"/>
      <c r="O55" s="4"/>
      <c r="T55" s="4"/>
      <c r="U55" s="4"/>
    </row>
    <row r="56" spans="1:21" s="16" customFormat="1" hidden="1" x14ac:dyDescent="0.2">
      <c r="A56" s="589" t="s">
        <v>79</v>
      </c>
      <c r="B56" s="189">
        <f>ROUND(C21,4)</f>
        <v>7.1000000000000004E-3</v>
      </c>
      <c r="C56" s="189">
        <f>ROUND(C22,4)</f>
        <v>2.5999999999999999E-3</v>
      </c>
      <c r="D56" s="188">
        <f>ROUND(H14,2)</f>
        <v>3.38</v>
      </c>
      <c r="E56" s="189">
        <f>ROUND(J26,4)</f>
        <v>-3.0999999999999999E-3</v>
      </c>
      <c r="F56" s="190">
        <f>ROUND(K27,0)</f>
        <v>-175</v>
      </c>
      <c r="G56" s="590">
        <f>ROUND(M25,4)</f>
        <v>1</v>
      </c>
      <c r="I56" s="191"/>
      <c r="J56" s="11"/>
    </row>
    <row r="57" spans="1:21" hidden="1" x14ac:dyDescent="0.2">
      <c r="A57" s="589" t="s">
        <v>80</v>
      </c>
      <c r="B57" s="192" t="s">
        <v>81</v>
      </c>
      <c r="C57" s="192" t="s">
        <v>82</v>
      </c>
      <c r="D57" s="192" t="s">
        <v>12</v>
      </c>
      <c r="E57" s="192" t="s">
        <v>83</v>
      </c>
      <c r="F57" s="193" t="s">
        <v>84</v>
      </c>
      <c r="G57" s="194" t="s">
        <v>85</v>
      </c>
      <c r="I57" s="191"/>
      <c r="J57" s="11"/>
    </row>
    <row r="58" spans="1:21" hidden="1" x14ac:dyDescent="0.2">
      <c r="A58" s="591" t="s">
        <v>86</v>
      </c>
      <c r="B58" s="194" t="str">
        <f>CONCATENATE(B55,A59,B54," ",A54,B56*100,A57,A56)</f>
        <v>125/17531 (0,71%)</v>
      </c>
      <c r="C58" s="194" t="str">
        <f>CONCATENATE(C55,A59,C54," ",A54,C56*100,A57,A56)</f>
        <v>256/98010 (0,26%)</v>
      </c>
      <c r="D58" s="194" t="str">
        <f>CONCATENATE(D54," ",A54,D55,A55,D56,A56)</f>
        <v>2,73 (2,21-3,38)</v>
      </c>
      <c r="E58" s="194" t="str">
        <f>CONCATENATE(E54*100,A57," ",A54,E55*100,A57," ",A58," ",E56*100,A57,A56)</f>
        <v>-0,45% (-0,57% a -0,31%)</v>
      </c>
      <c r="F58" s="194" t="str">
        <f>CONCATENATE(F54," ",A54,F55," ",A58," ",F56,A56)</f>
        <v>-221 (-320 a -175)</v>
      </c>
      <c r="G58" s="194" t="str">
        <f>CONCATENATE(G56*100,A57)</f>
        <v>100%</v>
      </c>
      <c r="I58" s="11"/>
      <c r="J58" s="11"/>
      <c r="N58" s="4"/>
      <c r="O58" s="4"/>
      <c r="T58" s="4"/>
      <c r="U58" s="4"/>
    </row>
    <row r="59" spans="1:21" hidden="1" x14ac:dyDescent="0.2">
      <c r="A59" s="592" t="s">
        <v>87</v>
      </c>
      <c r="B59" s="593"/>
      <c r="C59" s="593"/>
      <c r="D59" s="593"/>
      <c r="E59" s="593"/>
      <c r="F59" s="593"/>
      <c r="G59" s="594"/>
      <c r="I59" s="11"/>
      <c r="J59" s="11"/>
      <c r="N59" s="4"/>
      <c r="O59" s="4"/>
      <c r="T59" s="4"/>
      <c r="U59" s="4"/>
    </row>
    <row r="60" spans="1:21" hidden="1" x14ac:dyDescent="0.2">
      <c r="K60" s="11"/>
      <c r="N60" s="4"/>
      <c r="O60" s="4"/>
      <c r="T60" s="4"/>
      <c r="U60" s="4"/>
    </row>
    <row r="61" spans="1:21" ht="27" customHeight="1" x14ac:dyDescent="0.2">
      <c r="B61" s="195" t="s">
        <v>81</v>
      </c>
      <c r="C61" s="195" t="s">
        <v>82</v>
      </c>
      <c r="D61" s="196" t="s">
        <v>88</v>
      </c>
      <c r="E61" s="196" t="s">
        <v>89</v>
      </c>
      <c r="F61" s="196" t="s">
        <v>90</v>
      </c>
      <c r="G61" s="196" t="s">
        <v>91</v>
      </c>
      <c r="H61" s="197"/>
      <c r="I61" s="196" t="s">
        <v>92</v>
      </c>
      <c r="K61" s="198"/>
      <c r="N61" s="4"/>
      <c r="O61" s="4"/>
      <c r="T61" s="4"/>
      <c r="U61" s="4"/>
    </row>
    <row r="62" spans="1:21" ht="21" customHeight="1" x14ac:dyDescent="0.2">
      <c r="B62" s="199" t="str">
        <f t="shared" ref="B62:G62" si="0">B58</f>
        <v>125/17531 (0,71%)</v>
      </c>
      <c r="C62" s="199" t="str">
        <f t="shared" si="0"/>
        <v>256/98010 (0,26%)</v>
      </c>
      <c r="D62" s="199" t="str">
        <f t="shared" si="0"/>
        <v>2,73 (2,21-3,38)</v>
      </c>
      <c r="E62" s="199" t="str">
        <f t="shared" si="0"/>
        <v>-0,45% (-0,57% a -0,31%)</v>
      </c>
      <c r="F62" s="199" t="str">
        <f t="shared" si="0"/>
        <v>-221 (-320 a -175)</v>
      </c>
      <c r="G62" s="199" t="str">
        <f t="shared" si="0"/>
        <v>100%</v>
      </c>
      <c r="H62" s="200"/>
      <c r="I62" s="201">
        <f>B49</f>
        <v>7.1928421326026966E-22</v>
      </c>
      <c r="K62" s="202"/>
      <c r="N62" s="4"/>
      <c r="O62" s="4"/>
      <c r="T62" s="4"/>
      <c r="U62" s="4"/>
    </row>
    <row r="66" spans="3:5" x14ac:dyDescent="0.2">
      <c r="C66" s="287"/>
      <c r="D66" s="287"/>
      <c r="E66" s="287"/>
    </row>
    <row r="67" spans="3:5" x14ac:dyDescent="0.2">
      <c r="C67" s="287"/>
      <c r="D67" s="287"/>
      <c r="E67" s="287"/>
    </row>
    <row r="68" spans="3:5" x14ac:dyDescent="0.2">
      <c r="C68" s="287"/>
      <c r="D68" s="287"/>
      <c r="E68" s="287"/>
    </row>
    <row r="69" spans="3:5" x14ac:dyDescent="0.2">
      <c r="C69" s="287"/>
      <c r="D69" s="287"/>
      <c r="E69" s="287"/>
    </row>
    <row r="70" spans="3:5" x14ac:dyDescent="0.2">
      <c r="C70" s="287"/>
      <c r="D70" s="287"/>
      <c r="E70" s="287"/>
    </row>
    <row r="71" spans="3:5" x14ac:dyDescent="0.2">
      <c r="C71" s="287"/>
      <c r="D71" s="287"/>
      <c r="E71" s="287"/>
    </row>
    <row r="72" spans="3:5" x14ac:dyDescent="0.2">
      <c r="C72" s="287"/>
      <c r="D72" s="287"/>
      <c r="E72" s="287"/>
    </row>
    <row r="73" spans="3:5" x14ac:dyDescent="0.2">
      <c r="C73" s="287"/>
      <c r="D73" s="287"/>
      <c r="E73" s="287"/>
    </row>
    <row r="74" spans="3:5" x14ac:dyDescent="0.2">
      <c r="C74" s="287"/>
      <c r="D74" s="287"/>
      <c r="E74" s="287"/>
    </row>
    <row r="75" spans="3:5" x14ac:dyDescent="0.2">
      <c r="C75" s="287"/>
      <c r="D75" s="287"/>
      <c r="E75" s="287"/>
    </row>
    <row r="76" spans="3:5" x14ac:dyDescent="0.2">
      <c r="C76" s="287"/>
      <c r="D76" s="287"/>
      <c r="E76" s="287"/>
    </row>
  </sheetData>
  <mergeCells count="3">
    <mergeCell ref="A2:I2"/>
    <mergeCell ref="A3:I3"/>
    <mergeCell ref="B44:C4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workbookViewId="0">
      <selection activeCell="J3" sqref="J3"/>
    </sheetView>
  </sheetViews>
  <sheetFormatPr baseColWidth="10" defaultRowHeight="12.75" x14ac:dyDescent="0.2"/>
  <cols>
    <col min="1" max="1" width="12.85546875" style="4" customWidth="1"/>
    <col min="2" max="2" width="18.28515625" style="4" customWidth="1"/>
    <col min="3" max="3" width="13.7109375" style="4" customWidth="1"/>
    <col min="4" max="4" width="16.42578125" style="4" customWidth="1"/>
    <col min="5" max="5" width="20.7109375" style="4" customWidth="1"/>
    <col min="6" max="6" width="23.85546875" style="4" customWidth="1"/>
    <col min="7" max="7" width="18.85546875" style="4" customWidth="1"/>
    <col min="8" max="8" width="8.28515625" style="4" customWidth="1"/>
    <col min="9" max="9" width="14.5703125" style="4" customWidth="1"/>
    <col min="10" max="10" width="14.140625" style="16" customWidth="1"/>
    <col min="11" max="11" width="11.42578125" style="16"/>
    <col min="12" max="12" width="15.5703125" style="4" customWidth="1"/>
    <col min="13" max="13" width="11.42578125" style="4"/>
    <col min="14" max="14" width="13.85546875" style="4" customWidth="1"/>
    <col min="15" max="15" width="11.42578125" style="4"/>
    <col min="16" max="17" width="11.42578125" style="16"/>
    <col min="18" max="256" width="11.42578125" style="4"/>
    <col min="257" max="257" width="12.85546875" style="4" customWidth="1"/>
    <col min="258" max="258" width="18.28515625" style="4" customWidth="1"/>
    <col min="259" max="259" width="13.7109375" style="4" customWidth="1"/>
    <col min="260" max="260" width="16.42578125" style="4" customWidth="1"/>
    <col min="261" max="261" width="20.7109375" style="4" customWidth="1"/>
    <col min="262" max="262" width="23.85546875" style="4" customWidth="1"/>
    <col min="263" max="263" width="18.85546875" style="4" customWidth="1"/>
    <col min="264" max="264" width="8.28515625" style="4" customWidth="1"/>
    <col min="265" max="265" width="14.5703125" style="4" customWidth="1"/>
    <col min="266" max="266" width="14.140625" style="4" customWidth="1"/>
    <col min="267" max="267" width="11.42578125" style="4"/>
    <col min="268" max="268" width="15.5703125" style="4" customWidth="1"/>
    <col min="269" max="269" width="11.42578125" style="4"/>
    <col min="270" max="270" width="13.85546875" style="4" customWidth="1"/>
    <col min="271" max="512" width="11.42578125" style="4"/>
    <col min="513" max="513" width="12.85546875" style="4" customWidth="1"/>
    <col min="514" max="514" width="18.28515625" style="4" customWidth="1"/>
    <col min="515" max="515" width="13.7109375" style="4" customWidth="1"/>
    <col min="516" max="516" width="16.42578125" style="4" customWidth="1"/>
    <col min="517" max="517" width="20.7109375" style="4" customWidth="1"/>
    <col min="518" max="518" width="23.85546875" style="4" customWidth="1"/>
    <col min="519" max="519" width="18.85546875" style="4" customWidth="1"/>
    <col min="520" max="520" width="8.28515625" style="4" customWidth="1"/>
    <col min="521" max="521" width="14.5703125" style="4" customWidth="1"/>
    <col min="522" max="522" width="14.140625" style="4" customWidth="1"/>
    <col min="523" max="523" width="11.42578125" style="4"/>
    <col min="524" max="524" width="15.5703125" style="4" customWidth="1"/>
    <col min="525" max="525" width="11.42578125" style="4"/>
    <col min="526" max="526" width="13.85546875" style="4" customWidth="1"/>
    <col min="527" max="768" width="11.42578125" style="4"/>
    <col min="769" max="769" width="12.85546875" style="4" customWidth="1"/>
    <col min="770" max="770" width="18.28515625" style="4" customWidth="1"/>
    <col min="771" max="771" width="13.7109375" style="4" customWidth="1"/>
    <col min="772" max="772" width="16.42578125" style="4" customWidth="1"/>
    <col min="773" max="773" width="20.7109375" style="4" customWidth="1"/>
    <col min="774" max="774" width="23.85546875" style="4" customWidth="1"/>
    <col min="775" max="775" width="18.85546875" style="4" customWidth="1"/>
    <col min="776" max="776" width="8.28515625" style="4" customWidth="1"/>
    <col min="777" max="777" width="14.5703125" style="4" customWidth="1"/>
    <col min="778" max="778" width="14.140625" style="4" customWidth="1"/>
    <col min="779" max="779" width="11.42578125" style="4"/>
    <col min="780" max="780" width="15.5703125" style="4" customWidth="1"/>
    <col min="781" max="781" width="11.42578125" style="4"/>
    <col min="782" max="782" width="13.85546875" style="4" customWidth="1"/>
    <col min="783" max="1024" width="11.42578125" style="4"/>
    <col min="1025" max="1025" width="12.85546875" style="4" customWidth="1"/>
    <col min="1026" max="1026" width="18.28515625" style="4" customWidth="1"/>
    <col min="1027" max="1027" width="13.7109375" style="4" customWidth="1"/>
    <col min="1028" max="1028" width="16.42578125" style="4" customWidth="1"/>
    <col min="1029" max="1029" width="20.7109375" style="4" customWidth="1"/>
    <col min="1030" max="1030" width="23.85546875" style="4" customWidth="1"/>
    <col min="1031" max="1031" width="18.85546875" style="4" customWidth="1"/>
    <col min="1032" max="1032" width="8.28515625" style="4" customWidth="1"/>
    <col min="1033" max="1033" width="14.5703125" style="4" customWidth="1"/>
    <col min="1034" max="1034" width="14.140625" style="4" customWidth="1"/>
    <col min="1035" max="1035" width="11.42578125" style="4"/>
    <col min="1036" max="1036" width="15.5703125" style="4" customWidth="1"/>
    <col min="1037" max="1037" width="11.42578125" style="4"/>
    <col min="1038" max="1038" width="13.85546875" style="4" customWidth="1"/>
    <col min="1039" max="1280" width="11.42578125" style="4"/>
    <col min="1281" max="1281" width="12.85546875" style="4" customWidth="1"/>
    <col min="1282" max="1282" width="18.28515625" style="4" customWidth="1"/>
    <col min="1283" max="1283" width="13.7109375" style="4" customWidth="1"/>
    <col min="1284" max="1284" width="16.42578125" style="4" customWidth="1"/>
    <col min="1285" max="1285" width="20.7109375" style="4" customWidth="1"/>
    <col min="1286" max="1286" width="23.85546875" style="4" customWidth="1"/>
    <col min="1287" max="1287" width="18.85546875" style="4" customWidth="1"/>
    <col min="1288" max="1288" width="8.28515625" style="4" customWidth="1"/>
    <col min="1289" max="1289" width="14.5703125" style="4" customWidth="1"/>
    <col min="1290" max="1290" width="14.140625" style="4" customWidth="1"/>
    <col min="1291" max="1291" width="11.42578125" style="4"/>
    <col min="1292" max="1292" width="15.5703125" style="4" customWidth="1"/>
    <col min="1293" max="1293" width="11.42578125" style="4"/>
    <col min="1294" max="1294" width="13.85546875" style="4" customWidth="1"/>
    <col min="1295" max="1536" width="11.42578125" style="4"/>
    <col min="1537" max="1537" width="12.85546875" style="4" customWidth="1"/>
    <col min="1538" max="1538" width="18.28515625" style="4" customWidth="1"/>
    <col min="1539" max="1539" width="13.7109375" style="4" customWidth="1"/>
    <col min="1540" max="1540" width="16.42578125" style="4" customWidth="1"/>
    <col min="1541" max="1541" width="20.7109375" style="4" customWidth="1"/>
    <col min="1542" max="1542" width="23.85546875" style="4" customWidth="1"/>
    <col min="1543" max="1543" width="18.85546875" style="4" customWidth="1"/>
    <col min="1544" max="1544" width="8.28515625" style="4" customWidth="1"/>
    <col min="1545" max="1545" width="14.5703125" style="4" customWidth="1"/>
    <col min="1546" max="1546" width="14.140625" style="4" customWidth="1"/>
    <col min="1547" max="1547" width="11.42578125" style="4"/>
    <col min="1548" max="1548" width="15.5703125" style="4" customWidth="1"/>
    <col min="1549" max="1549" width="11.42578125" style="4"/>
    <col min="1550" max="1550" width="13.85546875" style="4" customWidth="1"/>
    <col min="1551" max="1792" width="11.42578125" style="4"/>
    <col min="1793" max="1793" width="12.85546875" style="4" customWidth="1"/>
    <col min="1794" max="1794" width="18.28515625" style="4" customWidth="1"/>
    <col min="1795" max="1795" width="13.7109375" style="4" customWidth="1"/>
    <col min="1796" max="1796" width="16.42578125" style="4" customWidth="1"/>
    <col min="1797" max="1797" width="20.7109375" style="4" customWidth="1"/>
    <col min="1798" max="1798" width="23.85546875" style="4" customWidth="1"/>
    <col min="1799" max="1799" width="18.85546875" style="4" customWidth="1"/>
    <col min="1800" max="1800" width="8.28515625" style="4" customWidth="1"/>
    <col min="1801" max="1801" width="14.5703125" style="4" customWidth="1"/>
    <col min="1802" max="1802" width="14.140625" style="4" customWidth="1"/>
    <col min="1803" max="1803" width="11.42578125" style="4"/>
    <col min="1804" max="1804" width="15.5703125" style="4" customWidth="1"/>
    <col min="1805" max="1805" width="11.42578125" style="4"/>
    <col min="1806" max="1806" width="13.85546875" style="4" customWidth="1"/>
    <col min="1807" max="2048" width="11.42578125" style="4"/>
    <col min="2049" max="2049" width="12.85546875" style="4" customWidth="1"/>
    <col min="2050" max="2050" width="18.28515625" style="4" customWidth="1"/>
    <col min="2051" max="2051" width="13.7109375" style="4" customWidth="1"/>
    <col min="2052" max="2052" width="16.42578125" style="4" customWidth="1"/>
    <col min="2053" max="2053" width="20.7109375" style="4" customWidth="1"/>
    <col min="2054" max="2054" width="23.85546875" style="4" customWidth="1"/>
    <col min="2055" max="2055" width="18.85546875" style="4" customWidth="1"/>
    <col min="2056" max="2056" width="8.28515625" style="4" customWidth="1"/>
    <col min="2057" max="2057" width="14.5703125" style="4" customWidth="1"/>
    <col min="2058" max="2058" width="14.140625" style="4" customWidth="1"/>
    <col min="2059" max="2059" width="11.42578125" style="4"/>
    <col min="2060" max="2060" width="15.5703125" style="4" customWidth="1"/>
    <col min="2061" max="2061" width="11.42578125" style="4"/>
    <col min="2062" max="2062" width="13.85546875" style="4" customWidth="1"/>
    <col min="2063" max="2304" width="11.42578125" style="4"/>
    <col min="2305" max="2305" width="12.85546875" style="4" customWidth="1"/>
    <col min="2306" max="2306" width="18.28515625" style="4" customWidth="1"/>
    <col min="2307" max="2307" width="13.7109375" style="4" customWidth="1"/>
    <col min="2308" max="2308" width="16.42578125" style="4" customWidth="1"/>
    <col min="2309" max="2309" width="20.7109375" style="4" customWidth="1"/>
    <col min="2310" max="2310" width="23.85546875" style="4" customWidth="1"/>
    <col min="2311" max="2311" width="18.85546875" style="4" customWidth="1"/>
    <col min="2312" max="2312" width="8.28515625" style="4" customWidth="1"/>
    <col min="2313" max="2313" width="14.5703125" style="4" customWidth="1"/>
    <col min="2314" max="2314" width="14.140625" style="4" customWidth="1"/>
    <col min="2315" max="2315" width="11.42578125" style="4"/>
    <col min="2316" max="2316" width="15.5703125" style="4" customWidth="1"/>
    <col min="2317" max="2317" width="11.42578125" style="4"/>
    <col min="2318" max="2318" width="13.85546875" style="4" customWidth="1"/>
    <col min="2319" max="2560" width="11.42578125" style="4"/>
    <col min="2561" max="2561" width="12.85546875" style="4" customWidth="1"/>
    <col min="2562" max="2562" width="18.28515625" style="4" customWidth="1"/>
    <col min="2563" max="2563" width="13.7109375" style="4" customWidth="1"/>
    <col min="2564" max="2564" width="16.42578125" style="4" customWidth="1"/>
    <col min="2565" max="2565" width="20.7109375" style="4" customWidth="1"/>
    <col min="2566" max="2566" width="23.85546875" style="4" customWidth="1"/>
    <col min="2567" max="2567" width="18.85546875" style="4" customWidth="1"/>
    <col min="2568" max="2568" width="8.28515625" style="4" customWidth="1"/>
    <col min="2569" max="2569" width="14.5703125" style="4" customWidth="1"/>
    <col min="2570" max="2570" width="14.140625" style="4" customWidth="1"/>
    <col min="2571" max="2571" width="11.42578125" style="4"/>
    <col min="2572" max="2572" width="15.5703125" style="4" customWidth="1"/>
    <col min="2573" max="2573" width="11.42578125" style="4"/>
    <col min="2574" max="2574" width="13.85546875" style="4" customWidth="1"/>
    <col min="2575" max="2816" width="11.42578125" style="4"/>
    <col min="2817" max="2817" width="12.85546875" style="4" customWidth="1"/>
    <col min="2818" max="2818" width="18.28515625" style="4" customWidth="1"/>
    <col min="2819" max="2819" width="13.7109375" style="4" customWidth="1"/>
    <col min="2820" max="2820" width="16.42578125" style="4" customWidth="1"/>
    <col min="2821" max="2821" width="20.7109375" style="4" customWidth="1"/>
    <col min="2822" max="2822" width="23.85546875" style="4" customWidth="1"/>
    <col min="2823" max="2823" width="18.85546875" style="4" customWidth="1"/>
    <col min="2824" max="2824" width="8.28515625" style="4" customWidth="1"/>
    <col min="2825" max="2825" width="14.5703125" style="4" customWidth="1"/>
    <col min="2826" max="2826" width="14.140625" style="4" customWidth="1"/>
    <col min="2827" max="2827" width="11.42578125" style="4"/>
    <col min="2828" max="2828" width="15.5703125" style="4" customWidth="1"/>
    <col min="2829" max="2829" width="11.42578125" style="4"/>
    <col min="2830" max="2830" width="13.85546875" style="4" customWidth="1"/>
    <col min="2831" max="3072" width="11.42578125" style="4"/>
    <col min="3073" max="3073" width="12.85546875" style="4" customWidth="1"/>
    <col min="3074" max="3074" width="18.28515625" style="4" customWidth="1"/>
    <col min="3075" max="3075" width="13.7109375" style="4" customWidth="1"/>
    <col min="3076" max="3076" width="16.42578125" style="4" customWidth="1"/>
    <col min="3077" max="3077" width="20.7109375" style="4" customWidth="1"/>
    <col min="3078" max="3078" width="23.85546875" style="4" customWidth="1"/>
    <col min="3079" max="3079" width="18.85546875" style="4" customWidth="1"/>
    <col min="3080" max="3080" width="8.28515625" style="4" customWidth="1"/>
    <col min="3081" max="3081" width="14.5703125" style="4" customWidth="1"/>
    <col min="3082" max="3082" width="14.140625" style="4" customWidth="1"/>
    <col min="3083" max="3083" width="11.42578125" style="4"/>
    <col min="3084" max="3084" width="15.5703125" style="4" customWidth="1"/>
    <col min="3085" max="3085" width="11.42578125" style="4"/>
    <col min="3086" max="3086" width="13.85546875" style="4" customWidth="1"/>
    <col min="3087" max="3328" width="11.42578125" style="4"/>
    <col min="3329" max="3329" width="12.85546875" style="4" customWidth="1"/>
    <col min="3330" max="3330" width="18.28515625" style="4" customWidth="1"/>
    <col min="3331" max="3331" width="13.7109375" style="4" customWidth="1"/>
    <col min="3332" max="3332" width="16.42578125" style="4" customWidth="1"/>
    <col min="3333" max="3333" width="20.7109375" style="4" customWidth="1"/>
    <col min="3334" max="3334" width="23.85546875" style="4" customWidth="1"/>
    <col min="3335" max="3335" width="18.85546875" style="4" customWidth="1"/>
    <col min="3336" max="3336" width="8.28515625" style="4" customWidth="1"/>
    <col min="3337" max="3337" width="14.5703125" style="4" customWidth="1"/>
    <col min="3338" max="3338" width="14.140625" style="4" customWidth="1"/>
    <col min="3339" max="3339" width="11.42578125" style="4"/>
    <col min="3340" max="3340" width="15.5703125" style="4" customWidth="1"/>
    <col min="3341" max="3341" width="11.42578125" style="4"/>
    <col min="3342" max="3342" width="13.85546875" style="4" customWidth="1"/>
    <col min="3343" max="3584" width="11.42578125" style="4"/>
    <col min="3585" max="3585" width="12.85546875" style="4" customWidth="1"/>
    <col min="3586" max="3586" width="18.28515625" style="4" customWidth="1"/>
    <col min="3587" max="3587" width="13.7109375" style="4" customWidth="1"/>
    <col min="3588" max="3588" width="16.42578125" style="4" customWidth="1"/>
    <col min="3589" max="3589" width="20.7109375" style="4" customWidth="1"/>
    <col min="3590" max="3590" width="23.85546875" style="4" customWidth="1"/>
    <col min="3591" max="3591" width="18.85546875" style="4" customWidth="1"/>
    <col min="3592" max="3592" width="8.28515625" style="4" customWidth="1"/>
    <col min="3593" max="3593" width="14.5703125" style="4" customWidth="1"/>
    <col min="3594" max="3594" width="14.140625" style="4" customWidth="1"/>
    <col min="3595" max="3595" width="11.42578125" style="4"/>
    <col min="3596" max="3596" width="15.5703125" style="4" customWidth="1"/>
    <col min="3597" max="3597" width="11.42578125" style="4"/>
    <col min="3598" max="3598" width="13.85546875" style="4" customWidth="1"/>
    <col min="3599" max="3840" width="11.42578125" style="4"/>
    <col min="3841" max="3841" width="12.85546875" style="4" customWidth="1"/>
    <col min="3842" max="3842" width="18.28515625" style="4" customWidth="1"/>
    <col min="3843" max="3843" width="13.7109375" style="4" customWidth="1"/>
    <col min="3844" max="3844" width="16.42578125" style="4" customWidth="1"/>
    <col min="3845" max="3845" width="20.7109375" style="4" customWidth="1"/>
    <col min="3846" max="3846" width="23.85546875" style="4" customWidth="1"/>
    <col min="3847" max="3847" width="18.85546875" style="4" customWidth="1"/>
    <col min="3848" max="3848" width="8.28515625" style="4" customWidth="1"/>
    <col min="3849" max="3849" width="14.5703125" style="4" customWidth="1"/>
    <col min="3850" max="3850" width="14.140625" style="4" customWidth="1"/>
    <col min="3851" max="3851" width="11.42578125" style="4"/>
    <col min="3852" max="3852" width="15.5703125" style="4" customWidth="1"/>
    <col min="3853" max="3853" width="11.42578125" style="4"/>
    <col min="3854" max="3854" width="13.85546875" style="4" customWidth="1"/>
    <col min="3855" max="4096" width="11.42578125" style="4"/>
    <col min="4097" max="4097" width="12.85546875" style="4" customWidth="1"/>
    <col min="4098" max="4098" width="18.28515625" style="4" customWidth="1"/>
    <col min="4099" max="4099" width="13.7109375" style="4" customWidth="1"/>
    <col min="4100" max="4100" width="16.42578125" style="4" customWidth="1"/>
    <col min="4101" max="4101" width="20.7109375" style="4" customWidth="1"/>
    <col min="4102" max="4102" width="23.85546875" style="4" customWidth="1"/>
    <col min="4103" max="4103" width="18.85546875" style="4" customWidth="1"/>
    <col min="4104" max="4104" width="8.28515625" style="4" customWidth="1"/>
    <col min="4105" max="4105" width="14.5703125" style="4" customWidth="1"/>
    <col min="4106" max="4106" width="14.140625" style="4" customWidth="1"/>
    <col min="4107" max="4107" width="11.42578125" style="4"/>
    <col min="4108" max="4108" width="15.5703125" style="4" customWidth="1"/>
    <col min="4109" max="4109" width="11.42578125" style="4"/>
    <col min="4110" max="4110" width="13.85546875" style="4" customWidth="1"/>
    <col min="4111" max="4352" width="11.42578125" style="4"/>
    <col min="4353" max="4353" width="12.85546875" style="4" customWidth="1"/>
    <col min="4354" max="4354" width="18.28515625" style="4" customWidth="1"/>
    <col min="4355" max="4355" width="13.7109375" style="4" customWidth="1"/>
    <col min="4356" max="4356" width="16.42578125" style="4" customWidth="1"/>
    <col min="4357" max="4357" width="20.7109375" style="4" customWidth="1"/>
    <col min="4358" max="4358" width="23.85546875" style="4" customWidth="1"/>
    <col min="4359" max="4359" width="18.85546875" style="4" customWidth="1"/>
    <col min="4360" max="4360" width="8.28515625" style="4" customWidth="1"/>
    <col min="4361" max="4361" width="14.5703125" style="4" customWidth="1"/>
    <col min="4362" max="4362" width="14.140625" style="4" customWidth="1"/>
    <col min="4363" max="4363" width="11.42578125" style="4"/>
    <col min="4364" max="4364" width="15.5703125" style="4" customWidth="1"/>
    <col min="4365" max="4365" width="11.42578125" style="4"/>
    <col min="4366" max="4366" width="13.85546875" style="4" customWidth="1"/>
    <col min="4367" max="4608" width="11.42578125" style="4"/>
    <col min="4609" max="4609" width="12.85546875" style="4" customWidth="1"/>
    <col min="4610" max="4610" width="18.28515625" style="4" customWidth="1"/>
    <col min="4611" max="4611" width="13.7109375" style="4" customWidth="1"/>
    <col min="4612" max="4612" width="16.42578125" style="4" customWidth="1"/>
    <col min="4613" max="4613" width="20.7109375" style="4" customWidth="1"/>
    <col min="4614" max="4614" width="23.85546875" style="4" customWidth="1"/>
    <col min="4615" max="4615" width="18.85546875" style="4" customWidth="1"/>
    <col min="4616" max="4616" width="8.28515625" style="4" customWidth="1"/>
    <col min="4617" max="4617" width="14.5703125" style="4" customWidth="1"/>
    <col min="4618" max="4618" width="14.140625" style="4" customWidth="1"/>
    <col min="4619" max="4619" width="11.42578125" style="4"/>
    <col min="4620" max="4620" width="15.5703125" style="4" customWidth="1"/>
    <col min="4621" max="4621" width="11.42578125" style="4"/>
    <col min="4622" max="4622" width="13.85546875" style="4" customWidth="1"/>
    <col min="4623" max="4864" width="11.42578125" style="4"/>
    <col min="4865" max="4865" width="12.85546875" style="4" customWidth="1"/>
    <col min="4866" max="4866" width="18.28515625" style="4" customWidth="1"/>
    <col min="4867" max="4867" width="13.7109375" style="4" customWidth="1"/>
    <col min="4868" max="4868" width="16.42578125" style="4" customWidth="1"/>
    <col min="4869" max="4869" width="20.7109375" style="4" customWidth="1"/>
    <col min="4870" max="4870" width="23.85546875" style="4" customWidth="1"/>
    <col min="4871" max="4871" width="18.85546875" style="4" customWidth="1"/>
    <col min="4872" max="4872" width="8.28515625" style="4" customWidth="1"/>
    <col min="4873" max="4873" width="14.5703125" style="4" customWidth="1"/>
    <col min="4874" max="4874" width="14.140625" style="4" customWidth="1"/>
    <col min="4875" max="4875" width="11.42578125" style="4"/>
    <col min="4876" max="4876" width="15.5703125" style="4" customWidth="1"/>
    <col min="4877" max="4877" width="11.42578125" style="4"/>
    <col min="4878" max="4878" width="13.85546875" style="4" customWidth="1"/>
    <col min="4879" max="5120" width="11.42578125" style="4"/>
    <col min="5121" max="5121" width="12.85546875" style="4" customWidth="1"/>
    <col min="5122" max="5122" width="18.28515625" style="4" customWidth="1"/>
    <col min="5123" max="5123" width="13.7109375" style="4" customWidth="1"/>
    <col min="5124" max="5124" width="16.42578125" style="4" customWidth="1"/>
    <col min="5125" max="5125" width="20.7109375" style="4" customWidth="1"/>
    <col min="5126" max="5126" width="23.85546875" style="4" customWidth="1"/>
    <col min="5127" max="5127" width="18.85546875" style="4" customWidth="1"/>
    <col min="5128" max="5128" width="8.28515625" style="4" customWidth="1"/>
    <col min="5129" max="5129" width="14.5703125" style="4" customWidth="1"/>
    <col min="5130" max="5130" width="14.140625" style="4" customWidth="1"/>
    <col min="5131" max="5131" width="11.42578125" style="4"/>
    <col min="5132" max="5132" width="15.5703125" style="4" customWidth="1"/>
    <col min="5133" max="5133" width="11.42578125" style="4"/>
    <col min="5134" max="5134" width="13.85546875" style="4" customWidth="1"/>
    <col min="5135" max="5376" width="11.42578125" style="4"/>
    <col min="5377" max="5377" width="12.85546875" style="4" customWidth="1"/>
    <col min="5378" max="5378" width="18.28515625" style="4" customWidth="1"/>
    <col min="5379" max="5379" width="13.7109375" style="4" customWidth="1"/>
    <col min="5380" max="5380" width="16.42578125" style="4" customWidth="1"/>
    <col min="5381" max="5381" width="20.7109375" style="4" customWidth="1"/>
    <col min="5382" max="5382" width="23.85546875" style="4" customWidth="1"/>
    <col min="5383" max="5383" width="18.85546875" style="4" customWidth="1"/>
    <col min="5384" max="5384" width="8.28515625" style="4" customWidth="1"/>
    <col min="5385" max="5385" width="14.5703125" style="4" customWidth="1"/>
    <col min="5386" max="5386" width="14.140625" style="4" customWidth="1"/>
    <col min="5387" max="5387" width="11.42578125" style="4"/>
    <col min="5388" max="5388" width="15.5703125" style="4" customWidth="1"/>
    <col min="5389" max="5389" width="11.42578125" style="4"/>
    <col min="5390" max="5390" width="13.85546875" style="4" customWidth="1"/>
    <col min="5391" max="5632" width="11.42578125" style="4"/>
    <col min="5633" max="5633" width="12.85546875" style="4" customWidth="1"/>
    <col min="5634" max="5634" width="18.28515625" style="4" customWidth="1"/>
    <col min="5635" max="5635" width="13.7109375" style="4" customWidth="1"/>
    <col min="5636" max="5636" width="16.42578125" style="4" customWidth="1"/>
    <col min="5637" max="5637" width="20.7109375" style="4" customWidth="1"/>
    <col min="5638" max="5638" width="23.85546875" style="4" customWidth="1"/>
    <col min="5639" max="5639" width="18.85546875" style="4" customWidth="1"/>
    <col min="5640" max="5640" width="8.28515625" style="4" customWidth="1"/>
    <col min="5641" max="5641" width="14.5703125" style="4" customWidth="1"/>
    <col min="5642" max="5642" width="14.140625" style="4" customWidth="1"/>
    <col min="5643" max="5643" width="11.42578125" style="4"/>
    <col min="5644" max="5644" width="15.5703125" style="4" customWidth="1"/>
    <col min="5645" max="5645" width="11.42578125" style="4"/>
    <col min="5646" max="5646" width="13.85546875" style="4" customWidth="1"/>
    <col min="5647" max="5888" width="11.42578125" style="4"/>
    <col min="5889" max="5889" width="12.85546875" style="4" customWidth="1"/>
    <col min="5890" max="5890" width="18.28515625" style="4" customWidth="1"/>
    <col min="5891" max="5891" width="13.7109375" style="4" customWidth="1"/>
    <col min="5892" max="5892" width="16.42578125" style="4" customWidth="1"/>
    <col min="5893" max="5893" width="20.7109375" style="4" customWidth="1"/>
    <col min="5894" max="5894" width="23.85546875" style="4" customWidth="1"/>
    <col min="5895" max="5895" width="18.85546875" style="4" customWidth="1"/>
    <col min="5896" max="5896" width="8.28515625" style="4" customWidth="1"/>
    <col min="5897" max="5897" width="14.5703125" style="4" customWidth="1"/>
    <col min="5898" max="5898" width="14.140625" style="4" customWidth="1"/>
    <col min="5899" max="5899" width="11.42578125" style="4"/>
    <col min="5900" max="5900" width="15.5703125" style="4" customWidth="1"/>
    <col min="5901" max="5901" width="11.42578125" style="4"/>
    <col min="5902" max="5902" width="13.85546875" style="4" customWidth="1"/>
    <col min="5903" max="6144" width="11.42578125" style="4"/>
    <col min="6145" max="6145" width="12.85546875" style="4" customWidth="1"/>
    <col min="6146" max="6146" width="18.28515625" style="4" customWidth="1"/>
    <col min="6147" max="6147" width="13.7109375" style="4" customWidth="1"/>
    <col min="6148" max="6148" width="16.42578125" style="4" customWidth="1"/>
    <col min="6149" max="6149" width="20.7109375" style="4" customWidth="1"/>
    <col min="6150" max="6150" width="23.85546875" style="4" customWidth="1"/>
    <col min="6151" max="6151" width="18.85546875" style="4" customWidth="1"/>
    <col min="6152" max="6152" width="8.28515625" style="4" customWidth="1"/>
    <col min="6153" max="6153" width="14.5703125" style="4" customWidth="1"/>
    <col min="6154" max="6154" width="14.140625" style="4" customWidth="1"/>
    <col min="6155" max="6155" width="11.42578125" style="4"/>
    <col min="6156" max="6156" width="15.5703125" style="4" customWidth="1"/>
    <col min="6157" max="6157" width="11.42578125" style="4"/>
    <col min="6158" max="6158" width="13.85546875" style="4" customWidth="1"/>
    <col min="6159" max="6400" width="11.42578125" style="4"/>
    <col min="6401" max="6401" width="12.85546875" style="4" customWidth="1"/>
    <col min="6402" max="6402" width="18.28515625" style="4" customWidth="1"/>
    <col min="6403" max="6403" width="13.7109375" style="4" customWidth="1"/>
    <col min="6404" max="6404" width="16.42578125" style="4" customWidth="1"/>
    <col min="6405" max="6405" width="20.7109375" style="4" customWidth="1"/>
    <col min="6406" max="6406" width="23.85546875" style="4" customWidth="1"/>
    <col min="6407" max="6407" width="18.85546875" style="4" customWidth="1"/>
    <col min="6408" max="6408" width="8.28515625" style="4" customWidth="1"/>
    <col min="6409" max="6409" width="14.5703125" style="4" customWidth="1"/>
    <col min="6410" max="6410" width="14.140625" style="4" customWidth="1"/>
    <col min="6411" max="6411" width="11.42578125" style="4"/>
    <col min="6412" max="6412" width="15.5703125" style="4" customWidth="1"/>
    <col min="6413" max="6413" width="11.42578125" style="4"/>
    <col min="6414" max="6414" width="13.85546875" style="4" customWidth="1"/>
    <col min="6415" max="6656" width="11.42578125" style="4"/>
    <col min="6657" max="6657" width="12.85546875" style="4" customWidth="1"/>
    <col min="6658" max="6658" width="18.28515625" style="4" customWidth="1"/>
    <col min="6659" max="6659" width="13.7109375" style="4" customWidth="1"/>
    <col min="6660" max="6660" width="16.42578125" style="4" customWidth="1"/>
    <col min="6661" max="6661" width="20.7109375" style="4" customWidth="1"/>
    <col min="6662" max="6662" width="23.85546875" style="4" customWidth="1"/>
    <col min="6663" max="6663" width="18.85546875" style="4" customWidth="1"/>
    <col min="6664" max="6664" width="8.28515625" style="4" customWidth="1"/>
    <col min="6665" max="6665" width="14.5703125" style="4" customWidth="1"/>
    <col min="6666" max="6666" width="14.140625" style="4" customWidth="1"/>
    <col min="6667" max="6667" width="11.42578125" style="4"/>
    <col min="6668" max="6668" width="15.5703125" style="4" customWidth="1"/>
    <col min="6669" max="6669" width="11.42578125" style="4"/>
    <col min="6670" max="6670" width="13.85546875" style="4" customWidth="1"/>
    <col min="6671" max="6912" width="11.42578125" style="4"/>
    <col min="6913" max="6913" width="12.85546875" style="4" customWidth="1"/>
    <col min="6914" max="6914" width="18.28515625" style="4" customWidth="1"/>
    <col min="6915" max="6915" width="13.7109375" style="4" customWidth="1"/>
    <col min="6916" max="6916" width="16.42578125" style="4" customWidth="1"/>
    <col min="6917" max="6917" width="20.7109375" style="4" customWidth="1"/>
    <col min="6918" max="6918" width="23.85546875" style="4" customWidth="1"/>
    <col min="6919" max="6919" width="18.85546875" style="4" customWidth="1"/>
    <col min="6920" max="6920" width="8.28515625" style="4" customWidth="1"/>
    <col min="6921" max="6921" width="14.5703125" style="4" customWidth="1"/>
    <col min="6922" max="6922" width="14.140625" style="4" customWidth="1"/>
    <col min="6923" max="6923" width="11.42578125" style="4"/>
    <col min="6924" max="6924" width="15.5703125" style="4" customWidth="1"/>
    <col min="6925" max="6925" width="11.42578125" style="4"/>
    <col min="6926" max="6926" width="13.85546875" style="4" customWidth="1"/>
    <col min="6927" max="7168" width="11.42578125" style="4"/>
    <col min="7169" max="7169" width="12.85546875" style="4" customWidth="1"/>
    <col min="7170" max="7170" width="18.28515625" style="4" customWidth="1"/>
    <col min="7171" max="7171" width="13.7109375" style="4" customWidth="1"/>
    <col min="7172" max="7172" width="16.42578125" style="4" customWidth="1"/>
    <col min="7173" max="7173" width="20.7109375" style="4" customWidth="1"/>
    <col min="7174" max="7174" width="23.85546875" style="4" customWidth="1"/>
    <col min="7175" max="7175" width="18.85546875" style="4" customWidth="1"/>
    <col min="7176" max="7176" width="8.28515625" style="4" customWidth="1"/>
    <col min="7177" max="7177" width="14.5703125" style="4" customWidth="1"/>
    <col min="7178" max="7178" width="14.140625" style="4" customWidth="1"/>
    <col min="7179" max="7179" width="11.42578125" style="4"/>
    <col min="7180" max="7180" width="15.5703125" style="4" customWidth="1"/>
    <col min="7181" max="7181" width="11.42578125" style="4"/>
    <col min="7182" max="7182" width="13.85546875" style="4" customWidth="1"/>
    <col min="7183" max="7424" width="11.42578125" style="4"/>
    <col min="7425" max="7425" width="12.85546875" style="4" customWidth="1"/>
    <col min="7426" max="7426" width="18.28515625" style="4" customWidth="1"/>
    <col min="7427" max="7427" width="13.7109375" style="4" customWidth="1"/>
    <col min="7428" max="7428" width="16.42578125" style="4" customWidth="1"/>
    <col min="7429" max="7429" width="20.7109375" style="4" customWidth="1"/>
    <col min="7430" max="7430" width="23.85546875" style="4" customWidth="1"/>
    <col min="7431" max="7431" width="18.85546875" style="4" customWidth="1"/>
    <col min="7432" max="7432" width="8.28515625" style="4" customWidth="1"/>
    <col min="7433" max="7433" width="14.5703125" style="4" customWidth="1"/>
    <col min="7434" max="7434" width="14.140625" style="4" customWidth="1"/>
    <col min="7435" max="7435" width="11.42578125" style="4"/>
    <col min="7436" max="7436" width="15.5703125" style="4" customWidth="1"/>
    <col min="7437" max="7437" width="11.42578125" style="4"/>
    <col min="7438" max="7438" width="13.85546875" style="4" customWidth="1"/>
    <col min="7439" max="7680" width="11.42578125" style="4"/>
    <col min="7681" max="7681" width="12.85546875" style="4" customWidth="1"/>
    <col min="7682" max="7682" width="18.28515625" style="4" customWidth="1"/>
    <col min="7683" max="7683" width="13.7109375" style="4" customWidth="1"/>
    <col min="7684" max="7684" width="16.42578125" style="4" customWidth="1"/>
    <col min="7685" max="7685" width="20.7109375" style="4" customWidth="1"/>
    <col min="7686" max="7686" width="23.85546875" style="4" customWidth="1"/>
    <col min="7687" max="7687" width="18.85546875" style="4" customWidth="1"/>
    <col min="7688" max="7688" width="8.28515625" style="4" customWidth="1"/>
    <col min="7689" max="7689" width="14.5703125" style="4" customWidth="1"/>
    <col min="7690" max="7690" width="14.140625" style="4" customWidth="1"/>
    <col min="7691" max="7691" width="11.42578125" style="4"/>
    <col min="7692" max="7692" width="15.5703125" style="4" customWidth="1"/>
    <col min="7693" max="7693" width="11.42578125" style="4"/>
    <col min="7694" max="7694" width="13.85546875" style="4" customWidth="1"/>
    <col min="7695" max="7936" width="11.42578125" style="4"/>
    <col min="7937" max="7937" width="12.85546875" style="4" customWidth="1"/>
    <col min="7938" max="7938" width="18.28515625" style="4" customWidth="1"/>
    <col min="7939" max="7939" width="13.7109375" style="4" customWidth="1"/>
    <col min="7940" max="7940" width="16.42578125" style="4" customWidth="1"/>
    <col min="7941" max="7941" width="20.7109375" style="4" customWidth="1"/>
    <col min="7942" max="7942" width="23.85546875" style="4" customWidth="1"/>
    <col min="7943" max="7943" width="18.85546875" style="4" customWidth="1"/>
    <col min="7944" max="7944" width="8.28515625" style="4" customWidth="1"/>
    <col min="7945" max="7945" width="14.5703125" style="4" customWidth="1"/>
    <col min="7946" max="7946" width="14.140625" style="4" customWidth="1"/>
    <col min="7947" max="7947" width="11.42578125" style="4"/>
    <col min="7948" max="7948" width="15.5703125" style="4" customWidth="1"/>
    <col min="7949" max="7949" width="11.42578125" style="4"/>
    <col min="7950" max="7950" width="13.85546875" style="4" customWidth="1"/>
    <col min="7951" max="8192" width="11.42578125" style="4"/>
    <col min="8193" max="8193" width="12.85546875" style="4" customWidth="1"/>
    <col min="8194" max="8194" width="18.28515625" style="4" customWidth="1"/>
    <col min="8195" max="8195" width="13.7109375" style="4" customWidth="1"/>
    <col min="8196" max="8196" width="16.42578125" style="4" customWidth="1"/>
    <col min="8197" max="8197" width="20.7109375" style="4" customWidth="1"/>
    <col min="8198" max="8198" width="23.85546875" style="4" customWidth="1"/>
    <col min="8199" max="8199" width="18.85546875" style="4" customWidth="1"/>
    <col min="8200" max="8200" width="8.28515625" style="4" customWidth="1"/>
    <col min="8201" max="8201" width="14.5703125" style="4" customWidth="1"/>
    <col min="8202" max="8202" width="14.140625" style="4" customWidth="1"/>
    <col min="8203" max="8203" width="11.42578125" style="4"/>
    <col min="8204" max="8204" width="15.5703125" style="4" customWidth="1"/>
    <col min="8205" max="8205" width="11.42578125" style="4"/>
    <col min="8206" max="8206" width="13.85546875" style="4" customWidth="1"/>
    <col min="8207" max="8448" width="11.42578125" style="4"/>
    <col min="8449" max="8449" width="12.85546875" style="4" customWidth="1"/>
    <col min="8450" max="8450" width="18.28515625" style="4" customWidth="1"/>
    <col min="8451" max="8451" width="13.7109375" style="4" customWidth="1"/>
    <col min="8452" max="8452" width="16.42578125" style="4" customWidth="1"/>
    <col min="8453" max="8453" width="20.7109375" style="4" customWidth="1"/>
    <col min="8454" max="8454" width="23.85546875" style="4" customWidth="1"/>
    <col min="8455" max="8455" width="18.85546875" style="4" customWidth="1"/>
    <col min="8456" max="8456" width="8.28515625" style="4" customWidth="1"/>
    <col min="8457" max="8457" width="14.5703125" style="4" customWidth="1"/>
    <col min="8458" max="8458" width="14.140625" style="4" customWidth="1"/>
    <col min="8459" max="8459" width="11.42578125" style="4"/>
    <col min="8460" max="8460" width="15.5703125" style="4" customWidth="1"/>
    <col min="8461" max="8461" width="11.42578125" style="4"/>
    <col min="8462" max="8462" width="13.85546875" style="4" customWidth="1"/>
    <col min="8463" max="8704" width="11.42578125" style="4"/>
    <col min="8705" max="8705" width="12.85546875" style="4" customWidth="1"/>
    <col min="8706" max="8706" width="18.28515625" style="4" customWidth="1"/>
    <col min="8707" max="8707" width="13.7109375" style="4" customWidth="1"/>
    <col min="8708" max="8708" width="16.42578125" style="4" customWidth="1"/>
    <col min="8709" max="8709" width="20.7109375" style="4" customWidth="1"/>
    <col min="8710" max="8710" width="23.85546875" style="4" customWidth="1"/>
    <col min="8711" max="8711" width="18.85546875" style="4" customWidth="1"/>
    <col min="8712" max="8712" width="8.28515625" style="4" customWidth="1"/>
    <col min="8713" max="8713" width="14.5703125" style="4" customWidth="1"/>
    <col min="8714" max="8714" width="14.140625" style="4" customWidth="1"/>
    <col min="8715" max="8715" width="11.42578125" style="4"/>
    <col min="8716" max="8716" width="15.5703125" style="4" customWidth="1"/>
    <col min="8717" max="8717" width="11.42578125" style="4"/>
    <col min="8718" max="8718" width="13.85546875" style="4" customWidth="1"/>
    <col min="8719" max="8960" width="11.42578125" style="4"/>
    <col min="8961" max="8961" width="12.85546875" style="4" customWidth="1"/>
    <col min="8962" max="8962" width="18.28515625" style="4" customWidth="1"/>
    <col min="8963" max="8963" width="13.7109375" style="4" customWidth="1"/>
    <col min="8964" max="8964" width="16.42578125" style="4" customWidth="1"/>
    <col min="8965" max="8965" width="20.7109375" style="4" customWidth="1"/>
    <col min="8966" max="8966" width="23.85546875" style="4" customWidth="1"/>
    <col min="8967" max="8967" width="18.85546875" style="4" customWidth="1"/>
    <col min="8968" max="8968" width="8.28515625" style="4" customWidth="1"/>
    <col min="8969" max="8969" width="14.5703125" style="4" customWidth="1"/>
    <col min="8970" max="8970" width="14.140625" style="4" customWidth="1"/>
    <col min="8971" max="8971" width="11.42578125" style="4"/>
    <col min="8972" max="8972" width="15.5703125" style="4" customWidth="1"/>
    <col min="8973" max="8973" width="11.42578125" style="4"/>
    <col min="8974" max="8974" width="13.85546875" style="4" customWidth="1"/>
    <col min="8975" max="9216" width="11.42578125" style="4"/>
    <col min="9217" max="9217" width="12.85546875" style="4" customWidth="1"/>
    <col min="9218" max="9218" width="18.28515625" style="4" customWidth="1"/>
    <col min="9219" max="9219" width="13.7109375" style="4" customWidth="1"/>
    <col min="9220" max="9220" width="16.42578125" style="4" customWidth="1"/>
    <col min="9221" max="9221" width="20.7109375" style="4" customWidth="1"/>
    <col min="9222" max="9222" width="23.85546875" style="4" customWidth="1"/>
    <col min="9223" max="9223" width="18.85546875" style="4" customWidth="1"/>
    <col min="9224" max="9224" width="8.28515625" style="4" customWidth="1"/>
    <col min="9225" max="9225" width="14.5703125" style="4" customWidth="1"/>
    <col min="9226" max="9226" width="14.140625" style="4" customWidth="1"/>
    <col min="9227" max="9227" width="11.42578125" style="4"/>
    <col min="9228" max="9228" width="15.5703125" style="4" customWidth="1"/>
    <col min="9229" max="9229" width="11.42578125" style="4"/>
    <col min="9230" max="9230" width="13.85546875" style="4" customWidth="1"/>
    <col min="9231" max="9472" width="11.42578125" style="4"/>
    <col min="9473" max="9473" width="12.85546875" style="4" customWidth="1"/>
    <col min="9474" max="9474" width="18.28515625" style="4" customWidth="1"/>
    <col min="9475" max="9475" width="13.7109375" style="4" customWidth="1"/>
    <col min="9476" max="9476" width="16.42578125" style="4" customWidth="1"/>
    <col min="9477" max="9477" width="20.7109375" style="4" customWidth="1"/>
    <col min="9478" max="9478" width="23.85546875" style="4" customWidth="1"/>
    <col min="9479" max="9479" width="18.85546875" style="4" customWidth="1"/>
    <col min="9480" max="9480" width="8.28515625" style="4" customWidth="1"/>
    <col min="9481" max="9481" width="14.5703125" style="4" customWidth="1"/>
    <col min="9482" max="9482" width="14.140625" style="4" customWidth="1"/>
    <col min="9483" max="9483" width="11.42578125" style="4"/>
    <col min="9484" max="9484" width="15.5703125" style="4" customWidth="1"/>
    <col min="9485" max="9485" width="11.42578125" style="4"/>
    <col min="9486" max="9486" width="13.85546875" style="4" customWidth="1"/>
    <col min="9487" max="9728" width="11.42578125" style="4"/>
    <col min="9729" max="9729" width="12.85546875" style="4" customWidth="1"/>
    <col min="9730" max="9730" width="18.28515625" style="4" customWidth="1"/>
    <col min="9731" max="9731" width="13.7109375" style="4" customWidth="1"/>
    <col min="9732" max="9732" width="16.42578125" style="4" customWidth="1"/>
    <col min="9733" max="9733" width="20.7109375" style="4" customWidth="1"/>
    <col min="9734" max="9734" width="23.85546875" style="4" customWidth="1"/>
    <col min="9735" max="9735" width="18.85546875" style="4" customWidth="1"/>
    <col min="9736" max="9736" width="8.28515625" style="4" customWidth="1"/>
    <col min="9737" max="9737" width="14.5703125" style="4" customWidth="1"/>
    <col min="9738" max="9738" width="14.140625" style="4" customWidth="1"/>
    <col min="9739" max="9739" width="11.42578125" style="4"/>
    <col min="9740" max="9740" width="15.5703125" style="4" customWidth="1"/>
    <col min="9741" max="9741" width="11.42578125" style="4"/>
    <col min="9742" max="9742" width="13.85546875" style="4" customWidth="1"/>
    <col min="9743" max="9984" width="11.42578125" style="4"/>
    <col min="9985" max="9985" width="12.85546875" style="4" customWidth="1"/>
    <col min="9986" max="9986" width="18.28515625" style="4" customWidth="1"/>
    <col min="9987" max="9987" width="13.7109375" style="4" customWidth="1"/>
    <col min="9988" max="9988" width="16.42578125" style="4" customWidth="1"/>
    <col min="9989" max="9989" width="20.7109375" style="4" customWidth="1"/>
    <col min="9990" max="9990" width="23.85546875" style="4" customWidth="1"/>
    <col min="9991" max="9991" width="18.85546875" style="4" customWidth="1"/>
    <col min="9992" max="9992" width="8.28515625" style="4" customWidth="1"/>
    <col min="9993" max="9993" width="14.5703125" style="4" customWidth="1"/>
    <col min="9994" max="9994" width="14.140625" style="4" customWidth="1"/>
    <col min="9995" max="9995" width="11.42578125" style="4"/>
    <col min="9996" max="9996" width="15.5703125" style="4" customWidth="1"/>
    <col min="9997" max="9997" width="11.42578125" style="4"/>
    <col min="9998" max="9998" width="13.85546875" style="4" customWidth="1"/>
    <col min="9999" max="10240" width="11.42578125" style="4"/>
    <col min="10241" max="10241" width="12.85546875" style="4" customWidth="1"/>
    <col min="10242" max="10242" width="18.28515625" style="4" customWidth="1"/>
    <col min="10243" max="10243" width="13.7109375" style="4" customWidth="1"/>
    <col min="10244" max="10244" width="16.42578125" style="4" customWidth="1"/>
    <col min="10245" max="10245" width="20.7109375" style="4" customWidth="1"/>
    <col min="10246" max="10246" width="23.85546875" style="4" customWidth="1"/>
    <col min="10247" max="10247" width="18.85546875" style="4" customWidth="1"/>
    <col min="10248" max="10248" width="8.28515625" style="4" customWidth="1"/>
    <col min="10249" max="10249" width="14.5703125" style="4" customWidth="1"/>
    <col min="10250" max="10250" width="14.140625" style="4" customWidth="1"/>
    <col min="10251" max="10251" width="11.42578125" style="4"/>
    <col min="10252" max="10252" width="15.5703125" style="4" customWidth="1"/>
    <col min="10253" max="10253" width="11.42578125" style="4"/>
    <col min="10254" max="10254" width="13.85546875" style="4" customWidth="1"/>
    <col min="10255" max="10496" width="11.42578125" style="4"/>
    <col min="10497" max="10497" width="12.85546875" style="4" customWidth="1"/>
    <col min="10498" max="10498" width="18.28515625" style="4" customWidth="1"/>
    <col min="10499" max="10499" width="13.7109375" style="4" customWidth="1"/>
    <col min="10500" max="10500" width="16.42578125" style="4" customWidth="1"/>
    <col min="10501" max="10501" width="20.7109375" style="4" customWidth="1"/>
    <col min="10502" max="10502" width="23.85546875" style="4" customWidth="1"/>
    <col min="10503" max="10503" width="18.85546875" style="4" customWidth="1"/>
    <col min="10504" max="10504" width="8.28515625" style="4" customWidth="1"/>
    <col min="10505" max="10505" width="14.5703125" style="4" customWidth="1"/>
    <col min="10506" max="10506" width="14.140625" style="4" customWidth="1"/>
    <col min="10507" max="10507" width="11.42578125" style="4"/>
    <col min="10508" max="10508" width="15.5703125" style="4" customWidth="1"/>
    <col min="10509" max="10509" width="11.42578125" style="4"/>
    <col min="10510" max="10510" width="13.85546875" style="4" customWidth="1"/>
    <col min="10511" max="10752" width="11.42578125" style="4"/>
    <col min="10753" max="10753" width="12.85546875" style="4" customWidth="1"/>
    <col min="10754" max="10754" width="18.28515625" style="4" customWidth="1"/>
    <col min="10755" max="10755" width="13.7109375" style="4" customWidth="1"/>
    <col min="10756" max="10756" width="16.42578125" style="4" customWidth="1"/>
    <col min="10757" max="10757" width="20.7109375" style="4" customWidth="1"/>
    <col min="10758" max="10758" width="23.85546875" style="4" customWidth="1"/>
    <col min="10759" max="10759" width="18.85546875" style="4" customWidth="1"/>
    <col min="10760" max="10760" width="8.28515625" style="4" customWidth="1"/>
    <col min="10761" max="10761" width="14.5703125" style="4" customWidth="1"/>
    <col min="10762" max="10762" width="14.140625" style="4" customWidth="1"/>
    <col min="10763" max="10763" width="11.42578125" style="4"/>
    <col min="10764" max="10764" width="15.5703125" style="4" customWidth="1"/>
    <col min="10765" max="10765" width="11.42578125" style="4"/>
    <col min="10766" max="10766" width="13.85546875" style="4" customWidth="1"/>
    <col min="10767" max="11008" width="11.42578125" style="4"/>
    <col min="11009" max="11009" width="12.85546875" style="4" customWidth="1"/>
    <col min="11010" max="11010" width="18.28515625" style="4" customWidth="1"/>
    <col min="11011" max="11011" width="13.7109375" style="4" customWidth="1"/>
    <col min="11012" max="11012" width="16.42578125" style="4" customWidth="1"/>
    <col min="11013" max="11013" width="20.7109375" style="4" customWidth="1"/>
    <col min="11014" max="11014" width="23.85546875" style="4" customWidth="1"/>
    <col min="11015" max="11015" width="18.85546875" style="4" customWidth="1"/>
    <col min="11016" max="11016" width="8.28515625" style="4" customWidth="1"/>
    <col min="11017" max="11017" width="14.5703125" style="4" customWidth="1"/>
    <col min="11018" max="11018" width="14.140625" style="4" customWidth="1"/>
    <col min="11019" max="11019" width="11.42578125" style="4"/>
    <col min="11020" max="11020" width="15.5703125" style="4" customWidth="1"/>
    <col min="11021" max="11021" width="11.42578125" style="4"/>
    <col min="11022" max="11022" width="13.85546875" style="4" customWidth="1"/>
    <col min="11023" max="11264" width="11.42578125" style="4"/>
    <col min="11265" max="11265" width="12.85546875" style="4" customWidth="1"/>
    <col min="11266" max="11266" width="18.28515625" style="4" customWidth="1"/>
    <col min="11267" max="11267" width="13.7109375" style="4" customWidth="1"/>
    <col min="11268" max="11268" width="16.42578125" style="4" customWidth="1"/>
    <col min="11269" max="11269" width="20.7109375" style="4" customWidth="1"/>
    <col min="11270" max="11270" width="23.85546875" style="4" customWidth="1"/>
    <col min="11271" max="11271" width="18.85546875" style="4" customWidth="1"/>
    <col min="11272" max="11272" width="8.28515625" style="4" customWidth="1"/>
    <col min="11273" max="11273" width="14.5703125" style="4" customWidth="1"/>
    <col min="11274" max="11274" width="14.140625" style="4" customWidth="1"/>
    <col min="11275" max="11275" width="11.42578125" style="4"/>
    <col min="11276" max="11276" width="15.5703125" style="4" customWidth="1"/>
    <col min="11277" max="11277" width="11.42578125" style="4"/>
    <col min="11278" max="11278" width="13.85546875" style="4" customWidth="1"/>
    <col min="11279" max="11520" width="11.42578125" style="4"/>
    <col min="11521" max="11521" width="12.85546875" style="4" customWidth="1"/>
    <col min="11522" max="11522" width="18.28515625" style="4" customWidth="1"/>
    <col min="11523" max="11523" width="13.7109375" style="4" customWidth="1"/>
    <col min="11524" max="11524" width="16.42578125" style="4" customWidth="1"/>
    <col min="11525" max="11525" width="20.7109375" style="4" customWidth="1"/>
    <col min="11526" max="11526" width="23.85546875" style="4" customWidth="1"/>
    <col min="11527" max="11527" width="18.85546875" style="4" customWidth="1"/>
    <col min="11528" max="11528" width="8.28515625" style="4" customWidth="1"/>
    <col min="11529" max="11529" width="14.5703125" style="4" customWidth="1"/>
    <col min="11530" max="11530" width="14.140625" style="4" customWidth="1"/>
    <col min="11531" max="11531" width="11.42578125" style="4"/>
    <col min="11532" max="11532" width="15.5703125" style="4" customWidth="1"/>
    <col min="11533" max="11533" width="11.42578125" style="4"/>
    <col min="11534" max="11534" width="13.85546875" style="4" customWidth="1"/>
    <col min="11535" max="11776" width="11.42578125" style="4"/>
    <col min="11777" max="11777" width="12.85546875" style="4" customWidth="1"/>
    <col min="11778" max="11778" width="18.28515625" style="4" customWidth="1"/>
    <col min="11779" max="11779" width="13.7109375" style="4" customWidth="1"/>
    <col min="11780" max="11780" width="16.42578125" style="4" customWidth="1"/>
    <col min="11781" max="11781" width="20.7109375" style="4" customWidth="1"/>
    <col min="11782" max="11782" width="23.85546875" style="4" customWidth="1"/>
    <col min="11783" max="11783" width="18.85546875" style="4" customWidth="1"/>
    <col min="11784" max="11784" width="8.28515625" style="4" customWidth="1"/>
    <col min="11785" max="11785" width="14.5703125" style="4" customWidth="1"/>
    <col min="11786" max="11786" width="14.140625" style="4" customWidth="1"/>
    <col min="11787" max="11787" width="11.42578125" style="4"/>
    <col min="11788" max="11788" width="15.5703125" style="4" customWidth="1"/>
    <col min="11789" max="11789" width="11.42578125" style="4"/>
    <col min="11790" max="11790" width="13.85546875" style="4" customWidth="1"/>
    <col min="11791" max="12032" width="11.42578125" style="4"/>
    <col min="12033" max="12033" width="12.85546875" style="4" customWidth="1"/>
    <col min="12034" max="12034" width="18.28515625" style="4" customWidth="1"/>
    <col min="12035" max="12035" width="13.7109375" style="4" customWidth="1"/>
    <col min="12036" max="12036" width="16.42578125" style="4" customWidth="1"/>
    <col min="12037" max="12037" width="20.7109375" style="4" customWidth="1"/>
    <col min="12038" max="12038" width="23.85546875" style="4" customWidth="1"/>
    <col min="12039" max="12039" width="18.85546875" style="4" customWidth="1"/>
    <col min="12040" max="12040" width="8.28515625" style="4" customWidth="1"/>
    <col min="12041" max="12041" width="14.5703125" style="4" customWidth="1"/>
    <col min="12042" max="12042" width="14.140625" style="4" customWidth="1"/>
    <col min="12043" max="12043" width="11.42578125" style="4"/>
    <col min="12044" max="12044" width="15.5703125" style="4" customWidth="1"/>
    <col min="12045" max="12045" width="11.42578125" style="4"/>
    <col min="12046" max="12046" width="13.85546875" style="4" customWidth="1"/>
    <col min="12047" max="12288" width="11.42578125" style="4"/>
    <col min="12289" max="12289" width="12.85546875" style="4" customWidth="1"/>
    <col min="12290" max="12290" width="18.28515625" style="4" customWidth="1"/>
    <col min="12291" max="12291" width="13.7109375" style="4" customWidth="1"/>
    <col min="12292" max="12292" width="16.42578125" style="4" customWidth="1"/>
    <col min="12293" max="12293" width="20.7109375" style="4" customWidth="1"/>
    <col min="12294" max="12294" width="23.85546875" style="4" customWidth="1"/>
    <col min="12295" max="12295" width="18.85546875" style="4" customWidth="1"/>
    <col min="12296" max="12296" width="8.28515625" style="4" customWidth="1"/>
    <col min="12297" max="12297" width="14.5703125" style="4" customWidth="1"/>
    <col min="12298" max="12298" width="14.140625" style="4" customWidth="1"/>
    <col min="12299" max="12299" width="11.42578125" style="4"/>
    <col min="12300" max="12300" width="15.5703125" style="4" customWidth="1"/>
    <col min="12301" max="12301" width="11.42578125" style="4"/>
    <col min="12302" max="12302" width="13.85546875" style="4" customWidth="1"/>
    <col min="12303" max="12544" width="11.42578125" style="4"/>
    <col min="12545" max="12545" width="12.85546875" style="4" customWidth="1"/>
    <col min="12546" max="12546" width="18.28515625" style="4" customWidth="1"/>
    <col min="12547" max="12547" width="13.7109375" style="4" customWidth="1"/>
    <col min="12548" max="12548" width="16.42578125" style="4" customWidth="1"/>
    <col min="12549" max="12549" width="20.7109375" style="4" customWidth="1"/>
    <col min="12550" max="12550" width="23.85546875" style="4" customWidth="1"/>
    <col min="12551" max="12551" width="18.85546875" style="4" customWidth="1"/>
    <col min="12552" max="12552" width="8.28515625" style="4" customWidth="1"/>
    <col min="12553" max="12553" width="14.5703125" style="4" customWidth="1"/>
    <col min="12554" max="12554" width="14.140625" style="4" customWidth="1"/>
    <col min="12555" max="12555" width="11.42578125" style="4"/>
    <col min="12556" max="12556" width="15.5703125" style="4" customWidth="1"/>
    <col min="12557" max="12557" width="11.42578125" style="4"/>
    <col min="12558" max="12558" width="13.85546875" style="4" customWidth="1"/>
    <col min="12559" max="12800" width="11.42578125" style="4"/>
    <col min="12801" max="12801" width="12.85546875" style="4" customWidth="1"/>
    <col min="12802" max="12802" width="18.28515625" style="4" customWidth="1"/>
    <col min="12803" max="12803" width="13.7109375" style="4" customWidth="1"/>
    <col min="12804" max="12804" width="16.42578125" style="4" customWidth="1"/>
    <col min="12805" max="12805" width="20.7109375" style="4" customWidth="1"/>
    <col min="12806" max="12806" width="23.85546875" style="4" customWidth="1"/>
    <col min="12807" max="12807" width="18.85546875" style="4" customWidth="1"/>
    <col min="12808" max="12808" width="8.28515625" style="4" customWidth="1"/>
    <col min="12809" max="12809" width="14.5703125" style="4" customWidth="1"/>
    <col min="12810" max="12810" width="14.140625" style="4" customWidth="1"/>
    <col min="12811" max="12811" width="11.42578125" style="4"/>
    <col min="12812" max="12812" width="15.5703125" style="4" customWidth="1"/>
    <col min="12813" max="12813" width="11.42578125" style="4"/>
    <col min="12814" max="12814" width="13.85546875" style="4" customWidth="1"/>
    <col min="12815" max="13056" width="11.42578125" style="4"/>
    <col min="13057" max="13057" width="12.85546875" style="4" customWidth="1"/>
    <col min="13058" max="13058" width="18.28515625" style="4" customWidth="1"/>
    <col min="13059" max="13059" width="13.7109375" style="4" customWidth="1"/>
    <col min="13060" max="13060" width="16.42578125" style="4" customWidth="1"/>
    <col min="13061" max="13061" width="20.7109375" style="4" customWidth="1"/>
    <col min="13062" max="13062" width="23.85546875" style="4" customWidth="1"/>
    <col min="13063" max="13063" width="18.85546875" style="4" customWidth="1"/>
    <col min="13064" max="13064" width="8.28515625" style="4" customWidth="1"/>
    <col min="13065" max="13065" width="14.5703125" style="4" customWidth="1"/>
    <col min="13066" max="13066" width="14.140625" style="4" customWidth="1"/>
    <col min="13067" max="13067" width="11.42578125" style="4"/>
    <col min="13068" max="13068" width="15.5703125" style="4" customWidth="1"/>
    <col min="13069" max="13069" width="11.42578125" style="4"/>
    <col min="13070" max="13070" width="13.85546875" style="4" customWidth="1"/>
    <col min="13071" max="13312" width="11.42578125" style="4"/>
    <col min="13313" max="13313" width="12.85546875" style="4" customWidth="1"/>
    <col min="13314" max="13314" width="18.28515625" style="4" customWidth="1"/>
    <col min="13315" max="13315" width="13.7109375" style="4" customWidth="1"/>
    <col min="13316" max="13316" width="16.42578125" style="4" customWidth="1"/>
    <col min="13317" max="13317" width="20.7109375" style="4" customWidth="1"/>
    <col min="13318" max="13318" width="23.85546875" style="4" customWidth="1"/>
    <col min="13319" max="13319" width="18.85546875" style="4" customWidth="1"/>
    <col min="13320" max="13320" width="8.28515625" style="4" customWidth="1"/>
    <col min="13321" max="13321" width="14.5703125" style="4" customWidth="1"/>
    <col min="13322" max="13322" width="14.140625" style="4" customWidth="1"/>
    <col min="13323" max="13323" width="11.42578125" style="4"/>
    <col min="13324" max="13324" width="15.5703125" style="4" customWidth="1"/>
    <col min="13325" max="13325" width="11.42578125" style="4"/>
    <col min="13326" max="13326" width="13.85546875" style="4" customWidth="1"/>
    <col min="13327" max="13568" width="11.42578125" style="4"/>
    <col min="13569" max="13569" width="12.85546875" style="4" customWidth="1"/>
    <col min="13570" max="13570" width="18.28515625" style="4" customWidth="1"/>
    <col min="13571" max="13571" width="13.7109375" style="4" customWidth="1"/>
    <col min="13572" max="13572" width="16.42578125" style="4" customWidth="1"/>
    <col min="13573" max="13573" width="20.7109375" style="4" customWidth="1"/>
    <col min="13574" max="13574" width="23.85546875" style="4" customWidth="1"/>
    <col min="13575" max="13575" width="18.85546875" style="4" customWidth="1"/>
    <col min="13576" max="13576" width="8.28515625" style="4" customWidth="1"/>
    <col min="13577" max="13577" width="14.5703125" style="4" customWidth="1"/>
    <col min="13578" max="13578" width="14.140625" style="4" customWidth="1"/>
    <col min="13579" max="13579" width="11.42578125" style="4"/>
    <col min="13580" max="13580" width="15.5703125" style="4" customWidth="1"/>
    <col min="13581" max="13581" width="11.42578125" style="4"/>
    <col min="13582" max="13582" width="13.85546875" style="4" customWidth="1"/>
    <col min="13583" max="13824" width="11.42578125" style="4"/>
    <col min="13825" max="13825" width="12.85546875" style="4" customWidth="1"/>
    <col min="13826" max="13826" width="18.28515625" style="4" customWidth="1"/>
    <col min="13827" max="13827" width="13.7109375" style="4" customWidth="1"/>
    <col min="13828" max="13828" width="16.42578125" style="4" customWidth="1"/>
    <col min="13829" max="13829" width="20.7109375" style="4" customWidth="1"/>
    <col min="13830" max="13830" width="23.85546875" style="4" customWidth="1"/>
    <col min="13831" max="13831" width="18.85546875" style="4" customWidth="1"/>
    <col min="13832" max="13832" width="8.28515625" style="4" customWidth="1"/>
    <col min="13833" max="13833" width="14.5703125" style="4" customWidth="1"/>
    <col min="13834" max="13834" width="14.140625" style="4" customWidth="1"/>
    <col min="13835" max="13835" width="11.42578125" style="4"/>
    <col min="13836" max="13836" width="15.5703125" style="4" customWidth="1"/>
    <col min="13837" max="13837" width="11.42578125" style="4"/>
    <col min="13838" max="13838" width="13.85546875" style="4" customWidth="1"/>
    <col min="13839" max="14080" width="11.42578125" style="4"/>
    <col min="14081" max="14081" width="12.85546875" style="4" customWidth="1"/>
    <col min="14082" max="14082" width="18.28515625" style="4" customWidth="1"/>
    <col min="14083" max="14083" width="13.7109375" style="4" customWidth="1"/>
    <col min="14084" max="14084" width="16.42578125" style="4" customWidth="1"/>
    <col min="14085" max="14085" width="20.7109375" style="4" customWidth="1"/>
    <col min="14086" max="14086" width="23.85546875" style="4" customWidth="1"/>
    <col min="14087" max="14087" width="18.85546875" style="4" customWidth="1"/>
    <col min="14088" max="14088" width="8.28515625" style="4" customWidth="1"/>
    <col min="14089" max="14089" width="14.5703125" style="4" customWidth="1"/>
    <col min="14090" max="14090" width="14.140625" style="4" customWidth="1"/>
    <col min="14091" max="14091" width="11.42578125" style="4"/>
    <col min="14092" max="14092" width="15.5703125" style="4" customWidth="1"/>
    <col min="14093" max="14093" width="11.42578125" style="4"/>
    <col min="14094" max="14094" width="13.85546875" style="4" customWidth="1"/>
    <col min="14095" max="14336" width="11.42578125" style="4"/>
    <col min="14337" max="14337" width="12.85546875" style="4" customWidth="1"/>
    <col min="14338" max="14338" width="18.28515625" style="4" customWidth="1"/>
    <col min="14339" max="14339" width="13.7109375" style="4" customWidth="1"/>
    <col min="14340" max="14340" width="16.42578125" style="4" customWidth="1"/>
    <col min="14341" max="14341" width="20.7109375" style="4" customWidth="1"/>
    <col min="14342" max="14342" width="23.85546875" style="4" customWidth="1"/>
    <col min="14343" max="14343" width="18.85546875" style="4" customWidth="1"/>
    <col min="14344" max="14344" width="8.28515625" style="4" customWidth="1"/>
    <col min="14345" max="14345" width="14.5703125" style="4" customWidth="1"/>
    <col min="14346" max="14346" width="14.140625" style="4" customWidth="1"/>
    <col min="14347" max="14347" width="11.42578125" style="4"/>
    <col min="14348" max="14348" width="15.5703125" style="4" customWidth="1"/>
    <col min="14349" max="14349" width="11.42578125" style="4"/>
    <col min="14350" max="14350" width="13.85546875" style="4" customWidth="1"/>
    <col min="14351" max="14592" width="11.42578125" style="4"/>
    <col min="14593" max="14593" width="12.85546875" style="4" customWidth="1"/>
    <col min="14594" max="14594" width="18.28515625" style="4" customWidth="1"/>
    <col min="14595" max="14595" width="13.7109375" style="4" customWidth="1"/>
    <col min="14596" max="14596" width="16.42578125" style="4" customWidth="1"/>
    <col min="14597" max="14597" width="20.7109375" style="4" customWidth="1"/>
    <col min="14598" max="14598" width="23.85546875" style="4" customWidth="1"/>
    <col min="14599" max="14599" width="18.85546875" style="4" customWidth="1"/>
    <col min="14600" max="14600" width="8.28515625" style="4" customWidth="1"/>
    <col min="14601" max="14601" width="14.5703125" style="4" customWidth="1"/>
    <col min="14602" max="14602" width="14.140625" style="4" customWidth="1"/>
    <col min="14603" max="14603" width="11.42578125" style="4"/>
    <col min="14604" max="14604" width="15.5703125" style="4" customWidth="1"/>
    <col min="14605" max="14605" width="11.42578125" style="4"/>
    <col min="14606" max="14606" width="13.85546875" style="4" customWidth="1"/>
    <col min="14607" max="14848" width="11.42578125" style="4"/>
    <col min="14849" max="14849" width="12.85546875" style="4" customWidth="1"/>
    <col min="14850" max="14850" width="18.28515625" style="4" customWidth="1"/>
    <col min="14851" max="14851" width="13.7109375" style="4" customWidth="1"/>
    <col min="14852" max="14852" width="16.42578125" style="4" customWidth="1"/>
    <col min="14853" max="14853" width="20.7109375" style="4" customWidth="1"/>
    <col min="14854" max="14854" width="23.85546875" style="4" customWidth="1"/>
    <col min="14855" max="14855" width="18.85546875" style="4" customWidth="1"/>
    <col min="14856" max="14856" width="8.28515625" style="4" customWidth="1"/>
    <col min="14857" max="14857" width="14.5703125" style="4" customWidth="1"/>
    <col min="14858" max="14858" width="14.140625" style="4" customWidth="1"/>
    <col min="14859" max="14859" width="11.42578125" style="4"/>
    <col min="14860" max="14860" width="15.5703125" style="4" customWidth="1"/>
    <col min="14861" max="14861" width="11.42578125" style="4"/>
    <col min="14862" max="14862" width="13.85546875" style="4" customWidth="1"/>
    <col min="14863" max="15104" width="11.42578125" style="4"/>
    <col min="15105" max="15105" width="12.85546875" style="4" customWidth="1"/>
    <col min="15106" max="15106" width="18.28515625" style="4" customWidth="1"/>
    <col min="15107" max="15107" width="13.7109375" style="4" customWidth="1"/>
    <col min="15108" max="15108" width="16.42578125" style="4" customWidth="1"/>
    <col min="15109" max="15109" width="20.7109375" style="4" customWidth="1"/>
    <col min="15110" max="15110" width="23.85546875" style="4" customWidth="1"/>
    <col min="15111" max="15111" width="18.85546875" style="4" customWidth="1"/>
    <col min="15112" max="15112" width="8.28515625" style="4" customWidth="1"/>
    <col min="15113" max="15113" width="14.5703125" style="4" customWidth="1"/>
    <col min="15114" max="15114" width="14.140625" style="4" customWidth="1"/>
    <col min="15115" max="15115" width="11.42578125" style="4"/>
    <col min="15116" max="15116" width="15.5703125" style="4" customWidth="1"/>
    <col min="15117" max="15117" width="11.42578125" style="4"/>
    <col min="15118" max="15118" width="13.85546875" style="4" customWidth="1"/>
    <col min="15119" max="15360" width="11.42578125" style="4"/>
    <col min="15361" max="15361" width="12.85546875" style="4" customWidth="1"/>
    <col min="15362" max="15362" width="18.28515625" style="4" customWidth="1"/>
    <col min="15363" max="15363" width="13.7109375" style="4" customWidth="1"/>
    <col min="15364" max="15364" width="16.42578125" style="4" customWidth="1"/>
    <col min="15365" max="15365" width="20.7109375" style="4" customWidth="1"/>
    <col min="15366" max="15366" width="23.85546875" style="4" customWidth="1"/>
    <col min="15367" max="15367" width="18.85546875" style="4" customWidth="1"/>
    <col min="15368" max="15368" width="8.28515625" style="4" customWidth="1"/>
    <col min="15369" max="15369" width="14.5703125" style="4" customWidth="1"/>
    <col min="15370" max="15370" width="14.140625" style="4" customWidth="1"/>
    <col min="15371" max="15371" width="11.42578125" style="4"/>
    <col min="15372" max="15372" width="15.5703125" style="4" customWidth="1"/>
    <col min="15373" max="15373" width="11.42578125" style="4"/>
    <col min="15374" max="15374" width="13.85546875" style="4" customWidth="1"/>
    <col min="15375" max="15616" width="11.42578125" style="4"/>
    <col min="15617" max="15617" width="12.85546875" style="4" customWidth="1"/>
    <col min="15618" max="15618" width="18.28515625" style="4" customWidth="1"/>
    <col min="15619" max="15619" width="13.7109375" style="4" customWidth="1"/>
    <col min="15620" max="15620" width="16.42578125" style="4" customWidth="1"/>
    <col min="15621" max="15621" width="20.7109375" style="4" customWidth="1"/>
    <col min="15622" max="15622" width="23.85546875" style="4" customWidth="1"/>
    <col min="15623" max="15623" width="18.85546875" style="4" customWidth="1"/>
    <col min="15624" max="15624" width="8.28515625" style="4" customWidth="1"/>
    <col min="15625" max="15625" width="14.5703125" style="4" customWidth="1"/>
    <col min="15626" max="15626" width="14.140625" style="4" customWidth="1"/>
    <col min="15627" max="15627" width="11.42578125" style="4"/>
    <col min="15628" max="15628" width="15.5703125" style="4" customWidth="1"/>
    <col min="15629" max="15629" width="11.42578125" style="4"/>
    <col min="15630" max="15630" width="13.85546875" style="4" customWidth="1"/>
    <col min="15631" max="15872" width="11.42578125" style="4"/>
    <col min="15873" max="15873" width="12.85546875" style="4" customWidth="1"/>
    <col min="15874" max="15874" width="18.28515625" style="4" customWidth="1"/>
    <col min="15875" max="15875" width="13.7109375" style="4" customWidth="1"/>
    <col min="15876" max="15876" width="16.42578125" style="4" customWidth="1"/>
    <col min="15877" max="15877" width="20.7109375" style="4" customWidth="1"/>
    <col min="15878" max="15878" width="23.85546875" style="4" customWidth="1"/>
    <col min="15879" max="15879" width="18.85546875" style="4" customWidth="1"/>
    <col min="15880" max="15880" width="8.28515625" style="4" customWidth="1"/>
    <col min="15881" max="15881" width="14.5703125" style="4" customWidth="1"/>
    <col min="15882" max="15882" width="14.140625" style="4" customWidth="1"/>
    <col min="15883" max="15883" width="11.42578125" style="4"/>
    <col min="15884" max="15884" width="15.5703125" style="4" customWidth="1"/>
    <col min="15885" max="15885" width="11.42578125" style="4"/>
    <col min="15886" max="15886" width="13.85546875" style="4" customWidth="1"/>
    <col min="15887" max="16128" width="11.42578125" style="4"/>
    <col min="16129" max="16129" width="12.85546875" style="4" customWidth="1"/>
    <col min="16130" max="16130" width="18.28515625" style="4" customWidth="1"/>
    <col min="16131" max="16131" width="13.7109375" style="4" customWidth="1"/>
    <col min="16132" max="16132" width="16.42578125" style="4" customWidth="1"/>
    <col min="16133" max="16133" width="20.7109375" style="4" customWidth="1"/>
    <col min="16134" max="16134" width="23.85546875" style="4" customWidth="1"/>
    <col min="16135" max="16135" width="18.85546875" style="4" customWidth="1"/>
    <col min="16136" max="16136" width="8.28515625" style="4" customWidth="1"/>
    <col min="16137" max="16137" width="14.5703125" style="4" customWidth="1"/>
    <col min="16138" max="16138" width="14.140625" style="4" customWidth="1"/>
    <col min="16139" max="16139" width="11.42578125" style="4"/>
    <col min="16140" max="16140" width="15.5703125" style="4" customWidth="1"/>
    <col min="16141" max="16141" width="11.42578125" style="4"/>
    <col min="16142" max="16142" width="13.85546875" style="4" customWidth="1"/>
    <col min="16143" max="16384" width="11.42578125" style="4"/>
  </cols>
  <sheetData>
    <row r="1" spans="1:34" ht="12" customHeight="1" thickBot="1" x14ac:dyDescent="0.25"/>
    <row r="2" spans="1:34" s="11" customFormat="1" ht="20.25" customHeight="1" thickBot="1" x14ac:dyDescent="0.25">
      <c r="A2" s="603" t="s">
        <v>93</v>
      </c>
      <c r="B2" s="604"/>
      <c r="C2" s="604"/>
      <c r="D2" s="604"/>
      <c r="E2" s="604"/>
      <c r="F2" s="604"/>
      <c r="G2" s="605"/>
      <c r="H2" s="51"/>
      <c r="J2" s="203" t="s">
        <v>95</v>
      </c>
      <c r="K2" s="16"/>
      <c r="L2" s="8"/>
      <c r="M2" s="8"/>
      <c r="N2" s="8"/>
      <c r="O2" s="8"/>
      <c r="P2" s="8"/>
      <c r="Q2" s="8"/>
      <c r="R2" s="8"/>
    </row>
    <row r="3" spans="1:34" s="16" customFormat="1" ht="31.5" customHeight="1" x14ac:dyDescent="0.2">
      <c r="A3" s="606" t="s">
        <v>94</v>
      </c>
      <c r="B3" s="606"/>
      <c r="C3" s="606"/>
      <c r="D3" s="606"/>
      <c r="E3" s="606"/>
      <c r="F3" s="606"/>
      <c r="G3" s="606"/>
      <c r="H3" s="68"/>
      <c r="I3" s="68"/>
      <c r="J3" s="203" t="s">
        <v>96</v>
      </c>
      <c r="L3" s="204"/>
    </row>
    <row r="4" spans="1:34" s="16" customFormat="1" ht="13.5" customHeight="1" thickBot="1" x14ac:dyDescent="0.5">
      <c r="A4" s="205"/>
      <c r="B4" s="4"/>
      <c r="C4" s="4"/>
      <c r="D4" s="4"/>
      <c r="E4" s="4"/>
      <c r="F4" s="4"/>
      <c r="G4" s="4"/>
      <c r="H4" s="68"/>
      <c r="I4" s="68"/>
      <c r="J4" s="203" t="s">
        <v>100</v>
      </c>
      <c r="K4" s="8"/>
      <c r="L4" s="204"/>
    </row>
    <row r="5" spans="1:34" ht="19.5" customHeight="1" thickBot="1" x14ac:dyDescent="0.25">
      <c r="B5" s="206" t="s">
        <v>97</v>
      </c>
      <c r="C5" s="207">
        <v>2.5000000000000001E-2</v>
      </c>
      <c r="D5" s="208" t="s">
        <v>98</v>
      </c>
      <c r="E5" s="209" t="s">
        <v>99</v>
      </c>
      <c r="F5" s="210">
        <f>1-C5</f>
        <v>0.97499999999999998</v>
      </c>
      <c r="H5" s="21"/>
      <c r="I5" s="211"/>
      <c r="J5" s="203" t="s">
        <v>101</v>
      </c>
      <c r="L5" s="204"/>
      <c r="M5" s="16"/>
      <c r="N5" s="16"/>
      <c r="O5" s="77"/>
      <c r="P5" s="77"/>
      <c r="Q5" s="77"/>
      <c r="R5" s="16"/>
      <c r="S5" s="16"/>
      <c r="T5" s="16"/>
      <c r="U5" s="16"/>
      <c r="V5" s="16"/>
      <c r="W5" s="16"/>
      <c r="X5" s="16"/>
    </row>
    <row r="6" spans="1:34" ht="13.5" thickBot="1" x14ac:dyDescent="0.25">
      <c r="H6" s="84"/>
      <c r="I6" s="75"/>
      <c r="J6" s="212" t="s">
        <v>103</v>
      </c>
      <c r="K6" s="213"/>
      <c r="L6" s="47"/>
      <c r="M6" s="16"/>
      <c r="N6" s="16"/>
      <c r="U6" s="87"/>
      <c r="V6" s="87"/>
      <c r="W6" s="87"/>
      <c r="X6" s="87"/>
      <c r="Y6" s="87"/>
      <c r="Z6" s="87"/>
    </row>
    <row r="7" spans="1:34" ht="21" customHeight="1" thickBot="1" x14ac:dyDescent="0.25">
      <c r="A7" s="130"/>
      <c r="B7" s="35"/>
      <c r="D7" s="607" t="s">
        <v>102</v>
      </c>
      <c r="E7" s="608"/>
      <c r="F7" s="609"/>
      <c r="H7" s="88"/>
      <c r="I7" s="75"/>
      <c r="J7" s="203" t="s">
        <v>107</v>
      </c>
      <c r="K7" s="11"/>
      <c r="N7" s="41"/>
      <c r="O7" s="77"/>
      <c r="P7" s="77"/>
      <c r="Q7" s="77"/>
      <c r="R7" s="11"/>
      <c r="S7" s="11"/>
      <c r="T7" s="213"/>
      <c r="U7" s="106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4" ht="20.100000000000001" customHeight="1" thickBot="1" x14ac:dyDescent="0.25">
      <c r="D8" s="214" t="s">
        <v>104</v>
      </c>
      <c r="E8" s="215" t="s">
        <v>105</v>
      </c>
      <c r="F8" s="214" t="s">
        <v>106</v>
      </c>
      <c r="H8" s="216"/>
      <c r="I8" s="75"/>
      <c r="J8" s="212" t="s">
        <v>108</v>
      </c>
      <c r="K8" s="11"/>
      <c r="L8" s="8"/>
      <c r="M8" s="76"/>
      <c r="N8" s="75"/>
      <c r="O8" s="77"/>
      <c r="P8" s="77"/>
      <c r="Q8" s="77"/>
      <c r="R8" s="11"/>
      <c r="S8" s="217"/>
      <c r="T8" s="11"/>
      <c r="U8" s="8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4" ht="20.100000000000001" customHeight="1" thickBot="1" x14ac:dyDescent="0.3">
      <c r="D9" s="218">
        <v>1.5</v>
      </c>
      <c r="E9" s="219">
        <v>1.33</v>
      </c>
      <c r="F9" s="219">
        <v>1.69</v>
      </c>
      <c r="G9" s="4" t="s">
        <v>180</v>
      </c>
      <c r="H9" s="220"/>
      <c r="I9" s="11"/>
      <c r="K9" s="11"/>
      <c r="L9" s="11"/>
      <c r="M9" s="11"/>
      <c r="N9" s="11"/>
      <c r="O9" s="11"/>
      <c r="P9" s="11"/>
      <c r="Q9" s="11"/>
      <c r="R9" s="11"/>
      <c r="S9" s="221"/>
      <c r="T9" s="106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16.5" hidden="1" thickBot="1" x14ac:dyDescent="0.3">
      <c r="B10" s="222" t="s">
        <v>174</v>
      </c>
      <c r="C10" s="223" t="s">
        <v>109</v>
      </c>
      <c r="D10" s="224">
        <f>F5^D9</f>
        <v>0.96273536083391054</v>
      </c>
      <c r="E10" s="224">
        <f>F5^E9</f>
        <v>0.96688793014035079</v>
      </c>
      <c r="F10" s="225">
        <f>F5^F9</f>
        <v>0.95811535543065374</v>
      </c>
      <c r="H10" s="88"/>
      <c r="I10" s="11"/>
      <c r="J10" s="51"/>
      <c r="K10" s="11"/>
      <c r="L10" s="8"/>
      <c r="M10" s="76"/>
      <c r="N10" s="75"/>
      <c r="O10" s="77"/>
      <c r="P10" s="77"/>
      <c r="Q10" s="11"/>
      <c r="R10" s="11"/>
      <c r="S10" s="226"/>
      <c r="T10" s="11"/>
      <c r="U10" s="8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4" hidden="1" x14ac:dyDescent="0.2">
      <c r="B11" s="227"/>
      <c r="C11" s="228" t="s">
        <v>110</v>
      </c>
      <c r="D11" s="12">
        <f>1-D10</f>
        <v>3.7264639166089464E-2</v>
      </c>
      <c r="E11" s="12">
        <f>1-E10</f>
        <v>3.3112069859649207E-2</v>
      </c>
      <c r="F11" s="12">
        <f>1-F10</f>
        <v>4.1884644569346263E-2</v>
      </c>
      <c r="H11" s="88"/>
      <c r="I11" s="11"/>
      <c r="J11" s="231"/>
      <c r="K11" s="74"/>
      <c r="L11" s="11"/>
      <c r="M11" s="11"/>
      <c r="N11" s="11"/>
      <c r="O11" s="11"/>
      <c r="P11" s="11"/>
      <c r="Q11" s="77"/>
      <c r="R11" s="11"/>
      <c r="S11" s="217"/>
      <c r="T11" s="74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idden="1" x14ac:dyDescent="0.2">
      <c r="B12" s="229"/>
      <c r="C12" s="79"/>
      <c r="D12" s="229"/>
      <c r="E12" s="229"/>
      <c r="F12" s="229"/>
      <c r="H12" s="230"/>
      <c r="I12" s="11"/>
      <c r="J12" s="233"/>
      <c r="K12" s="234"/>
      <c r="L12" s="232"/>
      <c r="M12" s="11"/>
      <c r="N12" s="11"/>
      <c r="O12" s="11"/>
      <c r="P12" s="11"/>
      <c r="Q12" s="11"/>
      <c r="R12" s="11"/>
      <c r="S12" s="233"/>
      <c r="T12" s="234"/>
      <c r="U12" s="232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15" hidden="1" thickBot="1" x14ac:dyDescent="0.3">
      <c r="B13" s="235"/>
      <c r="C13" s="236" t="s">
        <v>111</v>
      </c>
      <c r="D13" s="237" t="s">
        <v>46</v>
      </c>
      <c r="E13" s="238">
        <f>D10-F5</f>
        <v>-1.2264639166089442E-2</v>
      </c>
      <c r="F13" s="239">
        <f>F10-F5</f>
        <v>-1.6884644569346241E-2</v>
      </c>
      <c r="G13" s="240">
        <f>E10-F5</f>
        <v>-8.1120698596491847E-3</v>
      </c>
      <c r="H13" s="88"/>
      <c r="I13" s="11"/>
      <c r="J13" s="4"/>
      <c r="K13" s="4"/>
      <c r="L13" s="11"/>
      <c r="M13" s="24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 ht="13.5" hidden="1" thickBot="1" x14ac:dyDescent="0.25">
      <c r="B14" s="242"/>
      <c r="C14" s="243" t="s">
        <v>112</v>
      </c>
      <c r="D14" s="244" t="s">
        <v>48</v>
      </c>
      <c r="E14" s="245">
        <f>1/E13</f>
        <v>-81.535215708987565</v>
      </c>
      <c r="F14" s="246">
        <f>1/G13</f>
        <v>-123.27310012135992</v>
      </c>
      <c r="G14" s="247">
        <f>1/F13</f>
        <v>-59.225410158498775</v>
      </c>
      <c r="J14" s="4"/>
      <c r="K14" s="4"/>
      <c r="P14" s="4"/>
      <c r="Q14" s="4"/>
      <c r="R14" s="16"/>
      <c r="S14" s="16"/>
      <c r="T14" s="16"/>
      <c r="U14" s="16"/>
      <c r="V14" s="16"/>
      <c r="W14" s="16"/>
      <c r="X14" s="16"/>
    </row>
    <row r="15" spans="1:34" hidden="1" x14ac:dyDescent="0.2">
      <c r="B15" s="229"/>
      <c r="C15" s="229"/>
      <c r="D15" s="229"/>
      <c r="E15" s="229"/>
      <c r="F15" s="229"/>
      <c r="J15" s="4"/>
      <c r="K15" s="4"/>
      <c r="P15" s="4"/>
      <c r="Q15" s="4"/>
    </row>
    <row r="16" spans="1:34" ht="15.75" hidden="1" x14ac:dyDescent="0.25">
      <c r="A16" s="248"/>
      <c r="B16" s="249"/>
      <c r="C16" s="135" t="s">
        <v>49</v>
      </c>
      <c r="D16" s="250" t="s">
        <v>50</v>
      </c>
      <c r="E16" s="251">
        <f>E14</f>
        <v>-81.535215708987565</v>
      </c>
      <c r="F16" s="251">
        <f>F14</f>
        <v>-123.27310012135992</v>
      </c>
      <c r="G16" s="251">
        <f>G14</f>
        <v>-59.225410158498775</v>
      </c>
      <c r="J16" s="11"/>
      <c r="K16" s="11"/>
      <c r="P16" s="4"/>
      <c r="Q16" s="4"/>
    </row>
    <row r="17" spans="1:17" s="11" customFormat="1" hidden="1" x14ac:dyDescent="0.2">
      <c r="B17" s="252"/>
      <c r="C17" s="252"/>
      <c r="D17" s="253" t="s">
        <v>113</v>
      </c>
      <c r="E17" s="254">
        <f>(1-C5)*E14</f>
        <v>-79.496835316262874</v>
      </c>
      <c r="F17" s="254">
        <f>(1-C5)*F14</f>
        <v>-120.19127261832591</v>
      </c>
      <c r="G17" s="254">
        <f>(1-C5)*G14</f>
        <v>-57.744774904536307</v>
      </c>
      <c r="I17" s="128"/>
    </row>
    <row r="18" spans="1:17" s="11" customFormat="1" hidden="1" x14ac:dyDescent="0.2">
      <c r="B18" s="255"/>
      <c r="C18" s="255"/>
      <c r="D18" s="141" t="s">
        <v>114</v>
      </c>
      <c r="E18" s="256">
        <f>E14*E13</f>
        <v>1</v>
      </c>
      <c r="F18" s="256">
        <f>F14*G13</f>
        <v>1</v>
      </c>
      <c r="G18" s="256">
        <f>G14*F13</f>
        <v>1</v>
      </c>
    </row>
    <row r="19" spans="1:17" s="11" customFormat="1" hidden="1" x14ac:dyDescent="0.2">
      <c r="B19" s="257"/>
      <c r="C19" s="257"/>
      <c r="D19" s="258" t="s">
        <v>115</v>
      </c>
      <c r="E19" s="259">
        <f>(C5-E13)*E14</f>
        <v>-3.0383803927246893</v>
      </c>
      <c r="F19" s="259">
        <f>(C5-G13)*F14</f>
        <v>-4.0818275030339981</v>
      </c>
      <c r="G19" s="259">
        <f>(C5-F13)*G14</f>
        <v>-2.4806352539624696</v>
      </c>
      <c r="J19" s="147"/>
      <c r="K19" s="147"/>
    </row>
    <row r="20" spans="1:17" s="11" customFormat="1" hidden="1" x14ac:dyDescent="0.2">
      <c r="B20" s="260"/>
      <c r="C20" s="260"/>
      <c r="D20" s="260"/>
      <c r="E20" s="261"/>
      <c r="F20" s="261"/>
      <c r="G20" s="261"/>
      <c r="J20" s="147"/>
      <c r="K20" s="148"/>
      <c r="L20" s="149"/>
    </row>
    <row r="21" spans="1:17" s="11" customFormat="1" ht="15.75" hidden="1" x14ac:dyDescent="0.25">
      <c r="A21" s="145"/>
      <c r="B21" s="249"/>
      <c r="C21" s="135" t="s">
        <v>54</v>
      </c>
      <c r="D21" s="250" t="s">
        <v>55</v>
      </c>
      <c r="E21" s="251">
        <f>E14</f>
        <v>-81.535215708987565</v>
      </c>
      <c r="F21" s="251">
        <f>F14</f>
        <v>-123.27310012135992</v>
      </c>
      <c r="G21" s="251">
        <f>G14</f>
        <v>-59.225410158498775</v>
      </c>
      <c r="I21" s="147"/>
      <c r="J21" s="147"/>
      <c r="K21" s="147"/>
      <c r="L21" s="149"/>
    </row>
    <row r="22" spans="1:17" s="11" customFormat="1" hidden="1" x14ac:dyDescent="0.2">
      <c r="B22" s="262"/>
      <c r="C22" s="262"/>
      <c r="D22" s="150" t="s">
        <v>113</v>
      </c>
      <c r="E22" s="254">
        <f>ABS((1-(C5-E13))*E14)</f>
        <v>78.496835316262874</v>
      </c>
      <c r="F22" s="254">
        <f>ABS((1-(C5-G13))*F14)</f>
        <v>119.19127261832591</v>
      </c>
      <c r="G22" s="254">
        <f>ABS((1-(C5-F13))*G14)</f>
        <v>56.744774904536307</v>
      </c>
      <c r="I22" s="147"/>
      <c r="J22" s="4"/>
      <c r="K22" s="4"/>
      <c r="L22" s="149"/>
    </row>
    <row r="23" spans="1:17" hidden="1" x14ac:dyDescent="0.2">
      <c r="B23" s="263"/>
      <c r="C23" s="263"/>
      <c r="D23" s="264" t="s">
        <v>116</v>
      </c>
      <c r="E23" s="265">
        <f>E14*E13</f>
        <v>1</v>
      </c>
      <c r="F23" s="246">
        <f>F14*G13</f>
        <v>1</v>
      </c>
      <c r="G23" s="246">
        <f>G14*F13</f>
        <v>1</v>
      </c>
      <c r="J23" s="19"/>
      <c r="K23" s="19"/>
      <c r="P23" s="4"/>
      <c r="Q23" s="4"/>
    </row>
    <row r="24" spans="1:17" hidden="1" x14ac:dyDescent="0.2">
      <c r="B24" s="266"/>
      <c r="C24" s="267"/>
      <c r="D24" s="268" t="s">
        <v>117</v>
      </c>
      <c r="E24" s="259">
        <f>ABS(C5*E14)</f>
        <v>2.0383803927246893</v>
      </c>
      <c r="F24" s="259">
        <f>ABS(C5*F14)</f>
        <v>3.0818275030339981</v>
      </c>
      <c r="G24" s="259">
        <f>ABS(C5*G14)</f>
        <v>1.4806352539624694</v>
      </c>
      <c r="I24" s="19"/>
      <c r="J24" s="271"/>
      <c r="K24" s="271"/>
      <c r="P24" s="4"/>
      <c r="Q24" s="4"/>
    </row>
    <row r="25" spans="1:17" s="11" customFormat="1" hidden="1" x14ac:dyDescent="0.2">
      <c r="B25" s="269"/>
      <c r="C25" s="270"/>
      <c r="D25" s="157"/>
      <c r="E25" s="158"/>
      <c r="F25" s="158"/>
      <c r="G25" s="158"/>
      <c r="I25" s="271"/>
      <c r="J25" s="4"/>
      <c r="K25" s="4"/>
    </row>
    <row r="26" spans="1:17" hidden="1" x14ac:dyDescent="0.2">
      <c r="B26" s="272" t="s">
        <v>77</v>
      </c>
      <c r="C26" s="273"/>
      <c r="D26" s="273"/>
      <c r="E26" s="274">
        <f>ROUND(D9,2)</f>
        <v>1.5</v>
      </c>
      <c r="F26" s="275">
        <f>ROUND(E13,4)</f>
        <v>-1.23E-2</v>
      </c>
      <c r="G26" s="276">
        <f>ROUND(E14,0)</f>
        <v>-82</v>
      </c>
      <c r="P26" s="4"/>
      <c r="Q26" s="4"/>
    </row>
    <row r="27" spans="1:17" hidden="1" x14ac:dyDescent="0.2">
      <c r="B27" s="277" t="s">
        <v>78</v>
      </c>
      <c r="C27" s="278">
        <f>ROUND(D11,4)</f>
        <v>3.73E-2</v>
      </c>
      <c r="D27" s="278">
        <f>ROUND(C5,4)</f>
        <v>2.5000000000000001E-2</v>
      </c>
      <c r="E27" s="279">
        <f>ROUND(E9,2)</f>
        <v>1.33</v>
      </c>
      <c r="F27" s="280">
        <f>ROUND(F13,4)</f>
        <v>-1.6899999999999998E-2</v>
      </c>
      <c r="G27" s="281">
        <f>ROUND(F14,0)</f>
        <v>-123</v>
      </c>
      <c r="P27" s="4"/>
      <c r="Q27" s="4"/>
    </row>
    <row r="28" spans="1:17" hidden="1" x14ac:dyDescent="0.2">
      <c r="B28" s="277" t="s">
        <v>79</v>
      </c>
      <c r="C28" s="282"/>
      <c r="D28" s="282"/>
      <c r="E28" s="279">
        <f>ROUND(F9,2)</f>
        <v>1.69</v>
      </c>
      <c r="F28" s="280">
        <f>ROUND(G13,4)</f>
        <v>-8.0999999999999996E-3</v>
      </c>
      <c r="G28" s="281">
        <f>ROUND(G14,0)</f>
        <v>-59</v>
      </c>
      <c r="J28" s="4"/>
      <c r="K28" s="4"/>
      <c r="P28" s="4"/>
      <c r="Q28" s="4"/>
    </row>
    <row r="29" spans="1:17" hidden="1" x14ac:dyDescent="0.2">
      <c r="B29" s="277" t="s">
        <v>80</v>
      </c>
      <c r="C29" s="194" t="s">
        <v>118</v>
      </c>
      <c r="D29" s="194" t="s">
        <v>119</v>
      </c>
      <c r="E29" s="194" t="s">
        <v>102</v>
      </c>
      <c r="F29" s="194" t="s">
        <v>120</v>
      </c>
      <c r="G29" s="194" t="s">
        <v>90</v>
      </c>
      <c r="J29" s="4"/>
      <c r="K29" s="4"/>
      <c r="P29" s="4"/>
      <c r="Q29" s="4"/>
    </row>
    <row r="30" spans="1:17" hidden="1" x14ac:dyDescent="0.2">
      <c r="B30" s="283" t="s">
        <v>86</v>
      </c>
      <c r="C30" s="194" t="str">
        <f>CONCATENATE(C27*100,B29)</f>
        <v>3,73%</v>
      </c>
      <c r="D30" s="194" t="str">
        <f>CONCATENATE(D27*100,B29)</f>
        <v>2,5%</v>
      </c>
      <c r="E30" s="194" t="str">
        <f>CONCATENATE(E26," ",B26,E27,B27,E28,B28)</f>
        <v>1,5 (1,33-1,69)</v>
      </c>
      <c r="F30" s="194" t="str">
        <f>CONCATENATE(F26*100,B29," ",B26,F27*100,B29," ",B30," ",F28*100,B29,B28)</f>
        <v>-1,23% (-1,69% a -0,81%)</v>
      </c>
      <c r="G30" s="194" t="str">
        <f>CONCATENATE(G26," ",B26,G27," ",B30," ",G28,B28)</f>
        <v>-82 (-123 a -59)</v>
      </c>
      <c r="P30" s="4"/>
      <c r="Q30" s="4"/>
    </row>
    <row r="31" spans="1:17" s="16" customFormat="1" ht="15" hidden="1" x14ac:dyDescent="0.2">
      <c r="B31" s="269"/>
      <c r="C31" s="8"/>
      <c r="D31" s="269"/>
      <c r="E31" s="269"/>
      <c r="F31" s="269"/>
      <c r="G31" s="11"/>
      <c r="J31" s="47" t="s">
        <v>121</v>
      </c>
      <c r="K31" s="285">
        <f>EXP(1)</f>
        <v>2.7182818284590451</v>
      </c>
    </row>
    <row r="32" spans="1:17" x14ac:dyDescent="0.2">
      <c r="B32" s="229"/>
      <c r="C32" s="229"/>
      <c r="D32" s="284"/>
      <c r="E32" s="229"/>
      <c r="F32" s="229"/>
      <c r="J32" s="4"/>
      <c r="K32" s="4"/>
      <c r="P32" s="4"/>
      <c r="Q32" s="4"/>
    </row>
    <row r="33" spans="1:14" ht="18.75" customHeight="1" x14ac:dyDescent="0.2">
      <c r="C33" s="286" t="s">
        <v>118</v>
      </c>
      <c r="D33" s="286" t="s">
        <v>119</v>
      </c>
      <c r="E33" s="286" t="s">
        <v>102</v>
      </c>
      <c r="F33" s="286" t="s">
        <v>89</v>
      </c>
      <c r="G33" s="286" t="s">
        <v>90</v>
      </c>
    </row>
    <row r="34" spans="1:14" ht="22.5" customHeight="1" x14ac:dyDescent="0.2">
      <c r="A34" s="130"/>
      <c r="C34" s="199" t="str">
        <f>C30</f>
        <v>3,73%</v>
      </c>
      <c r="D34" s="199" t="str">
        <f>D30</f>
        <v>2,5%</v>
      </c>
      <c r="E34" s="199" t="str">
        <f>E30</f>
        <v>1,5 (1,33-1,69)</v>
      </c>
      <c r="F34" s="199" t="str">
        <f>F30</f>
        <v>-1,23% (-1,69% a -0,81%)</v>
      </c>
      <c r="G34" s="199" t="str">
        <f>G30</f>
        <v>-82 (-123 a -59)</v>
      </c>
      <c r="L34" s="16"/>
      <c r="M34" s="16"/>
      <c r="N34" s="16"/>
    </row>
    <row r="35" spans="1:14" x14ac:dyDescent="0.2">
      <c r="A35" s="130"/>
      <c r="B35" s="130"/>
      <c r="G35" s="287"/>
      <c r="L35" s="16"/>
      <c r="M35" s="16"/>
      <c r="N35" s="16"/>
    </row>
    <row r="36" spans="1:14" x14ac:dyDescent="0.2">
      <c r="A36" s="130"/>
      <c r="B36" s="130"/>
      <c r="L36" s="16"/>
      <c r="M36" s="16"/>
      <c r="N36" s="16"/>
    </row>
    <row r="37" spans="1:14" x14ac:dyDescent="0.2">
      <c r="A37" s="41"/>
      <c r="B37" s="41"/>
    </row>
    <row r="38" spans="1:14" x14ac:dyDescent="0.2">
      <c r="A38" s="130"/>
    </row>
  </sheetData>
  <mergeCells count="3">
    <mergeCell ref="A2:G2"/>
    <mergeCell ref="A3:G3"/>
    <mergeCell ref="D7:F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topLeftCell="A2" workbookViewId="0">
      <selection activeCell="E40" sqref="E40"/>
    </sheetView>
  </sheetViews>
  <sheetFormatPr baseColWidth="10" defaultRowHeight="12.75" x14ac:dyDescent="0.2"/>
  <cols>
    <col min="1" max="1" width="7.5703125" style="288" customWidth="1"/>
    <col min="2" max="2" width="18.7109375" style="288" customWidth="1"/>
    <col min="3" max="3" width="18.28515625" style="288" customWidth="1"/>
    <col min="4" max="4" width="17.28515625" style="288" customWidth="1"/>
    <col min="5" max="5" width="22.85546875" style="288" customWidth="1"/>
    <col min="6" max="6" width="26.42578125" style="288" customWidth="1"/>
    <col min="7" max="7" width="22.5703125" style="288" customWidth="1"/>
    <col min="8" max="8" width="12.28515625" style="289" customWidth="1"/>
    <col min="9" max="9" width="11.42578125" style="288"/>
    <col min="10" max="10" width="19" style="290" customWidth="1"/>
    <col min="11" max="256" width="11.42578125" style="288"/>
    <col min="257" max="257" width="7.5703125" style="288" customWidth="1"/>
    <col min="258" max="258" width="18.7109375" style="288" customWidth="1"/>
    <col min="259" max="259" width="18.28515625" style="288" customWidth="1"/>
    <col min="260" max="260" width="17.28515625" style="288" customWidth="1"/>
    <col min="261" max="261" width="22.85546875" style="288" customWidth="1"/>
    <col min="262" max="262" width="26.42578125" style="288" customWidth="1"/>
    <col min="263" max="263" width="22.5703125" style="288" customWidth="1"/>
    <col min="264" max="264" width="12.28515625" style="288" customWidth="1"/>
    <col min="265" max="265" width="11.42578125" style="288"/>
    <col min="266" max="266" width="19" style="288" customWidth="1"/>
    <col min="267" max="512" width="11.42578125" style="288"/>
    <col min="513" max="513" width="7.5703125" style="288" customWidth="1"/>
    <col min="514" max="514" width="18.7109375" style="288" customWidth="1"/>
    <col min="515" max="515" width="18.28515625" style="288" customWidth="1"/>
    <col min="516" max="516" width="17.28515625" style="288" customWidth="1"/>
    <col min="517" max="517" width="22.85546875" style="288" customWidth="1"/>
    <col min="518" max="518" width="26.42578125" style="288" customWidth="1"/>
    <col min="519" max="519" width="22.5703125" style="288" customWidth="1"/>
    <col min="520" max="520" width="12.28515625" style="288" customWidth="1"/>
    <col min="521" max="521" width="11.42578125" style="288"/>
    <col min="522" max="522" width="19" style="288" customWidth="1"/>
    <col min="523" max="768" width="11.42578125" style="288"/>
    <col min="769" max="769" width="7.5703125" style="288" customWidth="1"/>
    <col min="770" max="770" width="18.7109375" style="288" customWidth="1"/>
    <col min="771" max="771" width="18.28515625" style="288" customWidth="1"/>
    <col min="772" max="772" width="17.28515625" style="288" customWidth="1"/>
    <col min="773" max="773" width="22.85546875" style="288" customWidth="1"/>
    <col min="774" max="774" width="26.42578125" style="288" customWidth="1"/>
    <col min="775" max="775" width="22.5703125" style="288" customWidth="1"/>
    <col min="776" max="776" width="12.28515625" style="288" customWidth="1"/>
    <col min="777" max="777" width="11.42578125" style="288"/>
    <col min="778" max="778" width="19" style="288" customWidth="1"/>
    <col min="779" max="1024" width="11.42578125" style="288"/>
    <col min="1025" max="1025" width="7.5703125" style="288" customWidth="1"/>
    <col min="1026" max="1026" width="18.7109375" style="288" customWidth="1"/>
    <col min="1027" max="1027" width="18.28515625" style="288" customWidth="1"/>
    <col min="1028" max="1028" width="17.28515625" style="288" customWidth="1"/>
    <col min="1029" max="1029" width="22.85546875" style="288" customWidth="1"/>
    <col min="1030" max="1030" width="26.42578125" style="288" customWidth="1"/>
    <col min="1031" max="1031" width="22.5703125" style="288" customWidth="1"/>
    <col min="1032" max="1032" width="12.28515625" style="288" customWidth="1"/>
    <col min="1033" max="1033" width="11.42578125" style="288"/>
    <col min="1034" max="1034" width="19" style="288" customWidth="1"/>
    <col min="1035" max="1280" width="11.42578125" style="288"/>
    <col min="1281" max="1281" width="7.5703125" style="288" customWidth="1"/>
    <col min="1282" max="1282" width="18.7109375" style="288" customWidth="1"/>
    <col min="1283" max="1283" width="18.28515625" style="288" customWidth="1"/>
    <col min="1284" max="1284" width="17.28515625" style="288" customWidth="1"/>
    <col min="1285" max="1285" width="22.85546875" style="288" customWidth="1"/>
    <col min="1286" max="1286" width="26.42578125" style="288" customWidth="1"/>
    <col min="1287" max="1287" width="22.5703125" style="288" customWidth="1"/>
    <col min="1288" max="1288" width="12.28515625" style="288" customWidth="1"/>
    <col min="1289" max="1289" width="11.42578125" style="288"/>
    <col min="1290" max="1290" width="19" style="288" customWidth="1"/>
    <col min="1291" max="1536" width="11.42578125" style="288"/>
    <col min="1537" max="1537" width="7.5703125" style="288" customWidth="1"/>
    <col min="1538" max="1538" width="18.7109375" style="288" customWidth="1"/>
    <col min="1539" max="1539" width="18.28515625" style="288" customWidth="1"/>
    <col min="1540" max="1540" width="17.28515625" style="288" customWidth="1"/>
    <col min="1541" max="1541" width="22.85546875" style="288" customWidth="1"/>
    <col min="1542" max="1542" width="26.42578125" style="288" customWidth="1"/>
    <col min="1543" max="1543" width="22.5703125" style="288" customWidth="1"/>
    <col min="1544" max="1544" width="12.28515625" style="288" customWidth="1"/>
    <col min="1545" max="1545" width="11.42578125" style="288"/>
    <col min="1546" max="1546" width="19" style="288" customWidth="1"/>
    <col min="1547" max="1792" width="11.42578125" style="288"/>
    <col min="1793" max="1793" width="7.5703125" style="288" customWidth="1"/>
    <col min="1794" max="1794" width="18.7109375" style="288" customWidth="1"/>
    <col min="1795" max="1795" width="18.28515625" style="288" customWidth="1"/>
    <col min="1796" max="1796" width="17.28515625" style="288" customWidth="1"/>
    <col min="1797" max="1797" width="22.85546875" style="288" customWidth="1"/>
    <col min="1798" max="1798" width="26.42578125" style="288" customWidth="1"/>
    <col min="1799" max="1799" width="22.5703125" style="288" customWidth="1"/>
    <col min="1800" max="1800" width="12.28515625" style="288" customWidth="1"/>
    <col min="1801" max="1801" width="11.42578125" style="288"/>
    <col min="1802" max="1802" width="19" style="288" customWidth="1"/>
    <col min="1803" max="2048" width="11.42578125" style="288"/>
    <col min="2049" max="2049" width="7.5703125" style="288" customWidth="1"/>
    <col min="2050" max="2050" width="18.7109375" style="288" customWidth="1"/>
    <col min="2051" max="2051" width="18.28515625" style="288" customWidth="1"/>
    <col min="2052" max="2052" width="17.28515625" style="288" customWidth="1"/>
    <col min="2053" max="2053" width="22.85546875" style="288" customWidth="1"/>
    <col min="2054" max="2054" width="26.42578125" style="288" customWidth="1"/>
    <col min="2055" max="2055" width="22.5703125" style="288" customWidth="1"/>
    <col min="2056" max="2056" width="12.28515625" style="288" customWidth="1"/>
    <col min="2057" max="2057" width="11.42578125" style="288"/>
    <col min="2058" max="2058" width="19" style="288" customWidth="1"/>
    <col min="2059" max="2304" width="11.42578125" style="288"/>
    <col min="2305" max="2305" width="7.5703125" style="288" customWidth="1"/>
    <col min="2306" max="2306" width="18.7109375" style="288" customWidth="1"/>
    <col min="2307" max="2307" width="18.28515625" style="288" customWidth="1"/>
    <col min="2308" max="2308" width="17.28515625" style="288" customWidth="1"/>
    <col min="2309" max="2309" width="22.85546875" style="288" customWidth="1"/>
    <col min="2310" max="2310" width="26.42578125" style="288" customWidth="1"/>
    <col min="2311" max="2311" width="22.5703125" style="288" customWidth="1"/>
    <col min="2312" max="2312" width="12.28515625" style="288" customWidth="1"/>
    <col min="2313" max="2313" width="11.42578125" style="288"/>
    <col min="2314" max="2314" width="19" style="288" customWidth="1"/>
    <col min="2315" max="2560" width="11.42578125" style="288"/>
    <col min="2561" max="2561" width="7.5703125" style="288" customWidth="1"/>
    <col min="2562" max="2562" width="18.7109375" style="288" customWidth="1"/>
    <col min="2563" max="2563" width="18.28515625" style="288" customWidth="1"/>
    <col min="2564" max="2564" width="17.28515625" style="288" customWidth="1"/>
    <col min="2565" max="2565" width="22.85546875" style="288" customWidth="1"/>
    <col min="2566" max="2566" width="26.42578125" style="288" customWidth="1"/>
    <col min="2567" max="2567" width="22.5703125" style="288" customWidth="1"/>
    <col min="2568" max="2568" width="12.28515625" style="288" customWidth="1"/>
    <col min="2569" max="2569" width="11.42578125" style="288"/>
    <col min="2570" max="2570" width="19" style="288" customWidth="1"/>
    <col min="2571" max="2816" width="11.42578125" style="288"/>
    <col min="2817" max="2817" width="7.5703125" style="288" customWidth="1"/>
    <col min="2818" max="2818" width="18.7109375" style="288" customWidth="1"/>
    <col min="2819" max="2819" width="18.28515625" style="288" customWidth="1"/>
    <col min="2820" max="2820" width="17.28515625" style="288" customWidth="1"/>
    <col min="2821" max="2821" width="22.85546875" style="288" customWidth="1"/>
    <col min="2822" max="2822" width="26.42578125" style="288" customWidth="1"/>
    <col min="2823" max="2823" width="22.5703125" style="288" customWidth="1"/>
    <col min="2824" max="2824" width="12.28515625" style="288" customWidth="1"/>
    <col min="2825" max="2825" width="11.42578125" style="288"/>
    <col min="2826" max="2826" width="19" style="288" customWidth="1"/>
    <col min="2827" max="3072" width="11.42578125" style="288"/>
    <col min="3073" max="3073" width="7.5703125" style="288" customWidth="1"/>
    <col min="3074" max="3074" width="18.7109375" style="288" customWidth="1"/>
    <col min="3075" max="3075" width="18.28515625" style="288" customWidth="1"/>
    <col min="3076" max="3076" width="17.28515625" style="288" customWidth="1"/>
    <col min="3077" max="3077" width="22.85546875" style="288" customWidth="1"/>
    <col min="3078" max="3078" width="26.42578125" style="288" customWidth="1"/>
    <col min="3079" max="3079" width="22.5703125" style="288" customWidth="1"/>
    <col min="3080" max="3080" width="12.28515625" style="288" customWidth="1"/>
    <col min="3081" max="3081" width="11.42578125" style="288"/>
    <col min="3082" max="3082" width="19" style="288" customWidth="1"/>
    <col min="3083" max="3328" width="11.42578125" style="288"/>
    <col min="3329" max="3329" width="7.5703125" style="288" customWidth="1"/>
    <col min="3330" max="3330" width="18.7109375" style="288" customWidth="1"/>
    <col min="3331" max="3331" width="18.28515625" style="288" customWidth="1"/>
    <col min="3332" max="3332" width="17.28515625" style="288" customWidth="1"/>
    <col min="3333" max="3333" width="22.85546875" style="288" customWidth="1"/>
    <col min="3334" max="3334" width="26.42578125" style="288" customWidth="1"/>
    <col min="3335" max="3335" width="22.5703125" style="288" customWidth="1"/>
    <col min="3336" max="3336" width="12.28515625" style="288" customWidth="1"/>
    <col min="3337" max="3337" width="11.42578125" style="288"/>
    <col min="3338" max="3338" width="19" style="288" customWidth="1"/>
    <col min="3339" max="3584" width="11.42578125" style="288"/>
    <col min="3585" max="3585" width="7.5703125" style="288" customWidth="1"/>
    <col min="3586" max="3586" width="18.7109375" style="288" customWidth="1"/>
    <col min="3587" max="3587" width="18.28515625" style="288" customWidth="1"/>
    <col min="3588" max="3588" width="17.28515625" style="288" customWidth="1"/>
    <col min="3589" max="3589" width="22.85546875" style="288" customWidth="1"/>
    <col min="3590" max="3590" width="26.42578125" style="288" customWidth="1"/>
    <col min="3591" max="3591" width="22.5703125" style="288" customWidth="1"/>
    <col min="3592" max="3592" width="12.28515625" style="288" customWidth="1"/>
    <col min="3593" max="3593" width="11.42578125" style="288"/>
    <col min="3594" max="3594" width="19" style="288" customWidth="1"/>
    <col min="3595" max="3840" width="11.42578125" style="288"/>
    <col min="3841" max="3841" width="7.5703125" style="288" customWidth="1"/>
    <col min="3842" max="3842" width="18.7109375" style="288" customWidth="1"/>
    <col min="3843" max="3843" width="18.28515625" style="288" customWidth="1"/>
    <col min="3844" max="3844" width="17.28515625" style="288" customWidth="1"/>
    <col min="3845" max="3845" width="22.85546875" style="288" customWidth="1"/>
    <col min="3846" max="3846" width="26.42578125" style="288" customWidth="1"/>
    <col min="3847" max="3847" width="22.5703125" style="288" customWidth="1"/>
    <col min="3848" max="3848" width="12.28515625" style="288" customWidth="1"/>
    <col min="3849" max="3849" width="11.42578125" style="288"/>
    <col min="3850" max="3850" width="19" style="288" customWidth="1"/>
    <col min="3851" max="4096" width="11.42578125" style="288"/>
    <col min="4097" max="4097" width="7.5703125" style="288" customWidth="1"/>
    <col min="4098" max="4098" width="18.7109375" style="288" customWidth="1"/>
    <col min="4099" max="4099" width="18.28515625" style="288" customWidth="1"/>
    <col min="4100" max="4100" width="17.28515625" style="288" customWidth="1"/>
    <col min="4101" max="4101" width="22.85546875" style="288" customWidth="1"/>
    <col min="4102" max="4102" width="26.42578125" style="288" customWidth="1"/>
    <col min="4103" max="4103" width="22.5703125" style="288" customWidth="1"/>
    <col min="4104" max="4104" width="12.28515625" style="288" customWidth="1"/>
    <col min="4105" max="4105" width="11.42578125" style="288"/>
    <col min="4106" max="4106" width="19" style="288" customWidth="1"/>
    <col min="4107" max="4352" width="11.42578125" style="288"/>
    <col min="4353" max="4353" width="7.5703125" style="288" customWidth="1"/>
    <col min="4354" max="4354" width="18.7109375" style="288" customWidth="1"/>
    <col min="4355" max="4355" width="18.28515625" style="288" customWidth="1"/>
    <col min="4356" max="4356" width="17.28515625" style="288" customWidth="1"/>
    <col min="4357" max="4357" width="22.85546875" style="288" customWidth="1"/>
    <col min="4358" max="4358" width="26.42578125" style="288" customWidth="1"/>
    <col min="4359" max="4359" width="22.5703125" style="288" customWidth="1"/>
    <col min="4360" max="4360" width="12.28515625" style="288" customWidth="1"/>
    <col min="4361" max="4361" width="11.42578125" style="288"/>
    <col min="4362" max="4362" width="19" style="288" customWidth="1"/>
    <col min="4363" max="4608" width="11.42578125" style="288"/>
    <col min="4609" max="4609" width="7.5703125" style="288" customWidth="1"/>
    <col min="4610" max="4610" width="18.7109375" style="288" customWidth="1"/>
    <col min="4611" max="4611" width="18.28515625" style="288" customWidth="1"/>
    <col min="4612" max="4612" width="17.28515625" style="288" customWidth="1"/>
    <col min="4613" max="4613" width="22.85546875" style="288" customWidth="1"/>
    <col min="4614" max="4614" width="26.42578125" style="288" customWidth="1"/>
    <col min="4615" max="4615" width="22.5703125" style="288" customWidth="1"/>
    <col min="4616" max="4616" width="12.28515625" style="288" customWidth="1"/>
    <col min="4617" max="4617" width="11.42578125" style="288"/>
    <col min="4618" max="4618" width="19" style="288" customWidth="1"/>
    <col min="4619" max="4864" width="11.42578125" style="288"/>
    <col min="4865" max="4865" width="7.5703125" style="288" customWidth="1"/>
    <col min="4866" max="4866" width="18.7109375" style="288" customWidth="1"/>
    <col min="4867" max="4867" width="18.28515625" style="288" customWidth="1"/>
    <col min="4868" max="4868" width="17.28515625" style="288" customWidth="1"/>
    <col min="4869" max="4869" width="22.85546875" style="288" customWidth="1"/>
    <col min="4870" max="4870" width="26.42578125" style="288" customWidth="1"/>
    <col min="4871" max="4871" width="22.5703125" style="288" customWidth="1"/>
    <col min="4872" max="4872" width="12.28515625" style="288" customWidth="1"/>
    <col min="4873" max="4873" width="11.42578125" style="288"/>
    <col min="4874" max="4874" width="19" style="288" customWidth="1"/>
    <col min="4875" max="5120" width="11.42578125" style="288"/>
    <col min="5121" max="5121" width="7.5703125" style="288" customWidth="1"/>
    <col min="5122" max="5122" width="18.7109375" style="288" customWidth="1"/>
    <col min="5123" max="5123" width="18.28515625" style="288" customWidth="1"/>
    <col min="5124" max="5124" width="17.28515625" style="288" customWidth="1"/>
    <col min="5125" max="5125" width="22.85546875" style="288" customWidth="1"/>
    <col min="5126" max="5126" width="26.42578125" style="288" customWidth="1"/>
    <col min="5127" max="5127" width="22.5703125" style="288" customWidth="1"/>
    <col min="5128" max="5128" width="12.28515625" style="288" customWidth="1"/>
    <col min="5129" max="5129" width="11.42578125" style="288"/>
    <col min="5130" max="5130" width="19" style="288" customWidth="1"/>
    <col min="5131" max="5376" width="11.42578125" style="288"/>
    <col min="5377" max="5377" width="7.5703125" style="288" customWidth="1"/>
    <col min="5378" max="5378" width="18.7109375" style="288" customWidth="1"/>
    <col min="5379" max="5379" width="18.28515625" style="288" customWidth="1"/>
    <col min="5380" max="5380" width="17.28515625" style="288" customWidth="1"/>
    <col min="5381" max="5381" width="22.85546875" style="288" customWidth="1"/>
    <col min="5382" max="5382" width="26.42578125" style="288" customWidth="1"/>
    <col min="5383" max="5383" width="22.5703125" style="288" customWidth="1"/>
    <col min="5384" max="5384" width="12.28515625" style="288" customWidth="1"/>
    <col min="5385" max="5385" width="11.42578125" style="288"/>
    <col min="5386" max="5386" width="19" style="288" customWidth="1"/>
    <col min="5387" max="5632" width="11.42578125" style="288"/>
    <col min="5633" max="5633" width="7.5703125" style="288" customWidth="1"/>
    <col min="5634" max="5634" width="18.7109375" style="288" customWidth="1"/>
    <col min="5635" max="5635" width="18.28515625" style="288" customWidth="1"/>
    <col min="5636" max="5636" width="17.28515625" style="288" customWidth="1"/>
    <col min="5637" max="5637" width="22.85546875" style="288" customWidth="1"/>
    <col min="5638" max="5638" width="26.42578125" style="288" customWidth="1"/>
    <col min="5639" max="5639" width="22.5703125" style="288" customWidth="1"/>
    <col min="5640" max="5640" width="12.28515625" style="288" customWidth="1"/>
    <col min="5641" max="5641" width="11.42578125" style="288"/>
    <col min="5642" max="5642" width="19" style="288" customWidth="1"/>
    <col min="5643" max="5888" width="11.42578125" style="288"/>
    <col min="5889" max="5889" width="7.5703125" style="288" customWidth="1"/>
    <col min="5890" max="5890" width="18.7109375" style="288" customWidth="1"/>
    <col min="5891" max="5891" width="18.28515625" style="288" customWidth="1"/>
    <col min="5892" max="5892" width="17.28515625" style="288" customWidth="1"/>
    <col min="5893" max="5893" width="22.85546875" style="288" customWidth="1"/>
    <col min="5894" max="5894" width="26.42578125" style="288" customWidth="1"/>
    <col min="5895" max="5895" width="22.5703125" style="288" customWidth="1"/>
    <col min="5896" max="5896" width="12.28515625" style="288" customWidth="1"/>
    <col min="5897" max="5897" width="11.42578125" style="288"/>
    <col min="5898" max="5898" width="19" style="288" customWidth="1"/>
    <col min="5899" max="6144" width="11.42578125" style="288"/>
    <col min="6145" max="6145" width="7.5703125" style="288" customWidth="1"/>
    <col min="6146" max="6146" width="18.7109375" style="288" customWidth="1"/>
    <col min="6147" max="6147" width="18.28515625" style="288" customWidth="1"/>
    <col min="6148" max="6148" width="17.28515625" style="288" customWidth="1"/>
    <col min="6149" max="6149" width="22.85546875" style="288" customWidth="1"/>
    <col min="6150" max="6150" width="26.42578125" style="288" customWidth="1"/>
    <col min="6151" max="6151" width="22.5703125" style="288" customWidth="1"/>
    <col min="6152" max="6152" width="12.28515625" style="288" customWidth="1"/>
    <col min="6153" max="6153" width="11.42578125" style="288"/>
    <col min="6154" max="6154" width="19" style="288" customWidth="1"/>
    <col min="6155" max="6400" width="11.42578125" style="288"/>
    <col min="6401" max="6401" width="7.5703125" style="288" customWidth="1"/>
    <col min="6402" max="6402" width="18.7109375" style="288" customWidth="1"/>
    <col min="6403" max="6403" width="18.28515625" style="288" customWidth="1"/>
    <col min="6404" max="6404" width="17.28515625" style="288" customWidth="1"/>
    <col min="6405" max="6405" width="22.85546875" style="288" customWidth="1"/>
    <col min="6406" max="6406" width="26.42578125" style="288" customWidth="1"/>
    <col min="6407" max="6407" width="22.5703125" style="288" customWidth="1"/>
    <col min="6408" max="6408" width="12.28515625" style="288" customWidth="1"/>
    <col min="6409" max="6409" width="11.42578125" style="288"/>
    <col min="6410" max="6410" width="19" style="288" customWidth="1"/>
    <col min="6411" max="6656" width="11.42578125" style="288"/>
    <col min="6657" max="6657" width="7.5703125" style="288" customWidth="1"/>
    <col min="6658" max="6658" width="18.7109375" style="288" customWidth="1"/>
    <col min="6659" max="6659" width="18.28515625" style="288" customWidth="1"/>
    <col min="6660" max="6660" width="17.28515625" style="288" customWidth="1"/>
    <col min="6661" max="6661" width="22.85546875" style="288" customWidth="1"/>
    <col min="6662" max="6662" width="26.42578125" style="288" customWidth="1"/>
    <col min="6663" max="6663" width="22.5703125" style="288" customWidth="1"/>
    <col min="6664" max="6664" width="12.28515625" style="288" customWidth="1"/>
    <col min="6665" max="6665" width="11.42578125" style="288"/>
    <col min="6666" max="6666" width="19" style="288" customWidth="1"/>
    <col min="6667" max="6912" width="11.42578125" style="288"/>
    <col min="6913" max="6913" width="7.5703125" style="288" customWidth="1"/>
    <col min="6914" max="6914" width="18.7109375" style="288" customWidth="1"/>
    <col min="6915" max="6915" width="18.28515625" style="288" customWidth="1"/>
    <col min="6916" max="6916" width="17.28515625" style="288" customWidth="1"/>
    <col min="6917" max="6917" width="22.85546875" style="288" customWidth="1"/>
    <col min="6918" max="6918" width="26.42578125" style="288" customWidth="1"/>
    <col min="6919" max="6919" width="22.5703125" style="288" customWidth="1"/>
    <col min="6920" max="6920" width="12.28515625" style="288" customWidth="1"/>
    <col min="6921" max="6921" width="11.42578125" style="288"/>
    <col min="6922" max="6922" width="19" style="288" customWidth="1"/>
    <col min="6923" max="7168" width="11.42578125" style="288"/>
    <col min="7169" max="7169" width="7.5703125" style="288" customWidth="1"/>
    <col min="7170" max="7170" width="18.7109375" style="288" customWidth="1"/>
    <col min="7171" max="7171" width="18.28515625" style="288" customWidth="1"/>
    <col min="7172" max="7172" width="17.28515625" style="288" customWidth="1"/>
    <col min="7173" max="7173" width="22.85546875" style="288" customWidth="1"/>
    <col min="7174" max="7174" width="26.42578125" style="288" customWidth="1"/>
    <col min="7175" max="7175" width="22.5703125" style="288" customWidth="1"/>
    <col min="7176" max="7176" width="12.28515625" style="288" customWidth="1"/>
    <col min="7177" max="7177" width="11.42578125" style="288"/>
    <col min="7178" max="7178" width="19" style="288" customWidth="1"/>
    <col min="7179" max="7424" width="11.42578125" style="288"/>
    <col min="7425" max="7425" width="7.5703125" style="288" customWidth="1"/>
    <col min="7426" max="7426" width="18.7109375" style="288" customWidth="1"/>
    <col min="7427" max="7427" width="18.28515625" style="288" customWidth="1"/>
    <col min="7428" max="7428" width="17.28515625" style="288" customWidth="1"/>
    <col min="7429" max="7429" width="22.85546875" style="288" customWidth="1"/>
    <col min="7430" max="7430" width="26.42578125" style="288" customWidth="1"/>
    <col min="7431" max="7431" width="22.5703125" style="288" customWidth="1"/>
    <col min="7432" max="7432" width="12.28515625" style="288" customWidth="1"/>
    <col min="7433" max="7433" width="11.42578125" style="288"/>
    <col min="7434" max="7434" width="19" style="288" customWidth="1"/>
    <col min="7435" max="7680" width="11.42578125" style="288"/>
    <col min="7681" max="7681" width="7.5703125" style="288" customWidth="1"/>
    <col min="7682" max="7682" width="18.7109375" style="288" customWidth="1"/>
    <col min="7683" max="7683" width="18.28515625" style="288" customWidth="1"/>
    <col min="7684" max="7684" width="17.28515625" style="288" customWidth="1"/>
    <col min="7685" max="7685" width="22.85546875" style="288" customWidth="1"/>
    <col min="7686" max="7686" width="26.42578125" style="288" customWidth="1"/>
    <col min="7687" max="7687" width="22.5703125" style="288" customWidth="1"/>
    <col min="7688" max="7688" width="12.28515625" style="288" customWidth="1"/>
    <col min="7689" max="7689" width="11.42578125" style="288"/>
    <col min="7690" max="7690" width="19" style="288" customWidth="1"/>
    <col min="7691" max="7936" width="11.42578125" style="288"/>
    <col min="7937" max="7937" width="7.5703125" style="288" customWidth="1"/>
    <col min="7938" max="7938" width="18.7109375" style="288" customWidth="1"/>
    <col min="7939" max="7939" width="18.28515625" style="288" customWidth="1"/>
    <col min="7940" max="7940" width="17.28515625" style="288" customWidth="1"/>
    <col min="7941" max="7941" width="22.85546875" style="288" customWidth="1"/>
    <col min="7942" max="7942" width="26.42578125" style="288" customWidth="1"/>
    <col min="7943" max="7943" width="22.5703125" style="288" customWidth="1"/>
    <col min="7944" max="7944" width="12.28515625" style="288" customWidth="1"/>
    <col min="7945" max="7945" width="11.42578125" style="288"/>
    <col min="7946" max="7946" width="19" style="288" customWidth="1"/>
    <col min="7947" max="8192" width="11.42578125" style="288"/>
    <col min="8193" max="8193" width="7.5703125" style="288" customWidth="1"/>
    <col min="8194" max="8194" width="18.7109375" style="288" customWidth="1"/>
    <col min="8195" max="8195" width="18.28515625" style="288" customWidth="1"/>
    <col min="8196" max="8196" width="17.28515625" style="288" customWidth="1"/>
    <col min="8197" max="8197" width="22.85546875" style="288" customWidth="1"/>
    <col min="8198" max="8198" width="26.42578125" style="288" customWidth="1"/>
    <col min="8199" max="8199" width="22.5703125" style="288" customWidth="1"/>
    <col min="8200" max="8200" width="12.28515625" style="288" customWidth="1"/>
    <col min="8201" max="8201" width="11.42578125" style="288"/>
    <col min="8202" max="8202" width="19" style="288" customWidth="1"/>
    <col min="8203" max="8448" width="11.42578125" style="288"/>
    <col min="8449" max="8449" width="7.5703125" style="288" customWidth="1"/>
    <col min="8450" max="8450" width="18.7109375" style="288" customWidth="1"/>
    <col min="8451" max="8451" width="18.28515625" style="288" customWidth="1"/>
    <col min="8452" max="8452" width="17.28515625" style="288" customWidth="1"/>
    <col min="8453" max="8453" width="22.85546875" style="288" customWidth="1"/>
    <col min="8454" max="8454" width="26.42578125" style="288" customWidth="1"/>
    <col min="8455" max="8455" width="22.5703125" style="288" customWidth="1"/>
    <col min="8456" max="8456" width="12.28515625" style="288" customWidth="1"/>
    <col min="8457" max="8457" width="11.42578125" style="288"/>
    <col min="8458" max="8458" width="19" style="288" customWidth="1"/>
    <col min="8459" max="8704" width="11.42578125" style="288"/>
    <col min="8705" max="8705" width="7.5703125" style="288" customWidth="1"/>
    <col min="8706" max="8706" width="18.7109375" style="288" customWidth="1"/>
    <col min="8707" max="8707" width="18.28515625" style="288" customWidth="1"/>
    <col min="8708" max="8708" width="17.28515625" style="288" customWidth="1"/>
    <col min="8709" max="8709" width="22.85546875" style="288" customWidth="1"/>
    <col min="8710" max="8710" width="26.42578125" style="288" customWidth="1"/>
    <col min="8711" max="8711" width="22.5703125" style="288" customWidth="1"/>
    <col min="8712" max="8712" width="12.28515625" style="288" customWidth="1"/>
    <col min="8713" max="8713" width="11.42578125" style="288"/>
    <col min="8714" max="8714" width="19" style="288" customWidth="1"/>
    <col min="8715" max="8960" width="11.42578125" style="288"/>
    <col min="8961" max="8961" width="7.5703125" style="288" customWidth="1"/>
    <col min="8962" max="8962" width="18.7109375" style="288" customWidth="1"/>
    <col min="8963" max="8963" width="18.28515625" style="288" customWidth="1"/>
    <col min="8964" max="8964" width="17.28515625" style="288" customWidth="1"/>
    <col min="8965" max="8965" width="22.85546875" style="288" customWidth="1"/>
    <col min="8966" max="8966" width="26.42578125" style="288" customWidth="1"/>
    <col min="8967" max="8967" width="22.5703125" style="288" customWidth="1"/>
    <col min="8968" max="8968" width="12.28515625" style="288" customWidth="1"/>
    <col min="8969" max="8969" width="11.42578125" style="288"/>
    <col min="8970" max="8970" width="19" style="288" customWidth="1"/>
    <col min="8971" max="9216" width="11.42578125" style="288"/>
    <col min="9217" max="9217" width="7.5703125" style="288" customWidth="1"/>
    <col min="9218" max="9218" width="18.7109375" style="288" customWidth="1"/>
    <col min="9219" max="9219" width="18.28515625" style="288" customWidth="1"/>
    <col min="9220" max="9220" width="17.28515625" style="288" customWidth="1"/>
    <col min="9221" max="9221" width="22.85546875" style="288" customWidth="1"/>
    <col min="9222" max="9222" width="26.42578125" style="288" customWidth="1"/>
    <col min="9223" max="9223" width="22.5703125" style="288" customWidth="1"/>
    <col min="9224" max="9224" width="12.28515625" style="288" customWidth="1"/>
    <col min="9225" max="9225" width="11.42578125" style="288"/>
    <col min="9226" max="9226" width="19" style="288" customWidth="1"/>
    <col min="9227" max="9472" width="11.42578125" style="288"/>
    <col min="9473" max="9473" width="7.5703125" style="288" customWidth="1"/>
    <col min="9474" max="9474" width="18.7109375" style="288" customWidth="1"/>
    <col min="9475" max="9475" width="18.28515625" style="288" customWidth="1"/>
    <col min="9476" max="9476" width="17.28515625" style="288" customWidth="1"/>
    <col min="9477" max="9477" width="22.85546875" style="288" customWidth="1"/>
    <col min="9478" max="9478" width="26.42578125" style="288" customWidth="1"/>
    <col min="9479" max="9479" width="22.5703125" style="288" customWidth="1"/>
    <col min="9480" max="9480" width="12.28515625" style="288" customWidth="1"/>
    <col min="9481" max="9481" width="11.42578125" style="288"/>
    <col min="9482" max="9482" width="19" style="288" customWidth="1"/>
    <col min="9483" max="9728" width="11.42578125" style="288"/>
    <col min="9729" max="9729" width="7.5703125" style="288" customWidth="1"/>
    <col min="9730" max="9730" width="18.7109375" style="288" customWidth="1"/>
    <col min="9731" max="9731" width="18.28515625" style="288" customWidth="1"/>
    <col min="9732" max="9732" width="17.28515625" style="288" customWidth="1"/>
    <col min="9733" max="9733" width="22.85546875" style="288" customWidth="1"/>
    <col min="9734" max="9734" width="26.42578125" style="288" customWidth="1"/>
    <col min="9735" max="9735" width="22.5703125" style="288" customWidth="1"/>
    <col min="9736" max="9736" width="12.28515625" style="288" customWidth="1"/>
    <col min="9737" max="9737" width="11.42578125" style="288"/>
    <col min="9738" max="9738" width="19" style="288" customWidth="1"/>
    <col min="9739" max="9984" width="11.42578125" style="288"/>
    <col min="9985" max="9985" width="7.5703125" style="288" customWidth="1"/>
    <col min="9986" max="9986" width="18.7109375" style="288" customWidth="1"/>
    <col min="9987" max="9987" width="18.28515625" style="288" customWidth="1"/>
    <col min="9988" max="9988" width="17.28515625" style="288" customWidth="1"/>
    <col min="9989" max="9989" width="22.85546875" style="288" customWidth="1"/>
    <col min="9990" max="9990" width="26.42578125" style="288" customWidth="1"/>
    <col min="9991" max="9991" width="22.5703125" style="288" customWidth="1"/>
    <col min="9992" max="9992" width="12.28515625" style="288" customWidth="1"/>
    <col min="9993" max="9993" width="11.42578125" style="288"/>
    <col min="9994" max="9994" width="19" style="288" customWidth="1"/>
    <col min="9995" max="10240" width="11.42578125" style="288"/>
    <col min="10241" max="10241" width="7.5703125" style="288" customWidth="1"/>
    <col min="10242" max="10242" width="18.7109375" style="288" customWidth="1"/>
    <col min="10243" max="10243" width="18.28515625" style="288" customWidth="1"/>
    <col min="10244" max="10244" width="17.28515625" style="288" customWidth="1"/>
    <col min="10245" max="10245" width="22.85546875" style="288" customWidth="1"/>
    <col min="10246" max="10246" width="26.42578125" style="288" customWidth="1"/>
    <col min="10247" max="10247" width="22.5703125" style="288" customWidth="1"/>
    <col min="10248" max="10248" width="12.28515625" style="288" customWidth="1"/>
    <col min="10249" max="10249" width="11.42578125" style="288"/>
    <col min="10250" max="10250" width="19" style="288" customWidth="1"/>
    <col min="10251" max="10496" width="11.42578125" style="288"/>
    <col min="10497" max="10497" width="7.5703125" style="288" customWidth="1"/>
    <col min="10498" max="10498" width="18.7109375" style="288" customWidth="1"/>
    <col min="10499" max="10499" width="18.28515625" style="288" customWidth="1"/>
    <col min="10500" max="10500" width="17.28515625" style="288" customWidth="1"/>
    <col min="10501" max="10501" width="22.85546875" style="288" customWidth="1"/>
    <col min="10502" max="10502" width="26.42578125" style="288" customWidth="1"/>
    <col min="10503" max="10503" width="22.5703125" style="288" customWidth="1"/>
    <col min="10504" max="10504" width="12.28515625" style="288" customWidth="1"/>
    <col min="10505" max="10505" width="11.42578125" style="288"/>
    <col min="10506" max="10506" width="19" style="288" customWidth="1"/>
    <col min="10507" max="10752" width="11.42578125" style="288"/>
    <col min="10753" max="10753" width="7.5703125" style="288" customWidth="1"/>
    <col min="10754" max="10754" width="18.7109375" style="288" customWidth="1"/>
    <col min="10755" max="10755" width="18.28515625" style="288" customWidth="1"/>
    <col min="10756" max="10756" width="17.28515625" style="288" customWidth="1"/>
    <col min="10757" max="10757" width="22.85546875" style="288" customWidth="1"/>
    <col min="10758" max="10758" width="26.42578125" style="288" customWidth="1"/>
    <col min="10759" max="10759" width="22.5703125" style="288" customWidth="1"/>
    <col min="10760" max="10760" width="12.28515625" style="288" customWidth="1"/>
    <col min="10761" max="10761" width="11.42578125" style="288"/>
    <col min="10762" max="10762" width="19" style="288" customWidth="1"/>
    <col min="10763" max="11008" width="11.42578125" style="288"/>
    <col min="11009" max="11009" width="7.5703125" style="288" customWidth="1"/>
    <col min="11010" max="11010" width="18.7109375" style="288" customWidth="1"/>
    <col min="11011" max="11011" width="18.28515625" style="288" customWidth="1"/>
    <col min="11012" max="11012" width="17.28515625" style="288" customWidth="1"/>
    <col min="11013" max="11013" width="22.85546875" style="288" customWidth="1"/>
    <col min="11014" max="11014" width="26.42578125" style="288" customWidth="1"/>
    <col min="11015" max="11015" width="22.5703125" style="288" customWidth="1"/>
    <col min="11016" max="11016" width="12.28515625" style="288" customWidth="1"/>
    <col min="11017" max="11017" width="11.42578125" style="288"/>
    <col min="11018" max="11018" width="19" style="288" customWidth="1"/>
    <col min="11019" max="11264" width="11.42578125" style="288"/>
    <col min="11265" max="11265" width="7.5703125" style="288" customWidth="1"/>
    <col min="11266" max="11266" width="18.7109375" style="288" customWidth="1"/>
    <col min="11267" max="11267" width="18.28515625" style="288" customWidth="1"/>
    <col min="11268" max="11268" width="17.28515625" style="288" customWidth="1"/>
    <col min="11269" max="11269" width="22.85546875" style="288" customWidth="1"/>
    <col min="11270" max="11270" width="26.42578125" style="288" customWidth="1"/>
    <col min="11271" max="11271" width="22.5703125" style="288" customWidth="1"/>
    <col min="11272" max="11272" width="12.28515625" style="288" customWidth="1"/>
    <col min="11273" max="11273" width="11.42578125" style="288"/>
    <col min="11274" max="11274" width="19" style="288" customWidth="1"/>
    <col min="11275" max="11520" width="11.42578125" style="288"/>
    <col min="11521" max="11521" width="7.5703125" style="288" customWidth="1"/>
    <col min="11522" max="11522" width="18.7109375" style="288" customWidth="1"/>
    <col min="11523" max="11523" width="18.28515625" style="288" customWidth="1"/>
    <col min="11524" max="11524" width="17.28515625" style="288" customWidth="1"/>
    <col min="11525" max="11525" width="22.85546875" style="288" customWidth="1"/>
    <col min="11526" max="11526" width="26.42578125" style="288" customWidth="1"/>
    <col min="11527" max="11527" width="22.5703125" style="288" customWidth="1"/>
    <col min="11528" max="11528" width="12.28515625" style="288" customWidth="1"/>
    <col min="11529" max="11529" width="11.42578125" style="288"/>
    <col min="11530" max="11530" width="19" style="288" customWidth="1"/>
    <col min="11531" max="11776" width="11.42578125" style="288"/>
    <col min="11777" max="11777" width="7.5703125" style="288" customWidth="1"/>
    <col min="11778" max="11778" width="18.7109375" style="288" customWidth="1"/>
    <col min="11779" max="11779" width="18.28515625" style="288" customWidth="1"/>
    <col min="11780" max="11780" width="17.28515625" style="288" customWidth="1"/>
    <col min="11781" max="11781" width="22.85546875" style="288" customWidth="1"/>
    <col min="11782" max="11782" width="26.42578125" style="288" customWidth="1"/>
    <col min="11783" max="11783" width="22.5703125" style="288" customWidth="1"/>
    <col min="11784" max="11784" width="12.28515625" style="288" customWidth="1"/>
    <col min="11785" max="11785" width="11.42578125" style="288"/>
    <col min="11786" max="11786" width="19" style="288" customWidth="1"/>
    <col min="11787" max="12032" width="11.42578125" style="288"/>
    <col min="12033" max="12033" width="7.5703125" style="288" customWidth="1"/>
    <col min="12034" max="12034" width="18.7109375" style="288" customWidth="1"/>
    <col min="12035" max="12035" width="18.28515625" style="288" customWidth="1"/>
    <col min="12036" max="12036" width="17.28515625" style="288" customWidth="1"/>
    <col min="12037" max="12037" width="22.85546875" style="288" customWidth="1"/>
    <col min="12038" max="12038" width="26.42578125" style="288" customWidth="1"/>
    <col min="12039" max="12039" width="22.5703125" style="288" customWidth="1"/>
    <col min="12040" max="12040" width="12.28515625" style="288" customWidth="1"/>
    <col min="12041" max="12041" width="11.42578125" style="288"/>
    <col min="12042" max="12042" width="19" style="288" customWidth="1"/>
    <col min="12043" max="12288" width="11.42578125" style="288"/>
    <col min="12289" max="12289" width="7.5703125" style="288" customWidth="1"/>
    <col min="12290" max="12290" width="18.7109375" style="288" customWidth="1"/>
    <col min="12291" max="12291" width="18.28515625" style="288" customWidth="1"/>
    <col min="12292" max="12292" width="17.28515625" style="288" customWidth="1"/>
    <col min="12293" max="12293" width="22.85546875" style="288" customWidth="1"/>
    <col min="12294" max="12294" width="26.42578125" style="288" customWidth="1"/>
    <col min="12295" max="12295" width="22.5703125" style="288" customWidth="1"/>
    <col min="12296" max="12296" width="12.28515625" style="288" customWidth="1"/>
    <col min="12297" max="12297" width="11.42578125" style="288"/>
    <col min="12298" max="12298" width="19" style="288" customWidth="1"/>
    <col min="12299" max="12544" width="11.42578125" style="288"/>
    <col min="12545" max="12545" width="7.5703125" style="288" customWidth="1"/>
    <col min="12546" max="12546" width="18.7109375" style="288" customWidth="1"/>
    <col min="12547" max="12547" width="18.28515625" style="288" customWidth="1"/>
    <col min="12548" max="12548" width="17.28515625" style="288" customWidth="1"/>
    <col min="12549" max="12549" width="22.85546875" style="288" customWidth="1"/>
    <col min="12550" max="12550" width="26.42578125" style="288" customWidth="1"/>
    <col min="12551" max="12551" width="22.5703125" style="288" customWidth="1"/>
    <col min="12552" max="12552" width="12.28515625" style="288" customWidth="1"/>
    <col min="12553" max="12553" width="11.42578125" style="288"/>
    <col min="12554" max="12554" width="19" style="288" customWidth="1"/>
    <col min="12555" max="12800" width="11.42578125" style="288"/>
    <col min="12801" max="12801" width="7.5703125" style="288" customWidth="1"/>
    <col min="12802" max="12802" width="18.7109375" style="288" customWidth="1"/>
    <col min="12803" max="12803" width="18.28515625" style="288" customWidth="1"/>
    <col min="12804" max="12804" width="17.28515625" style="288" customWidth="1"/>
    <col min="12805" max="12805" width="22.85546875" style="288" customWidth="1"/>
    <col min="12806" max="12806" width="26.42578125" style="288" customWidth="1"/>
    <col min="12807" max="12807" width="22.5703125" style="288" customWidth="1"/>
    <col min="12808" max="12808" width="12.28515625" style="288" customWidth="1"/>
    <col min="12809" max="12809" width="11.42578125" style="288"/>
    <col min="12810" max="12810" width="19" style="288" customWidth="1"/>
    <col min="12811" max="13056" width="11.42578125" style="288"/>
    <col min="13057" max="13057" width="7.5703125" style="288" customWidth="1"/>
    <col min="13058" max="13058" width="18.7109375" style="288" customWidth="1"/>
    <col min="13059" max="13059" width="18.28515625" style="288" customWidth="1"/>
    <col min="13060" max="13060" width="17.28515625" style="288" customWidth="1"/>
    <col min="13061" max="13061" width="22.85546875" style="288" customWidth="1"/>
    <col min="13062" max="13062" width="26.42578125" style="288" customWidth="1"/>
    <col min="13063" max="13063" width="22.5703125" style="288" customWidth="1"/>
    <col min="13064" max="13064" width="12.28515625" style="288" customWidth="1"/>
    <col min="13065" max="13065" width="11.42578125" style="288"/>
    <col min="13066" max="13066" width="19" style="288" customWidth="1"/>
    <col min="13067" max="13312" width="11.42578125" style="288"/>
    <col min="13313" max="13313" width="7.5703125" style="288" customWidth="1"/>
    <col min="13314" max="13314" width="18.7109375" style="288" customWidth="1"/>
    <col min="13315" max="13315" width="18.28515625" style="288" customWidth="1"/>
    <col min="13316" max="13316" width="17.28515625" style="288" customWidth="1"/>
    <col min="13317" max="13317" width="22.85546875" style="288" customWidth="1"/>
    <col min="13318" max="13318" width="26.42578125" style="288" customWidth="1"/>
    <col min="13319" max="13319" width="22.5703125" style="288" customWidth="1"/>
    <col min="13320" max="13320" width="12.28515625" style="288" customWidth="1"/>
    <col min="13321" max="13321" width="11.42578125" style="288"/>
    <col min="13322" max="13322" width="19" style="288" customWidth="1"/>
    <col min="13323" max="13568" width="11.42578125" style="288"/>
    <col min="13569" max="13569" width="7.5703125" style="288" customWidth="1"/>
    <col min="13570" max="13570" width="18.7109375" style="288" customWidth="1"/>
    <col min="13571" max="13571" width="18.28515625" style="288" customWidth="1"/>
    <col min="13572" max="13572" width="17.28515625" style="288" customWidth="1"/>
    <col min="13573" max="13573" width="22.85546875" style="288" customWidth="1"/>
    <col min="13574" max="13574" width="26.42578125" style="288" customWidth="1"/>
    <col min="13575" max="13575" width="22.5703125" style="288" customWidth="1"/>
    <col min="13576" max="13576" width="12.28515625" style="288" customWidth="1"/>
    <col min="13577" max="13577" width="11.42578125" style="288"/>
    <col min="13578" max="13578" width="19" style="288" customWidth="1"/>
    <col min="13579" max="13824" width="11.42578125" style="288"/>
    <col min="13825" max="13825" width="7.5703125" style="288" customWidth="1"/>
    <col min="13826" max="13826" width="18.7109375" style="288" customWidth="1"/>
    <col min="13827" max="13827" width="18.28515625" style="288" customWidth="1"/>
    <col min="13828" max="13828" width="17.28515625" style="288" customWidth="1"/>
    <col min="13829" max="13829" width="22.85546875" style="288" customWidth="1"/>
    <col min="13830" max="13830" width="26.42578125" style="288" customWidth="1"/>
    <col min="13831" max="13831" width="22.5703125" style="288" customWidth="1"/>
    <col min="13832" max="13832" width="12.28515625" style="288" customWidth="1"/>
    <col min="13833" max="13833" width="11.42578125" style="288"/>
    <col min="13834" max="13834" width="19" style="288" customWidth="1"/>
    <col min="13835" max="14080" width="11.42578125" style="288"/>
    <col min="14081" max="14081" width="7.5703125" style="288" customWidth="1"/>
    <col min="14082" max="14082" width="18.7109375" style="288" customWidth="1"/>
    <col min="14083" max="14083" width="18.28515625" style="288" customWidth="1"/>
    <col min="14084" max="14084" width="17.28515625" style="288" customWidth="1"/>
    <col min="14085" max="14085" width="22.85546875" style="288" customWidth="1"/>
    <col min="14086" max="14086" width="26.42578125" style="288" customWidth="1"/>
    <col min="14087" max="14087" width="22.5703125" style="288" customWidth="1"/>
    <col min="14088" max="14088" width="12.28515625" style="288" customWidth="1"/>
    <col min="14089" max="14089" width="11.42578125" style="288"/>
    <col min="14090" max="14090" width="19" style="288" customWidth="1"/>
    <col min="14091" max="14336" width="11.42578125" style="288"/>
    <col min="14337" max="14337" width="7.5703125" style="288" customWidth="1"/>
    <col min="14338" max="14338" width="18.7109375" style="288" customWidth="1"/>
    <col min="14339" max="14339" width="18.28515625" style="288" customWidth="1"/>
    <col min="14340" max="14340" width="17.28515625" style="288" customWidth="1"/>
    <col min="14341" max="14341" width="22.85546875" style="288" customWidth="1"/>
    <col min="14342" max="14342" width="26.42578125" style="288" customWidth="1"/>
    <col min="14343" max="14343" width="22.5703125" style="288" customWidth="1"/>
    <col min="14344" max="14344" width="12.28515625" style="288" customWidth="1"/>
    <col min="14345" max="14345" width="11.42578125" style="288"/>
    <col min="14346" max="14346" width="19" style="288" customWidth="1"/>
    <col min="14347" max="14592" width="11.42578125" style="288"/>
    <col min="14593" max="14593" width="7.5703125" style="288" customWidth="1"/>
    <col min="14594" max="14594" width="18.7109375" style="288" customWidth="1"/>
    <col min="14595" max="14595" width="18.28515625" style="288" customWidth="1"/>
    <col min="14596" max="14596" width="17.28515625" style="288" customWidth="1"/>
    <col min="14597" max="14597" width="22.85546875" style="288" customWidth="1"/>
    <col min="14598" max="14598" width="26.42578125" style="288" customWidth="1"/>
    <col min="14599" max="14599" width="22.5703125" style="288" customWidth="1"/>
    <col min="14600" max="14600" width="12.28515625" style="288" customWidth="1"/>
    <col min="14601" max="14601" width="11.42578125" style="288"/>
    <col min="14602" max="14602" width="19" style="288" customWidth="1"/>
    <col min="14603" max="14848" width="11.42578125" style="288"/>
    <col min="14849" max="14849" width="7.5703125" style="288" customWidth="1"/>
    <col min="14850" max="14850" width="18.7109375" style="288" customWidth="1"/>
    <col min="14851" max="14851" width="18.28515625" style="288" customWidth="1"/>
    <col min="14852" max="14852" width="17.28515625" style="288" customWidth="1"/>
    <col min="14853" max="14853" width="22.85546875" style="288" customWidth="1"/>
    <col min="14854" max="14854" width="26.42578125" style="288" customWidth="1"/>
    <col min="14855" max="14855" width="22.5703125" style="288" customWidth="1"/>
    <col min="14856" max="14856" width="12.28515625" style="288" customWidth="1"/>
    <col min="14857" max="14857" width="11.42578125" style="288"/>
    <col min="14858" max="14858" width="19" style="288" customWidth="1"/>
    <col min="14859" max="15104" width="11.42578125" style="288"/>
    <col min="15105" max="15105" width="7.5703125" style="288" customWidth="1"/>
    <col min="15106" max="15106" width="18.7109375" style="288" customWidth="1"/>
    <col min="15107" max="15107" width="18.28515625" style="288" customWidth="1"/>
    <col min="15108" max="15108" width="17.28515625" style="288" customWidth="1"/>
    <col min="15109" max="15109" width="22.85546875" style="288" customWidth="1"/>
    <col min="15110" max="15110" width="26.42578125" style="288" customWidth="1"/>
    <col min="15111" max="15111" width="22.5703125" style="288" customWidth="1"/>
    <col min="15112" max="15112" width="12.28515625" style="288" customWidth="1"/>
    <col min="15113" max="15113" width="11.42578125" style="288"/>
    <col min="15114" max="15114" width="19" style="288" customWidth="1"/>
    <col min="15115" max="15360" width="11.42578125" style="288"/>
    <col min="15361" max="15361" width="7.5703125" style="288" customWidth="1"/>
    <col min="15362" max="15362" width="18.7109375" style="288" customWidth="1"/>
    <col min="15363" max="15363" width="18.28515625" style="288" customWidth="1"/>
    <col min="15364" max="15364" width="17.28515625" style="288" customWidth="1"/>
    <col min="15365" max="15365" width="22.85546875" style="288" customWidth="1"/>
    <col min="15366" max="15366" width="26.42578125" style="288" customWidth="1"/>
    <col min="15367" max="15367" width="22.5703125" style="288" customWidth="1"/>
    <col min="15368" max="15368" width="12.28515625" style="288" customWidth="1"/>
    <col min="15369" max="15369" width="11.42578125" style="288"/>
    <col min="15370" max="15370" width="19" style="288" customWidth="1"/>
    <col min="15371" max="15616" width="11.42578125" style="288"/>
    <col min="15617" max="15617" width="7.5703125" style="288" customWidth="1"/>
    <col min="15618" max="15618" width="18.7109375" style="288" customWidth="1"/>
    <col min="15619" max="15619" width="18.28515625" style="288" customWidth="1"/>
    <col min="15620" max="15620" width="17.28515625" style="288" customWidth="1"/>
    <col min="15621" max="15621" width="22.85546875" style="288" customWidth="1"/>
    <col min="15622" max="15622" width="26.42578125" style="288" customWidth="1"/>
    <col min="15623" max="15623" width="22.5703125" style="288" customWidth="1"/>
    <col min="15624" max="15624" width="12.28515625" style="288" customWidth="1"/>
    <col min="15625" max="15625" width="11.42578125" style="288"/>
    <col min="15626" max="15626" width="19" style="288" customWidth="1"/>
    <col min="15627" max="15872" width="11.42578125" style="288"/>
    <col min="15873" max="15873" width="7.5703125" style="288" customWidth="1"/>
    <col min="15874" max="15874" width="18.7109375" style="288" customWidth="1"/>
    <col min="15875" max="15875" width="18.28515625" style="288" customWidth="1"/>
    <col min="15876" max="15876" width="17.28515625" style="288" customWidth="1"/>
    <col min="15877" max="15877" width="22.85546875" style="288" customWidth="1"/>
    <col min="15878" max="15878" width="26.42578125" style="288" customWidth="1"/>
    <col min="15879" max="15879" width="22.5703125" style="288" customWidth="1"/>
    <col min="15880" max="15880" width="12.28515625" style="288" customWidth="1"/>
    <col min="15881" max="15881" width="11.42578125" style="288"/>
    <col min="15882" max="15882" width="19" style="288" customWidth="1"/>
    <col min="15883" max="16128" width="11.42578125" style="288"/>
    <col min="16129" max="16129" width="7.5703125" style="288" customWidth="1"/>
    <col min="16130" max="16130" width="18.7109375" style="288" customWidth="1"/>
    <col min="16131" max="16131" width="18.28515625" style="288" customWidth="1"/>
    <col min="16132" max="16132" width="17.28515625" style="288" customWidth="1"/>
    <col min="16133" max="16133" width="22.85546875" style="288" customWidth="1"/>
    <col min="16134" max="16134" width="26.42578125" style="288" customWidth="1"/>
    <col min="16135" max="16135" width="22.5703125" style="288" customWidth="1"/>
    <col min="16136" max="16136" width="12.28515625" style="288" customWidth="1"/>
    <col min="16137" max="16137" width="11.42578125" style="288"/>
    <col min="16138" max="16138" width="19" style="288" customWidth="1"/>
    <col min="16139" max="16384" width="11.42578125" style="288"/>
  </cols>
  <sheetData>
    <row r="1" spans="1:26" ht="13.5" thickBot="1" x14ac:dyDescent="0.25"/>
    <row r="2" spans="1:26" ht="23.25" customHeight="1" thickBot="1" x14ac:dyDescent="0.25">
      <c r="A2" s="610" t="s">
        <v>122</v>
      </c>
      <c r="B2" s="611"/>
      <c r="C2" s="611"/>
      <c r="D2" s="611"/>
      <c r="E2" s="611"/>
      <c r="F2" s="612"/>
    </row>
    <row r="3" spans="1:26" ht="27.75" customHeight="1" x14ac:dyDescent="0.2">
      <c r="A3" s="613" t="s">
        <v>123</v>
      </c>
      <c r="B3" s="614"/>
      <c r="C3" s="614"/>
      <c r="D3" s="614"/>
      <c r="E3" s="614"/>
      <c r="F3" s="615"/>
    </row>
    <row r="5" spans="1:26" ht="22.5" customHeight="1" x14ac:dyDescent="0.2">
      <c r="B5" s="291" t="s">
        <v>97</v>
      </c>
      <c r="C5" s="292">
        <v>5.531259318159229E-2</v>
      </c>
      <c r="D5" s="616" t="s">
        <v>124</v>
      </c>
      <c r="E5" s="616"/>
      <c r="F5" s="616"/>
      <c r="G5" s="293"/>
      <c r="I5" s="294"/>
      <c r="J5" s="294"/>
      <c r="K5" s="294"/>
      <c r="L5" s="294"/>
      <c r="M5" s="295"/>
      <c r="N5" s="296"/>
      <c r="O5" s="296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</row>
    <row r="6" spans="1:26" ht="27.75" customHeight="1" x14ac:dyDescent="0.2">
      <c r="B6" s="298"/>
      <c r="C6" s="299"/>
      <c r="D6" s="445" t="s">
        <v>104</v>
      </c>
      <c r="E6" s="445" t="s">
        <v>105</v>
      </c>
      <c r="F6" s="445" t="s">
        <v>106</v>
      </c>
      <c r="G6" s="300"/>
      <c r="I6" s="297"/>
      <c r="J6" s="301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</row>
    <row r="7" spans="1:26" ht="18.75" customHeight="1" x14ac:dyDescent="0.2">
      <c r="C7" s="299"/>
      <c r="D7" s="302">
        <v>0.9</v>
      </c>
      <c r="E7" s="302">
        <v>0.83</v>
      </c>
      <c r="F7" s="302">
        <v>0.98</v>
      </c>
      <c r="G7" s="299"/>
      <c r="H7" s="303"/>
      <c r="I7" s="304"/>
      <c r="J7" s="305"/>
      <c r="K7" s="306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</row>
    <row r="8" spans="1:26" ht="26.25" hidden="1" customHeight="1" thickBot="1" x14ac:dyDescent="0.25">
      <c r="C8" s="299"/>
      <c r="D8" s="299"/>
      <c r="E8" s="299"/>
      <c r="F8" s="299"/>
      <c r="G8" s="299"/>
      <c r="H8" s="297"/>
      <c r="I8" s="297"/>
      <c r="J8" s="305"/>
      <c r="K8" s="306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</row>
    <row r="9" spans="1:26" ht="13.5" hidden="1" thickBot="1" x14ac:dyDescent="0.25">
      <c r="B9" s="307"/>
      <c r="C9" s="308"/>
      <c r="D9" s="309">
        <f>C5*D7</f>
        <v>4.9781333863433065E-2</v>
      </c>
      <c r="E9" s="309">
        <f>C5*E7</f>
        <v>4.59094523407216E-2</v>
      </c>
      <c r="F9" s="310">
        <f>C5*F7</f>
        <v>5.4206341317960441E-2</v>
      </c>
      <c r="G9" s="299"/>
      <c r="H9" s="311"/>
      <c r="I9" s="297"/>
      <c r="J9" s="312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</row>
    <row r="10" spans="1:26" ht="13.5" hidden="1" thickBot="1" x14ac:dyDescent="0.25">
      <c r="C10" s="299"/>
      <c r="D10" s="299"/>
      <c r="E10" s="299"/>
      <c r="F10" s="299"/>
      <c r="G10" s="299"/>
      <c r="H10" s="297"/>
      <c r="I10" s="297"/>
      <c r="J10" s="313"/>
      <c r="K10" s="314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</row>
    <row r="11" spans="1:26" ht="15.75" hidden="1" customHeight="1" thickBot="1" x14ac:dyDescent="0.25">
      <c r="B11" s="315"/>
      <c r="C11" s="316" t="s">
        <v>89</v>
      </c>
      <c r="D11" s="317">
        <f>C5-D9</f>
        <v>5.5312593181592248E-3</v>
      </c>
      <c r="E11" s="318">
        <f>C5-F9</f>
        <v>1.1062518636318491E-3</v>
      </c>
      <c r="F11" s="319">
        <f>C5-E9</f>
        <v>9.4031408408706899E-3</v>
      </c>
      <c r="G11" s="299"/>
      <c r="H11" s="297"/>
      <c r="I11" s="297"/>
      <c r="J11" s="306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</row>
    <row r="12" spans="1:26" ht="13.5" hidden="1" thickBot="1" x14ac:dyDescent="0.25">
      <c r="B12" s="320"/>
      <c r="C12" s="321" t="s">
        <v>90</v>
      </c>
      <c r="D12" s="322">
        <f>1/D11</f>
        <v>180.79065588499563</v>
      </c>
      <c r="E12" s="323">
        <f>1/F11</f>
        <v>106.34744463823264</v>
      </c>
      <c r="F12" s="324">
        <f>1/E11</f>
        <v>903.95327942497477</v>
      </c>
      <c r="G12" s="299"/>
      <c r="H12" s="288"/>
      <c r="I12" s="289"/>
      <c r="J12" s="325"/>
      <c r="K12" s="289"/>
      <c r="L12" s="289"/>
      <c r="M12" s="289"/>
      <c r="N12" s="289"/>
    </row>
    <row r="13" spans="1:26" hidden="1" x14ac:dyDescent="0.2">
      <c r="C13" s="299"/>
      <c r="D13" s="299"/>
      <c r="E13" s="299"/>
      <c r="F13" s="299"/>
      <c r="G13" s="299"/>
      <c r="H13" s="288"/>
    </row>
    <row r="14" spans="1:26" hidden="1" x14ac:dyDescent="0.2">
      <c r="A14" s="326"/>
      <c r="B14" s="327"/>
      <c r="C14" s="328" t="s">
        <v>50</v>
      </c>
      <c r="D14" s="329">
        <f>D12</f>
        <v>180.79065588499563</v>
      </c>
      <c r="E14" s="329">
        <f>E12</f>
        <v>106.34744463823264</v>
      </c>
      <c r="F14" s="329">
        <f>F12</f>
        <v>903.95327942497477</v>
      </c>
      <c r="G14" s="299"/>
      <c r="H14" s="288"/>
    </row>
    <row r="15" spans="1:26" s="297" customFormat="1" hidden="1" x14ac:dyDescent="0.2">
      <c r="B15" s="330"/>
      <c r="C15" s="331" t="s">
        <v>113</v>
      </c>
      <c r="D15" s="332">
        <f>(1-C5)*D12</f>
        <v>170.79065588499563</v>
      </c>
      <c r="E15" s="332">
        <f>(1-C5)*E12</f>
        <v>100.46509169705617</v>
      </c>
      <c r="F15" s="332">
        <f>(1-C5)*F12</f>
        <v>853.95327942497488</v>
      </c>
      <c r="G15" s="333"/>
      <c r="J15" s="306"/>
    </row>
    <row r="16" spans="1:26" s="297" customFormat="1" hidden="1" x14ac:dyDescent="0.2">
      <c r="B16" s="334"/>
      <c r="C16" s="335" t="s">
        <v>114</v>
      </c>
      <c r="D16" s="336">
        <f>D12*D11</f>
        <v>1</v>
      </c>
      <c r="E16" s="336">
        <f>E12*F11</f>
        <v>1</v>
      </c>
      <c r="F16" s="336">
        <f>F12*E11</f>
        <v>1</v>
      </c>
      <c r="G16" s="333"/>
      <c r="J16" s="306"/>
    </row>
    <row r="17" spans="1:12" s="297" customFormat="1" hidden="1" x14ac:dyDescent="0.2">
      <c r="B17" s="337"/>
      <c r="C17" s="338" t="s">
        <v>115</v>
      </c>
      <c r="D17" s="339">
        <f>(C5-D11)*D12</f>
        <v>9.0000000000000071</v>
      </c>
      <c r="E17" s="339">
        <f>(C5-F11)*E12</f>
        <v>4.8823529411764701</v>
      </c>
      <c r="F17" s="339">
        <f>(C5-E11)*F12</f>
        <v>48.999999999999851</v>
      </c>
      <c r="G17" s="333"/>
      <c r="J17" s="306"/>
    </row>
    <row r="18" spans="1:12" s="297" customFormat="1" hidden="1" x14ac:dyDescent="0.2">
      <c r="B18" s="340"/>
      <c r="C18" s="341"/>
      <c r="D18" s="342"/>
      <c r="E18" s="342"/>
      <c r="F18" s="342"/>
      <c r="G18" s="333"/>
      <c r="J18" s="306"/>
    </row>
    <row r="19" spans="1:12" s="297" customFormat="1" hidden="1" x14ac:dyDescent="0.2">
      <c r="A19" s="343"/>
      <c r="B19" s="327"/>
      <c r="C19" s="328" t="s">
        <v>55</v>
      </c>
      <c r="D19" s="329">
        <f>D12</f>
        <v>180.79065588499563</v>
      </c>
      <c r="E19" s="329">
        <f>E12</f>
        <v>106.34744463823264</v>
      </c>
      <c r="F19" s="329">
        <f>F12</f>
        <v>903.95327942497477</v>
      </c>
      <c r="G19" s="333"/>
      <c r="J19" s="306"/>
    </row>
    <row r="20" spans="1:12" hidden="1" x14ac:dyDescent="0.2">
      <c r="B20" s="330"/>
      <c r="C20" s="344" t="s">
        <v>113</v>
      </c>
      <c r="D20" s="332">
        <f>ABS((1-(C5-D11))*D12)</f>
        <v>171.79065588499563</v>
      </c>
      <c r="E20" s="332">
        <f>ABS((1-(C5-F11))*E12)</f>
        <v>101.46509169705617</v>
      </c>
      <c r="F20" s="332">
        <f>ABS((1-(C5-E11))*F12)</f>
        <v>854.95327942497488</v>
      </c>
      <c r="G20" s="299"/>
      <c r="H20" s="288"/>
    </row>
    <row r="21" spans="1:12" hidden="1" x14ac:dyDescent="0.2">
      <c r="B21" s="345"/>
      <c r="C21" s="346" t="s">
        <v>116</v>
      </c>
      <c r="D21" s="347">
        <f>D12*D11</f>
        <v>1</v>
      </c>
      <c r="E21" s="347">
        <f>E12*F11</f>
        <v>1</v>
      </c>
      <c r="F21" s="347">
        <f>F12*E11</f>
        <v>1</v>
      </c>
      <c r="G21" s="299"/>
      <c r="H21" s="288"/>
    </row>
    <row r="22" spans="1:12" hidden="1" x14ac:dyDescent="0.2">
      <c r="B22" s="348"/>
      <c r="C22" s="338" t="s">
        <v>117</v>
      </c>
      <c r="D22" s="339">
        <f>ABS(C5*D12)</f>
        <v>10.000000000000007</v>
      </c>
      <c r="E22" s="339">
        <f>ABS(C5*E12)</f>
        <v>5.8823529411764701</v>
      </c>
      <c r="F22" s="339">
        <f>ABS(C5*F12)</f>
        <v>49.999999999999851</v>
      </c>
      <c r="G22" s="299"/>
      <c r="H22" s="288"/>
    </row>
    <row r="23" spans="1:12" s="289" customFormat="1" hidden="1" x14ac:dyDescent="0.2">
      <c r="B23" s="349"/>
      <c r="C23" s="350"/>
      <c r="D23" s="351"/>
      <c r="E23" s="352"/>
      <c r="F23" s="351"/>
      <c r="G23" s="353"/>
      <c r="J23" s="325"/>
    </row>
    <row r="24" spans="1:12" hidden="1" x14ac:dyDescent="0.2">
      <c r="B24" s="272" t="s">
        <v>77</v>
      </c>
      <c r="C24" s="354"/>
      <c r="D24" s="354"/>
      <c r="E24" s="355">
        <f>ROUND(D7,2)</f>
        <v>0.9</v>
      </c>
      <c r="F24" s="356">
        <f>ROUND(D11,4)</f>
        <v>5.4999999999999997E-3</v>
      </c>
      <c r="G24" s="357">
        <f>ROUND(D12,0)</f>
        <v>181</v>
      </c>
      <c r="H24" s="288"/>
    </row>
    <row r="25" spans="1:12" hidden="1" x14ac:dyDescent="0.2">
      <c r="B25" s="277" t="s">
        <v>78</v>
      </c>
      <c r="C25" s="358">
        <f>ROUND(D9,5)</f>
        <v>4.9779999999999998E-2</v>
      </c>
      <c r="D25" s="358">
        <f>ROUND(C5,5)</f>
        <v>5.5309999999999998E-2</v>
      </c>
      <c r="E25" s="359">
        <f>ROUND(E7,2)</f>
        <v>0.83</v>
      </c>
      <c r="F25" s="360">
        <f>ROUND(E11,4)</f>
        <v>1.1000000000000001E-3</v>
      </c>
      <c r="G25" s="361">
        <f>ROUND(E12,0)</f>
        <v>106</v>
      </c>
      <c r="H25" s="288"/>
    </row>
    <row r="26" spans="1:12" hidden="1" x14ac:dyDescent="0.2">
      <c r="B26" s="277" t="s">
        <v>79</v>
      </c>
      <c r="C26" s="362"/>
      <c r="D26" s="362"/>
      <c r="E26" s="359">
        <f>ROUND(F7,2)</f>
        <v>0.98</v>
      </c>
      <c r="F26" s="360">
        <f>ROUND(F11,5)</f>
        <v>9.4000000000000004E-3</v>
      </c>
      <c r="G26" s="361">
        <f>ROUND(F12,0)</f>
        <v>904</v>
      </c>
      <c r="H26" s="288"/>
    </row>
    <row r="27" spans="1:12" hidden="1" x14ac:dyDescent="0.2">
      <c r="B27" s="277" t="s">
        <v>80</v>
      </c>
      <c r="C27" s="363" t="s">
        <v>118</v>
      </c>
      <c r="D27" s="363" t="s">
        <v>119</v>
      </c>
      <c r="E27" s="364" t="s">
        <v>88</v>
      </c>
      <c r="F27" s="364" t="s">
        <v>120</v>
      </c>
      <c r="G27" s="363" t="s">
        <v>90</v>
      </c>
      <c r="H27" s="288"/>
    </row>
    <row r="28" spans="1:12" hidden="1" x14ac:dyDescent="0.2">
      <c r="B28" s="283" t="s">
        <v>86</v>
      </c>
      <c r="C28" s="363" t="str">
        <f>CONCATENATE(C25*100,B27)</f>
        <v>4,978%</v>
      </c>
      <c r="D28" s="363" t="str">
        <f>CONCATENATE(D25*100,B27)</f>
        <v>5,531%</v>
      </c>
      <c r="E28" s="363" t="str">
        <f>CONCATENATE(E24," ",B24,E25,B25,E26,B26)</f>
        <v>0,9 (0,83-0,98)</v>
      </c>
      <c r="F28" s="363" t="str">
        <f>CONCATENATE(F24*100,B27," ",B24,F25*100,B27," ",B28," ",F26*100,B27,B26)</f>
        <v>0,55% (0,11% a 0,94%)</v>
      </c>
      <c r="G28" s="363" t="str">
        <f>CONCATENATE(G24," ",B24,G25," ",B28," ",G26,B26)</f>
        <v>181 (106 a 904)</v>
      </c>
      <c r="H28" s="288"/>
    </row>
    <row r="29" spans="1:12" s="289" customFormat="1" ht="13.5" hidden="1" customHeight="1" x14ac:dyDescent="0.2">
      <c r="B29" s="297"/>
      <c r="C29" s="365"/>
      <c r="D29" s="365"/>
      <c r="E29" s="365"/>
      <c r="F29" s="365"/>
      <c r="G29" s="365"/>
      <c r="J29" s="325"/>
    </row>
    <row r="30" spans="1:12" x14ac:dyDescent="0.2">
      <c r="B30" s="366"/>
      <c r="C30" s="299"/>
      <c r="D30" s="299"/>
      <c r="E30" s="299"/>
      <c r="F30" s="299"/>
      <c r="G30" s="299"/>
      <c r="H30" s="288"/>
    </row>
    <row r="31" spans="1:12" ht="21.75" customHeight="1" x14ac:dyDescent="0.2">
      <c r="B31" s="299"/>
      <c r="C31" s="364" t="s">
        <v>118</v>
      </c>
      <c r="D31" s="364" t="s">
        <v>119</v>
      </c>
      <c r="E31" s="364" t="s">
        <v>88</v>
      </c>
      <c r="F31" s="364" t="s">
        <v>89</v>
      </c>
      <c r="G31" s="364" t="s">
        <v>90</v>
      </c>
      <c r="I31" s="289"/>
      <c r="J31" s="325"/>
      <c r="K31" s="289"/>
      <c r="L31" s="289"/>
    </row>
    <row r="32" spans="1:12" ht="21" customHeight="1" x14ac:dyDescent="0.2">
      <c r="B32" s="299"/>
      <c r="C32" s="367" t="str">
        <f>C28</f>
        <v>4,978%</v>
      </c>
      <c r="D32" s="367" t="str">
        <f>D28</f>
        <v>5,531%</v>
      </c>
      <c r="E32" s="367" t="str">
        <f>E28</f>
        <v>0,9 (0,83-0,98)</v>
      </c>
      <c r="F32" s="367" t="str">
        <f>F28</f>
        <v>0,55% (0,11% a 0,94%)</v>
      </c>
      <c r="G32" s="367" t="str">
        <f>G28</f>
        <v>181 (106 a 904)</v>
      </c>
      <c r="I32" s="289"/>
      <c r="J32" s="368"/>
      <c r="K32" s="353"/>
      <c r="L32" s="289"/>
    </row>
    <row r="33" spans="1:12" x14ac:dyDescent="0.2">
      <c r="F33" s="289"/>
      <c r="G33" s="289"/>
      <c r="I33" s="289"/>
      <c r="J33" s="325"/>
      <c r="K33" s="289"/>
      <c r="L33" s="289"/>
    </row>
    <row r="34" spans="1:12" x14ac:dyDescent="0.2">
      <c r="F34" s="289"/>
      <c r="G34" s="289"/>
      <c r="I34" s="289"/>
      <c r="J34" s="325"/>
      <c r="K34" s="289"/>
      <c r="L34" s="289"/>
    </row>
    <row r="35" spans="1:12" x14ac:dyDescent="0.2">
      <c r="F35" s="289"/>
      <c r="G35" s="289"/>
      <c r="I35" s="289"/>
      <c r="J35" s="325"/>
      <c r="K35" s="353"/>
      <c r="L35" s="289"/>
    </row>
    <row r="36" spans="1:12" x14ac:dyDescent="0.2">
      <c r="A36" s="369"/>
      <c r="C36" s="369"/>
      <c r="F36" s="289"/>
      <c r="G36" s="289"/>
      <c r="I36" s="289"/>
      <c r="J36" s="325"/>
      <c r="K36" s="353"/>
      <c r="L36" s="289"/>
    </row>
    <row r="37" spans="1:12" x14ac:dyDescent="0.2">
      <c r="A37" s="369"/>
      <c r="C37" s="369"/>
      <c r="F37" s="289"/>
      <c r="G37" s="289"/>
      <c r="I37" s="289"/>
      <c r="J37" s="325"/>
      <c r="K37" s="289"/>
      <c r="L37" s="289"/>
    </row>
    <row r="38" spans="1:12" x14ac:dyDescent="0.2">
      <c r="A38" s="370"/>
      <c r="C38" s="371"/>
      <c r="H38" s="288"/>
    </row>
    <row r="39" spans="1:12" x14ac:dyDescent="0.2">
      <c r="A39" s="369"/>
      <c r="C39" s="369"/>
      <c r="H39" s="288"/>
    </row>
    <row r="40" spans="1:12" x14ac:dyDescent="0.2">
      <c r="A40" s="369"/>
      <c r="C40" s="369"/>
    </row>
    <row r="43" spans="1:12" s="289" customFormat="1" x14ac:dyDescent="0.2">
      <c r="B43" s="288"/>
      <c r="C43" s="288"/>
      <c r="D43" s="288"/>
      <c r="E43" s="288"/>
      <c r="F43" s="288"/>
      <c r="G43" s="288"/>
      <c r="I43" s="288"/>
      <c r="J43" s="290"/>
    </row>
    <row r="58" ht="12.75" customHeight="1" x14ac:dyDescent="0.2"/>
    <row r="59" ht="24.75" customHeight="1" x14ac:dyDescent="0.2"/>
    <row r="60" ht="27" customHeight="1" x14ac:dyDescent="0.2"/>
    <row r="93" ht="12.75" customHeight="1" x14ac:dyDescent="0.2"/>
    <row r="94" ht="38.25" customHeight="1" x14ac:dyDescent="0.2"/>
  </sheetData>
  <mergeCells count="3">
    <mergeCell ref="A2:F2"/>
    <mergeCell ref="A3:F3"/>
    <mergeCell ref="D5:F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A10" sqref="A10:XFD13"/>
    </sheetView>
  </sheetViews>
  <sheetFormatPr baseColWidth="10" defaultRowHeight="15" x14ac:dyDescent="0.25"/>
  <cols>
    <col min="1" max="1" width="25.28515625" style="498" customWidth="1"/>
    <col min="2" max="2" width="17.28515625" style="498" customWidth="1"/>
    <col min="3" max="3" width="10.7109375" style="498" customWidth="1"/>
    <col min="4" max="4" width="9.42578125" style="498" customWidth="1"/>
    <col min="5" max="5" width="6.140625" style="498" customWidth="1"/>
    <col min="6" max="6" width="12.42578125" style="498" customWidth="1"/>
    <col min="7" max="9" width="11.42578125" style="498"/>
    <col min="10" max="10" width="23.42578125" style="498" customWidth="1"/>
    <col min="11" max="256" width="11.42578125" style="498"/>
    <col min="257" max="257" width="25.28515625" style="498" customWidth="1"/>
    <col min="258" max="258" width="17.28515625" style="498" customWidth="1"/>
    <col min="259" max="259" width="10.7109375" style="498" customWidth="1"/>
    <col min="260" max="260" width="9.42578125" style="498" customWidth="1"/>
    <col min="261" max="261" width="6.140625" style="498" customWidth="1"/>
    <col min="262" max="262" width="12.42578125" style="498" customWidth="1"/>
    <col min="263" max="265" width="11.42578125" style="498"/>
    <col min="266" max="266" width="21.140625" style="498" customWidth="1"/>
    <col min="267" max="512" width="11.42578125" style="498"/>
    <col min="513" max="513" width="25.28515625" style="498" customWidth="1"/>
    <col min="514" max="514" width="17.28515625" style="498" customWidth="1"/>
    <col min="515" max="515" width="10.7109375" style="498" customWidth="1"/>
    <col min="516" max="516" width="9.42578125" style="498" customWidth="1"/>
    <col min="517" max="517" width="6.140625" style="498" customWidth="1"/>
    <col min="518" max="518" width="12.42578125" style="498" customWidth="1"/>
    <col min="519" max="521" width="11.42578125" style="498"/>
    <col min="522" max="522" width="21.140625" style="498" customWidth="1"/>
    <col min="523" max="768" width="11.42578125" style="498"/>
    <col min="769" max="769" width="25.28515625" style="498" customWidth="1"/>
    <col min="770" max="770" width="17.28515625" style="498" customWidth="1"/>
    <col min="771" max="771" width="10.7109375" style="498" customWidth="1"/>
    <col min="772" max="772" width="9.42578125" style="498" customWidth="1"/>
    <col min="773" max="773" width="6.140625" style="498" customWidth="1"/>
    <col min="774" max="774" width="12.42578125" style="498" customWidth="1"/>
    <col min="775" max="777" width="11.42578125" style="498"/>
    <col min="778" max="778" width="21.140625" style="498" customWidth="1"/>
    <col min="779" max="1024" width="11.42578125" style="498"/>
    <col min="1025" max="1025" width="25.28515625" style="498" customWidth="1"/>
    <col min="1026" max="1026" width="17.28515625" style="498" customWidth="1"/>
    <col min="1027" max="1027" width="10.7109375" style="498" customWidth="1"/>
    <col min="1028" max="1028" width="9.42578125" style="498" customWidth="1"/>
    <col min="1029" max="1029" width="6.140625" style="498" customWidth="1"/>
    <col min="1030" max="1030" width="12.42578125" style="498" customWidth="1"/>
    <col min="1031" max="1033" width="11.42578125" style="498"/>
    <col min="1034" max="1034" width="21.140625" style="498" customWidth="1"/>
    <col min="1035" max="1280" width="11.42578125" style="498"/>
    <col min="1281" max="1281" width="25.28515625" style="498" customWidth="1"/>
    <col min="1282" max="1282" width="17.28515625" style="498" customWidth="1"/>
    <col min="1283" max="1283" width="10.7109375" style="498" customWidth="1"/>
    <col min="1284" max="1284" width="9.42578125" style="498" customWidth="1"/>
    <col min="1285" max="1285" width="6.140625" style="498" customWidth="1"/>
    <col min="1286" max="1286" width="12.42578125" style="498" customWidth="1"/>
    <col min="1287" max="1289" width="11.42578125" style="498"/>
    <col min="1290" max="1290" width="21.140625" style="498" customWidth="1"/>
    <col min="1291" max="1536" width="11.42578125" style="498"/>
    <col min="1537" max="1537" width="25.28515625" style="498" customWidth="1"/>
    <col min="1538" max="1538" width="17.28515625" style="498" customWidth="1"/>
    <col min="1539" max="1539" width="10.7109375" style="498" customWidth="1"/>
    <col min="1540" max="1540" width="9.42578125" style="498" customWidth="1"/>
    <col min="1541" max="1541" width="6.140625" style="498" customWidth="1"/>
    <col min="1542" max="1542" width="12.42578125" style="498" customWidth="1"/>
    <col min="1543" max="1545" width="11.42578125" style="498"/>
    <col min="1546" max="1546" width="21.140625" style="498" customWidth="1"/>
    <col min="1547" max="1792" width="11.42578125" style="498"/>
    <col min="1793" max="1793" width="25.28515625" style="498" customWidth="1"/>
    <col min="1794" max="1794" width="17.28515625" style="498" customWidth="1"/>
    <col min="1795" max="1795" width="10.7109375" style="498" customWidth="1"/>
    <col min="1796" max="1796" width="9.42578125" style="498" customWidth="1"/>
    <col min="1797" max="1797" width="6.140625" style="498" customWidth="1"/>
    <col min="1798" max="1798" width="12.42578125" style="498" customWidth="1"/>
    <col min="1799" max="1801" width="11.42578125" style="498"/>
    <col min="1802" max="1802" width="21.140625" style="498" customWidth="1"/>
    <col min="1803" max="2048" width="11.42578125" style="498"/>
    <col min="2049" max="2049" width="25.28515625" style="498" customWidth="1"/>
    <col min="2050" max="2050" width="17.28515625" style="498" customWidth="1"/>
    <col min="2051" max="2051" width="10.7109375" style="498" customWidth="1"/>
    <col min="2052" max="2052" width="9.42578125" style="498" customWidth="1"/>
    <col min="2053" max="2053" width="6.140625" style="498" customWidth="1"/>
    <col min="2054" max="2054" width="12.42578125" style="498" customWidth="1"/>
    <col min="2055" max="2057" width="11.42578125" style="498"/>
    <col min="2058" max="2058" width="21.140625" style="498" customWidth="1"/>
    <col min="2059" max="2304" width="11.42578125" style="498"/>
    <col min="2305" max="2305" width="25.28515625" style="498" customWidth="1"/>
    <col min="2306" max="2306" width="17.28515625" style="498" customWidth="1"/>
    <col min="2307" max="2307" width="10.7109375" style="498" customWidth="1"/>
    <col min="2308" max="2308" width="9.42578125" style="498" customWidth="1"/>
    <col min="2309" max="2309" width="6.140625" style="498" customWidth="1"/>
    <col min="2310" max="2310" width="12.42578125" style="498" customWidth="1"/>
    <col min="2311" max="2313" width="11.42578125" style="498"/>
    <col min="2314" max="2314" width="21.140625" style="498" customWidth="1"/>
    <col min="2315" max="2560" width="11.42578125" style="498"/>
    <col min="2561" max="2561" width="25.28515625" style="498" customWidth="1"/>
    <col min="2562" max="2562" width="17.28515625" style="498" customWidth="1"/>
    <col min="2563" max="2563" width="10.7109375" style="498" customWidth="1"/>
    <col min="2564" max="2564" width="9.42578125" style="498" customWidth="1"/>
    <col min="2565" max="2565" width="6.140625" style="498" customWidth="1"/>
    <col min="2566" max="2566" width="12.42578125" style="498" customWidth="1"/>
    <col min="2567" max="2569" width="11.42578125" style="498"/>
    <col min="2570" max="2570" width="21.140625" style="498" customWidth="1"/>
    <col min="2571" max="2816" width="11.42578125" style="498"/>
    <col min="2817" max="2817" width="25.28515625" style="498" customWidth="1"/>
    <col min="2818" max="2818" width="17.28515625" style="498" customWidth="1"/>
    <col min="2819" max="2819" width="10.7109375" style="498" customWidth="1"/>
    <col min="2820" max="2820" width="9.42578125" style="498" customWidth="1"/>
    <col min="2821" max="2821" width="6.140625" style="498" customWidth="1"/>
    <col min="2822" max="2822" width="12.42578125" style="498" customWidth="1"/>
    <col min="2823" max="2825" width="11.42578125" style="498"/>
    <col min="2826" max="2826" width="21.140625" style="498" customWidth="1"/>
    <col min="2827" max="3072" width="11.42578125" style="498"/>
    <col min="3073" max="3073" width="25.28515625" style="498" customWidth="1"/>
    <col min="3074" max="3074" width="17.28515625" style="498" customWidth="1"/>
    <col min="3075" max="3075" width="10.7109375" style="498" customWidth="1"/>
    <col min="3076" max="3076" width="9.42578125" style="498" customWidth="1"/>
    <col min="3077" max="3077" width="6.140625" style="498" customWidth="1"/>
    <col min="3078" max="3078" width="12.42578125" style="498" customWidth="1"/>
    <col min="3079" max="3081" width="11.42578125" style="498"/>
    <col min="3082" max="3082" width="21.140625" style="498" customWidth="1"/>
    <col min="3083" max="3328" width="11.42578125" style="498"/>
    <col min="3329" max="3329" width="25.28515625" style="498" customWidth="1"/>
    <col min="3330" max="3330" width="17.28515625" style="498" customWidth="1"/>
    <col min="3331" max="3331" width="10.7109375" style="498" customWidth="1"/>
    <col min="3332" max="3332" width="9.42578125" style="498" customWidth="1"/>
    <col min="3333" max="3333" width="6.140625" style="498" customWidth="1"/>
    <col min="3334" max="3334" width="12.42578125" style="498" customWidth="1"/>
    <col min="3335" max="3337" width="11.42578125" style="498"/>
    <col min="3338" max="3338" width="21.140625" style="498" customWidth="1"/>
    <col min="3339" max="3584" width="11.42578125" style="498"/>
    <col min="3585" max="3585" width="25.28515625" style="498" customWidth="1"/>
    <col min="3586" max="3586" width="17.28515625" style="498" customWidth="1"/>
    <col min="3587" max="3587" width="10.7109375" style="498" customWidth="1"/>
    <col min="3588" max="3588" width="9.42578125" style="498" customWidth="1"/>
    <col min="3589" max="3589" width="6.140625" style="498" customWidth="1"/>
    <col min="3590" max="3590" width="12.42578125" style="498" customWidth="1"/>
    <col min="3591" max="3593" width="11.42578125" style="498"/>
    <col min="3594" max="3594" width="21.140625" style="498" customWidth="1"/>
    <col min="3595" max="3840" width="11.42578125" style="498"/>
    <col min="3841" max="3841" width="25.28515625" style="498" customWidth="1"/>
    <col min="3842" max="3842" width="17.28515625" style="498" customWidth="1"/>
    <col min="3843" max="3843" width="10.7109375" style="498" customWidth="1"/>
    <col min="3844" max="3844" width="9.42578125" style="498" customWidth="1"/>
    <col min="3845" max="3845" width="6.140625" style="498" customWidth="1"/>
    <col min="3846" max="3846" width="12.42578125" style="498" customWidth="1"/>
    <col min="3847" max="3849" width="11.42578125" style="498"/>
    <col min="3850" max="3850" width="21.140625" style="498" customWidth="1"/>
    <col min="3851" max="4096" width="11.42578125" style="498"/>
    <col min="4097" max="4097" width="25.28515625" style="498" customWidth="1"/>
    <col min="4098" max="4098" width="17.28515625" style="498" customWidth="1"/>
    <col min="4099" max="4099" width="10.7109375" style="498" customWidth="1"/>
    <col min="4100" max="4100" width="9.42578125" style="498" customWidth="1"/>
    <col min="4101" max="4101" width="6.140625" style="498" customWidth="1"/>
    <col min="4102" max="4102" width="12.42578125" style="498" customWidth="1"/>
    <col min="4103" max="4105" width="11.42578125" style="498"/>
    <col min="4106" max="4106" width="21.140625" style="498" customWidth="1"/>
    <col min="4107" max="4352" width="11.42578125" style="498"/>
    <col min="4353" max="4353" width="25.28515625" style="498" customWidth="1"/>
    <col min="4354" max="4354" width="17.28515625" style="498" customWidth="1"/>
    <col min="4355" max="4355" width="10.7109375" style="498" customWidth="1"/>
    <col min="4356" max="4356" width="9.42578125" style="498" customWidth="1"/>
    <col min="4357" max="4357" width="6.140625" style="498" customWidth="1"/>
    <col min="4358" max="4358" width="12.42578125" style="498" customWidth="1"/>
    <col min="4359" max="4361" width="11.42578125" style="498"/>
    <col min="4362" max="4362" width="21.140625" style="498" customWidth="1"/>
    <col min="4363" max="4608" width="11.42578125" style="498"/>
    <col min="4609" max="4609" width="25.28515625" style="498" customWidth="1"/>
    <col min="4610" max="4610" width="17.28515625" style="498" customWidth="1"/>
    <col min="4611" max="4611" width="10.7109375" style="498" customWidth="1"/>
    <col min="4612" max="4612" width="9.42578125" style="498" customWidth="1"/>
    <col min="4613" max="4613" width="6.140625" style="498" customWidth="1"/>
    <col min="4614" max="4614" width="12.42578125" style="498" customWidth="1"/>
    <col min="4615" max="4617" width="11.42578125" style="498"/>
    <col min="4618" max="4618" width="21.140625" style="498" customWidth="1"/>
    <col min="4619" max="4864" width="11.42578125" style="498"/>
    <col min="4865" max="4865" width="25.28515625" style="498" customWidth="1"/>
    <col min="4866" max="4866" width="17.28515625" style="498" customWidth="1"/>
    <col min="4867" max="4867" width="10.7109375" style="498" customWidth="1"/>
    <col min="4868" max="4868" width="9.42578125" style="498" customWidth="1"/>
    <col min="4869" max="4869" width="6.140625" style="498" customWidth="1"/>
    <col min="4870" max="4870" width="12.42578125" style="498" customWidth="1"/>
    <col min="4871" max="4873" width="11.42578125" style="498"/>
    <col min="4874" max="4874" width="21.140625" style="498" customWidth="1"/>
    <col min="4875" max="5120" width="11.42578125" style="498"/>
    <col min="5121" max="5121" width="25.28515625" style="498" customWidth="1"/>
    <col min="5122" max="5122" width="17.28515625" style="498" customWidth="1"/>
    <col min="5123" max="5123" width="10.7109375" style="498" customWidth="1"/>
    <col min="5124" max="5124" width="9.42578125" style="498" customWidth="1"/>
    <col min="5125" max="5125" width="6.140625" style="498" customWidth="1"/>
    <col min="5126" max="5126" width="12.42578125" style="498" customWidth="1"/>
    <col min="5127" max="5129" width="11.42578125" style="498"/>
    <col min="5130" max="5130" width="21.140625" style="498" customWidth="1"/>
    <col min="5131" max="5376" width="11.42578125" style="498"/>
    <col min="5377" max="5377" width="25.28515625" style="498" customWidth="1"/>
    <col min="5378" max="5378" width="17.28515625" style="498" customWidth="1"/>
    <col min="5379" max="5379" width="10.7109375" style="498" customWidth="1"/>
    <col min="5380" max="5380" width="9.42578125" style="498" customWidth="1"/>
    <col min="5381" max="5381" width="6.140625" style="498" customWidth="1"/>
    <col min="5382" max="5382" width="12.42578125" style="498" customWidth="1"/>
    <col min="5383" max="5385" width="11.42578125" style="498"/>
    <col min="5386" max="5386" width="21.140625" style="498" customWidth="1"/>
    <col min="5387" max="5632" width="11.42578125" style="498"/>
    <col min="5633" max="5633" width="25.28515625" style="498" customWidth="1"/>
    <col min="5634" max="5634" width="17.28515625" style="498" customWidth="1"/>
    <col min="5635" max="5635" width="10.7109375" style="498" customWidth="1"/>
    <col min="5636" max="5636" width="9.42578125" style="498" customWidth="1"/>
    <col min="5637" max="5637" width="6.140625" style="498" customWidth="1"/>
    <col min="5638" max="5638" width="12.42578125" style="498" customWidth="1"/>
    <col min="5639" max="5641" width="11.42578125" style="498"/>
    <col min="5642" max="5642" width="21.140625" style="498" customWidth="1"/>
    <col min="5643" max="5888" width="11.42578125" style="498"/>
    <col min="5889" max="5889" width="25.28515625" style="498" customWidth="1"/>
    <col min="5890" max="5890" width="17.28515625" style="498" customWidth="1"/>
    <col min="5891" max="5891" width="10.7109375" style="498" customWidth="1"/>
    <col min="5892" max="5892" width="9.42578125" style="498" customWidth="1"/>
    <col min="5893" max="5893" width="6.140625" style="498" customWidth="1"/>
    <col min="5894" max="5894" width="12.42578125" style="498" customWidth="1"/>
    <col min="5895" max="5897" width="11.42578125" style="498"/>
    <col min="5898" max="5898" width="21.140625" style="498" customWidth="1"/>
    <col min="5899" max="6144" width="11.42578125" style="498"/>
    <col min="6145" max="6145" width="25.28515625" style="498" customWidth="1"/>
    <col min="6146" max="6146" width="17.28515625" style="498" customWidth="1"/>
    <col min="6147" max="6147" width="10.7109375" style="498" customWidth="1"/>
    <col min="6148" max="6148" width="9.42578125" style="498" customWidth="1"/>
    <col min="6149" max="6149" width="6.140625" style="498" customWidth="1"/>
    <col min="6150" max="6150" width="12.42578125" style="498" customWidth="1"/>
    <col min="6151" max="6153" width="11.42578125" style="498"/>
    <col min="6154" max="6154" width="21.140625" style="498" customWidth="1"/>
    <col min="6155" max="6400" width="11.42578125" style="498"/>
    <col min="6401" max="6401" width="25.28515625" style="498" customWidth="1"/>
    <col min="6402" max="6402" width="17.28515625" style="498" customWidth="1"/>
    <col min="6403" max="6403" width="10.7109375" style="498" customWidth="1"/>
    <col min="6404" max="6404" width="9.42578125" style="498" customWidth="1"/>
    <col min="6405" max="6405" width="6.140625" style="498" customWidth="1"/>
    <col min="6406" max="6406" width="12.42578125" style="498" customWidth="1"/>
    <col min="6407" max="6409" width="11.42578125" style="498"/>
    <col min="6410" max="6410" width="21.140625" style="498" customWidth="1"/>
    <col min="6411" max="6656" width="11.42578125" style="498"/>
    <col min="6657" max="6657" width="25.28515625" style="498" customWidth="1"/>
    <col min="6658" max="6658" width="17.28515625" style="498" customWidth="1"/>
    <col min="6659" max="6659" width="10.7109375" style="498" customWidth="1"/>
    <col min="6660" max="6660" width="9.42578125" style="498" customWidth="1"/>
    <col min="6661" max="6661" width="6.140625" style="498" customWidth="1"/>
    <col min="6662" max="6662" width="12.42578125" style="498" customWidth="1"/>
    <col min="6663" max="6665" width="11.42578125" style="498"/>
    <col min="6666" max="6666" width="21.140625" style="498" customWidth="1"/>
    <col min="6667" max="6912" width="11.42578125" style="498"/>
    <col min="6913" max="6913" width="25.28515625" style="498" customWidth="1"/>
    <col min="6914" max="6914" width="17.28515625" style="498" customWidth="1"/>
    <col min="6915" max="6915" width="10.7109375" style="498" customWidth="1"/>
    <col min="6916" max="6916" width="9.42578125" style="498" customWidth="1"/>
    <col min="6917" max="6917" width="6.140625" style="498" customWidth="1"/>
    <col min="6918" max="6918" width="12.42578125" style="498" customWidth="1"/>
    <col min="6919" max="6921" width="11.42578125" style="498"/>
    <col min="6922" max="6922" width="21.140625" style="498" customWidth="1"/>
    <col min="6923" max="7168" width="11.42578125" style="498"/>
    <col min="7169" max="7169" width="25.28515625" style="498" customWidth="1"/>
    <col min="7170" max="7170" width="17.28515625" style="498" customWidth="1"/>
    <col min="7171" max="7171" width="10.7109375" style="498" customWidth="1"/>
    <col min="7172" max="7172" width="9.42578125" style="498" customWidth="1"/>
    <col min="7173" max="7173" width="6.140625" style="498" customWidth="1"/>
    <col min="7174" max="7174" width="12.42578125" style="498" customWidth="1"/>
    <col min="7175" max="7177" width="11.42578125" style="498"/>
    <col min="7178" max="7178" width="21.140625" style="498" customWidth="1"/>
    <col min="7179" max="7424" width="11.42578125" style="498"/>
    <col min="7425" max="7425" width="25.28515625" style="498" customWidth="1"/>
    <col min="7426" max="7426" width="17.28515625" style="498" customWidth="1"/>
    <col min="7427" max="7427" width="10.7109375" style="498" customWidth="1"/>
    <col min="7428" max="7428" width="9.42578125" style="498" customWidth="1"/>
    <col min="7429" max="7429" width="6.140625" style="498" customWidth="1"/>
    <col min="7430" max="7430" width="12.42578125" style="498" customWidth="1"/>
    <col min="7431" max="7433" width="11.42578125" style="498"/>
    <col min="7434" max="7434" width="21.140625" style="498" customWidth="1"/>
    <col min="7435" max="7680" width="11.42578125" style="498"/>
    <col min="7681" max="7681" width="25.28515625" style="498" customWidth="1"/>
    <col min="7682" max="7682" width="17.28515625" style="498" customWidth="1"/>
    <col min="7683" max="7683" width="10.7109375" style="498" customWidth="1"/>
    <col min="7684" max="7684" width="9.42578125" style="498" customWidth="1"/>
    <col min="7685" max="7685" width="6.140625" style="498" customWidth="1"/>
    <col min="7686" max="7686" width="12.42578125" style="498" customWidth="1"/>
    <col min="7687" max="7689" width="11.42578125" style="498"/>
    <col min="7690" max="7690" width="21.140625" style="498" customWidth="1"/>
    <col min="7691" max="7936" width="11.42578125" style="498"/>
    <col min="7937" max="7937" width="25.28515625" style="498" customWidth="1"/>
    <col min="7938" max="7938" width="17.28515625" style="498" customWidth="1"/>
    <col min="7939" max="7939" width="10.7109375" style="498" customWidth="1"/>
    <col min="7940" max="7940" width="9.42578125" style="498" customWidth="1"/>
    <col min="7941" max="7941" width="6.140625" style="498" customWidth="1"/>
    <col min="7942" max="7942" width="12.42578125" style="498" customWidth="1"/>
    <col min="7943" max="7945" width="11.42578125" style="498"/>
    <col min="7946" max="7946" width="21.140625" style="498" customWidth="1"/>
    <col min="7947" max="8192" width="11.42578125" style="498"/>
    <col min="8193" max="8193" width="25.28515625" style="498" customWidth="1"/>
    <col min="8194" max="8194" width="17.28515625" style="498" customWidth="1"/>
    <col min="8195" max="8195" width="10.7109375" style="498" customWidth="1"/>
    <col min="8196" max="8196" width="9.42578125" style="498" customWidth="1"/>
    <col min="8197" max="8197" width="6.140625" style="498" customWidth="1"/>
    <col min="8198" max="8198" width="12.42578125" style="498" customWidth="1"/>
    <col min="8199" max="8201" width="11.42578125" style="498"/>
    <col min="8202" max="8202" width="21.140625" style="498" customWidth="1"/>
    <col min="8203" max="8448" width="11.42578125" style="498"/>
    <col min="8449" max="8449" width="25.28515625" style="498" customWidth="1"/>
    <col min="8450" max="8450" width="17.28515625" style="498" customWidth="1"/>
    <col min="8451" max="8451" width="10.7109375" style="498" customWidth="1"/>
    <col min="8452" max="8452" width="9.42578125" style="498" customWidth="1"/>
    <col min="8453" max="8453" width="6.140625" style="498" customWidth="1"/>
    <col min="8454" max="8454" width="12.42578125" style="498" customWidth="1"/>
    <col min="8455" max="8457" width="11.42578125" style="498"/>
    <col min="8458" max="8458" width="21.140625" style="498" customWidth="1"/>
    <col min="8459" max="8704" width="11.42578125" style="498"/>
    <col min="8705" max="8705" width="25.28515625" style="498" customWidth="1"/>
    <col min="8706" max="8706" width="17.28515625" style="498" customWidth="1"/>
    <col min="8707" max="8707" width="10.7109375" style="498" customWidth="1"/>
    <col min="8708" max="8708" width="9.42578125" style="498" customWidth="1"/>
    <col min="8709" max="8709" width="6.140625" style="498" customWidth="1"/>
    <col min="8710" max="8710" width="12.42578125" style="498" customWidth="1"/>
    <col min="8711" max="8713" width="11.42578125" style="498"/>
    <col min="8714" max="8714" width="21.140625" style="498" customWidth="1"/>
    <col min="8715" max="8960" width="11.42578125" style="498"/>
    <col min="8961" max="8961" width="25.28515625" style="498" customWidth="1"/>
    <col min="8962" max="8962" width="17.28515625" style="498" customWidth="1"/>
    <col min="8963" max="8963" width="10.7109375" style="498" customWidth="1"/>
    <col min="8964" max="8964" width="9.42578125" style="498" customWidth="1"/>
    <col min="8965" max="8965" width="6.140625" style="498" customWidth="1"/>
    <col min="8966" max="8966" width="12.42578125" style="498" customWidth="1"/>
    <col min="8967" max="8969" width="11.42578125" style="498"/>
    <col min="8970" max="8970" width="21.140625" style="498" customWidth="1"/>
    <col min="8971" max="9216" width="11.42578125" style="498"/>
    <col min="9217" max="9217" width="25.28515625" style="498" customWidth="1"/>
    <col min="9218" max="9218" width="17.28515625" style="498" customWidth="1"/>
    <col min="9219" max="9219" width="10.7109375" style="498" customWidth="1"/>
    <col min="9220" max="9220" width="9.42578125" style="498" customWidth="1"/>
    <col min="9221" max="9221" width="6.140625" style="498" customWidth="1"/>
    <col min="9222" max="9222" width="12.42578125" style="498" customWidth="1"/>
    <col min="9223" max="9225" width="11.42578125" style="498"/>
    <col min="9226" max="9226" width="21.140625" style="498" customWidth="1"/>
    <col min="9227" max="9472" width="11.42578125" style="498"/>
    <col min="9473" max="9473" width="25.28515625" style="498" customWidth="1"/>
    <col min="9474" max="9474" width="17.28515625" style="498" customWidth="1"/>
    <col min="9475" max="9475" width="10.7109375" style="498" customWidth="1"/>
    <col min="9476" max="9476" width="9.42578125" style="498" customWidth="1"/>
    <col min="9477" max="9477" width="6.140625" style="498" customWidth="1"/>
    <col min="9478" max="9478" width="12.42578125" style="498" customWidth="1"/>
    <col min="9479" max="9481" width="11.42578125" style="498"/>
    <col min="9482" max="9482" width="21.140625" style="498" customWidth="1"/>
    <col min="9483" max="9728" width="11.42578125" style="498"/>
    <col min="9729" max="9729" width="25.28515625" style="498" customWidth="1"/>
    <col min="9730" max="9730" width="17.28515625" style="498" customWidth="1"/>
    <col min="9731" max="9731" width="10.7109375" style="498" customWidth="1"/>
    <col min="9732" max="9732" width="9.42578125" style="498" customWidth="1"/>
    <col min="9733" max="9733" width="6.140625" style="498" customWidth="1"/>
    <col min="9734" max="9734" width="12.42578125" style="498" customWidth="1"/>
    <col min="9735" max="9737" width="11.42578125" style="498"/>
    <col min="9738" max="9738" width="21.140625" style="498" customWidth="1"/>
    <col min="9739" max="9984" width="11.42578125" style="498"/>
    <col min="9985" max="9985" width="25.28515625" style="498" customWidth="1"/>
    <col min="9986" max="9986" width="17.28515625" style="498" customWidth="1"/>
    <col min="9987" max="9987" width="10.7109375" style="498" customWidth="1"/>
    <col min="9988" max="9988" width="9.42578125" style="498" customWidth="1"/>
    <col min="9989" max="9989" width="6.140625" style="498" customWidth="1"/>
    <col min="9990" max="9990" width="12.42578125" style="498" customWidth="1"/>
    <col min="9991" max="9993" width="11.42578125" style="498"/>
    <col min="9994" max="9994" width="21.140625" style="498" customWidth="1"/>
    <col min="9995" max="10240" width="11.42578125" style="498"/>
    <col min="10241" max="10241" width="25.28515625" style="498" customWidth="1"/>
    <col min="10242" max="10242" width="17.28515625" style="498" customWidth="1"/>
    <col min="10243" max="10243" width="10.7109375" style="498" customWidth="1"/>
    <col min="10244" max="10244" width="9.42578125" style="498" customWidth="1"/>
    <col min="10245" max="10245" width="6.140625" style="498" customWidth="1"/>
    <col min="10246" max="10246" width="12.42578125" style="498" customWidth="1"/>
    <col min="10247" max="10249" width="11.42578125" style="498"/>
    <col min="10250" max="10250" width="21.140625" style="498" customWidth="1"/>
    <col min="10251" max="10496" width="11.42578125" style="498"/>
    <col min="10497" max="10497" width="25.28515625" style="498" customWidth="1"/>
    <col min="10498" max="10498" width="17.28515625" style="498" customWidth="1"/>
    <col min="10499" max="10499" width="10.7109375" style="498" customWidth="1"/>
    <col min="10500" max="10500" width="9.42578125" style="498" customWidth="1"/>
    <col min="10501" max="10501" width="6.140625" style="498" customWidth="1"/>
    <col min="10502" max="10502" width="12.42578125" style="498" customWidth="1"/>
    <col min="10503" max="10505" width="11.42578125" style="498"/>
    <col min="10506" max="10506" width="21.140625" style="498" customWidth="1"/>
    <col min="10507" max="10752" width="11.42578125" style="498"/>
    <col min="10753" max="10753" width="25.28515625" style="498" customWidth="1"/>
    <col min="10754" max="10754" width="17.28515625" style="498" customWidth="1"/>
    <col min="10755" max="10755" width="10.7109375" style="498" customWidth="1"/>
    <col min="10756" max="10756" width="9.42578125" style="498" customWidth="1"/>
    <col min="10757" max="10757" width="6.140625" style="498" customWidth="1"/>
    <col min="10758" max="10758" width="12.42578125" style="498" customWidth="1"/>
    <col min="10759" max="10761" width="11.42578125" style="498"/>
    <col min="10762" max="10762" width="21.140625" style="498" customWidth="1"/>
    <col min="10763" max="11008" width="11.42578125" style="498"/>
    <col min="11009" max="11009" width="25.28515625" style="498" customWidth="1"/>
    <col min="11010" max="11010" width="17.28515625" style="498" customWidth="1"/>
    <col min="11011" max="11011" width="10.7109375" style="498" customWidth="1"/>
    <col min="11012" max="11012" width="9.42578125" style="498" customWidth="1"/>
    <col min="11013" max="11013" width="6.140625" style="498" customWidth="1"/>
    <col min="11014" max="11014" width="12.42578125" style="498" customWidth="1"/>
    <col min="11015" max="11017" width="11.42578125" style="498"/>
    <col min="11018" max="11018" width="21.140625" style="498" customWidth="1"/>
    <col min="11019" max="11264" width="11.42578125" style="498"/>
    <col min="11265" max="11265" width="25.28515625" style="498" customWidth="1"/>
    <col min="11266" max="11266" width="17.28515625" style="498" customWidth="1"/>
    <col min="11267" max="11267" width="10.7109375" style="498" customWidth="1"/>
    <col min="11268" max="11268" width="9.42578125" style="498" customWidth="1"/>
    <col min="11269" max="11269" width="6.140625" style="498" customWidth="1"/>
    <col min="11270" max="11270" width="12.42578125" style="498" customWidth="1"/>
    <col min="11271" max="11273" width="11.42578125" style="498"/>
    <col min="11274" max="11274" width="21.140625" style="498" customWidth="1"/>
    <col min="11275" max="11520" width="11.42578125" style="498"/>
    <col min="11521" max="11521" width="25.28515625" style="498" customWidth="1"/>
    <col min="11522" max="11522" width="17.28515625" style="498" customWidth="1"/>
    <col min="11523" max="11523" width="10.7109375" style="498" customWidth="1"/>
    <col min="11524" max="11524" width="9.42578125" style="498" customWidth="1"/>
    <col min="11525" max="11525" width="6.140625" style="498" customWidth="1"/>
    <col min="11526" max="11526" width="12.42578125" style="498" customWidth="1"/>
    <col min="11527" max="11529" width="11.42578125" style="498"/>
    <col min="11530" max="11530" width="21.140625" style="498" customWidth="1"/>
    <col min="11531" max="11776" width="11.42578125" style="498"/>
    <col min="11777" max="11777" width="25.28515625" style="498" customWidth="1"/>
    <col min="11778" max="11778" width="17.28515625" style="498" customWidth="1"/>
    <col min="11779" max="11779" width="10.7109375" style="498" customWidth="1"/>
    <col min="11780" max="11780" width="9.42578125" style="498" customWidth="1"/>
    <col min="11781" max="11781" width="6.140625" style="498" customWidth="1"/>
    <col min="11782" max="11782" width="12.42578125" style="498" customWidth="1"/>
    <col min="11783" max="11785" width="11.42578125" style="498"/>
    <col min="11786" max="11786" width="21.140625" style="498" customWidth="1"/>
    <col min="11787" max="12032" width="11.42578125" style="498"/>
    <col min="12033" max="12033" width="25.28515625" style="498" customWidth="1"/>
    <col min="12034" max="12034" width="17.28515625" style="498" customWidth="1"/>
    <col min="12035" max="12035" width="10.7109375" style="498" customWidth="1"/>
    <col min="12036" max="12036" width="9.42578125" style="498" customWidth="1"/>
    <col min="12037" max="12037" width="6.140625" style="498" customWidth="1"/>
    <col min="12038" max="12038" width="12.42578125" style="498" customWidth="1"/>
    <col min="12039" max="12041" width="11.42578125" style="498"/>
    <col min="12042" max="12042" width="21.140625" style="498" customWidth="1"/>
    <col min="12043" max="12288" width="11.42578125" style="498"/>
    <col min="12289" max="12289" width="25.28515625" style="498" customWidth="1"/>
    <col min="12290" max="12290" width="17.28515625" style="498" customWidth="1"/>
    <col min="12291" max="12291" width="10.7109375" style="498" customWidth="1"/>
    <col min="12292" max="12292" width="9.42578125" style="498" customWidth="1"/>
    <col min="12293" max="12293" width="6.140625" style="498" customWidth="1"/>
    <col min="12294" max="12294" width="12.42578125" style="498" customWidth="1"/>
    <col min="12295" max="12297" width="11.42578125" style="498"/>
    <col min="12298" max="12298" width="21.140625" style="498" customWidth="1"/>
    <col min="12299" max="12544" width="11.42578125" style="498"/>
    <col min="12545" max="12545" width="25.28515625" style="498" customWidth="1"/>
    <col min="12546" max="12546" width="17.28515625" style="498" customWidth="1"/>
    <col min="12547" max="12547" width="10.7109375" style="498" customWidth="1"/>
    <col min="12548" max="12548" width="9.42578125" style="498" customWidth="1"/>
    <col min="12549" max="12549" width="6.140625" style="498" customWidth="1"/>
    <col min="12550" max="12550" width="12.42578125" style="498" customWidth="1"/>
    <col min="12551" max="12553" width="11.42578125" style="498"/>
    <col min="12554" max="12554" width="21.140625" style="498" customWidth="1"/>
    <col min="12555" max="12800" width="11.42578125" style="498"/>
    <col min="12801" max="12801" width="25.28515625" style="498" customWidth="1"/>
    <col min="12802" max="12802" width="17.28515625" style="498" customWidth="1"/>
    <col min="12803" max="12803" width="10.7109375" style="498" customWidth="1"/>
    <col min="12804" max="12804" width="9.42578125" style="498" customWidth="1"/>
    <col min="12805" max="12805" width="6.140625" style="498" customWidth="1"/>
    <col min="12806" max="12806" width="12.42578125" style="498" customWidth="1"/>
    <col min="12807" max="12809" width="11.42578125" style="498"/>
    <col min="12810" max="12810" width="21.140625" style="498" customWidth="1"/>
    <col min="12811" max="13056" width="11.42578125" style="498"/>
    <col min="13057" max="13057" width="25.28515625" style="498" customWidth="1"/>
    <col min="13058" max="13058" width="17.28515625" style="498" customWidth="1"/>
    <col min="13059" max="13059" width="10.7109375" style="498" customWidth="1"/>
    <col min="13060" max="13060" width="9.42578125" style="498" customWidth="1"/>
    <col min="13061" max="13061" width="6.140625" style="498" customWidth="1"/>
    <col min="13062" max="13062" width="12.42578125" style="498" customWidth="1"/>
    <col min="13063" max="13065" width="11.42578125" style="498"/>
    <col min="13066" max="13066" width="21.140625" style="498" customWidth="1"/>
    <col min="13067" max="13312" width="11.42578125" style="498"/>
    <col min="13313" max="13313" width="25.28515625" style="498" customWidth="1"/>
    <col min="13314" max="13314" width="17.28515625" style="498" customWidth="1"/>
    <col min="13315" max="13315" width="10.7109375" style="498" customWidth="1"/>
    <col min="13316" max="13316" width="9.42578125" style="498" customWidth="1"/>
    <col min="13317" max="13317" width="6.140625" style="498" customWidth="1"/>
    <col min="13318" max="13318" width="12.42578125" style="498" customWidth="1"/>
    <col min="13319" max="13321" width="11.42578125" style="498"/>
    <col min="13322" max="13322" width="21.140625" style="498" customWidth="1"/>
    <col min="13323" max="13568" width="11.42578125" style="498"/>
    <col min="13569" max="13569" width="25.28515625" style="498" customWidth="1"/>
    <col min="13570" max="13570" width="17.28515625" style="498" customWidth="1"/>
    <col min="13571" max="13571" width="10.7109375" style="498" customWidth="1"/>
    <col min="13572" max="13572" width="9.42578125" style="498" customWidth="1"/>
    <col min="13573" max="13573" width="6.140625" style="498" customWidth="1"/>
    <col min="13574" max="13574" width="12.42578125" style="498" customWidth="1"/>
    <col min="13575" max="13577" width="11.42578125" style="498"/>
    <col min="13578" max="13578" width="21.140625" style="498" customWidth="1"/>
    <col min="13579" max="13824" width="11.42578125" style="498"/>
    <col min="13825" max="13825" width="25.28515625" style="498" customWidth="1"/>
    <col min="13826" max="13826" width="17.28515625" style="498" customWidth="1"/>
    <col min="13827" max="13827" width="10.7109375" style="498" customWidth="1"/>
    <col min="13828" max="13828" width="9.42578125" style="498" customWidth="1"/>
    <col min="13829" max="13829" width="6.140625" style="498" customWidth="1"/>
    <col min="13830" max="13830" width="12.42578125" style="498" customWidth="1"/>
    <col min="13831" max="13833" width="11.42578125" style="498"/>
    <col min="13834" max="13834" width="21.140625" style="498" customWidth="1"/>
    <col min="13835" max="14080" width="11.42578125" style="498"/>
    <col min="14081" max="14081" width="25.28515625" style="498" customWidth="1"/>
    <col min="14082" max="14082" width="17.28515625" style="498" customWidth="1"/>
    <col min="14083" max="14083" width="10.7109375" style="498" customWidth="1"/>
    <col min="14084" max="14084" width="9.42578125" style="498" customWidth="1"/>
    <col min="14085" max="14085" width="6.140625" style="498" customWidth="1"/>
    <col min="14086" max="14086" width="12.42578125" style="498" customWidth="1"/>
    <col min="14087" max="14089" width="11.42578125" style="498"/>
    <col min="14090" max="14090" width="21.140625" style="498" customWidth="1"/>
    <col min="14091" max="14336" width="11.42578125" style="498"/>
    <col min="14337" max="14337" width="25.28515625" style="498" customWidth="1"/>
    <col min="14338" max="14338" width="17.28515625" style="498" customWidth="1"/>
    <col min="14339" max="14339" width="10.7109375" style="498" customWidth="1"/>
    <col min="14340" max="14340" width="9.42578125" style="498" customWidth="1"/>
    <col min="14341" max="14341" width="6.140625" style="498" customWidth="1"/>
    <col min="14342" max="14342" width="12.42578125" style="498" customWidth="1"/>
    <col min="14343" max="14345" width="11.42578125" style="498"/>
    <col min="14346" max="14346" width="21.140625" style="498" customWidth="1"/>
    <col min="14347" max="14592" width="11.42578125" style="498"/>
    <col min="14593" max="14593" width="25.28515625" style="498" customWidth="1"/>
    <col min="14594" max="14594" width="17.28515625" style="498" customWidth="1"/>
    <col min="14595" max="14595" width="10.7109375" style="498" customWidth="1"/>
    <col min="14596" max="14596" width="9.42578125" style="498" customWidth="1"/>
    <col min="14597" max="14597" width="6.140625" style="498" customWidth="1"/>
    <col min="14598" max="14598" width="12.42578125" style="498" customWidth="1"/>
    <col min="14599" max="14601" width="11.42578125" style="498"/>
    <col min="14602" max="14602" width="21.140625" style="498" customWidth="1"/>
    <col min="14603" max="14848" width="11.42578125" style="498"/>
    <col min="14849" max="14849" width="25.28515625" style="498" customWidth="1"/>
    <col min="14850" max="14850" width="17.28515625" style="498" customWidth="1"/>
    <col min="14851" max="14851" width="10.7109375" style="498" customWidth="1"/>
    <col min="14852" max="14852" width="9.42578125" style="498" customWidth="1"/>
    <col min="14853" max="14853" width="6.140625" style="498" customWidth="1"/>
    <col min="14854" max="14854" width="12.42578125" style="498" customWidth="1"/>
    <col min="14855" max="14857" width="11.42578125" style="498"/>
    <col min="14858" max="14858" width="21.140625" style="498" customWidth="1"/>
    <col min="14859" max="15104" width="11.42578125" style="498"/>
    <col min="15105" max="15105" width="25.28515625" style="498" customWidth="1"/>
    <col min="15106" max="15106" width="17.28515625" style="498" customWidth="1"/>
    <col min="15107" max="15107" width="10.7109375" style="498" customWidth="1"/>
    <col min="15108" max="15108" width="9.42578125" style="498" customWidth="1"/>
    <col min="15109" max="15109" width="6.140625" style="498" customWidth="1"/>
    <col min="15110" max="15110" width="12.42578125" style="498" customWidth="1"/>
    <col min="15111" max="15113" width="11.42578125" style="498"/>
    <col min="15114" max="15114" width="21.140625" style="498" customWidth="1"/>
    <col min="15115" max="15360" width="11.42578125" style="498"/>
    <col min="15361" max="15361" width="25.28515625" style="498" customWidth="1"/>
    <col min="15362" max="15362" width="17.28515625" style="498" customWidth="1"/>
    <col min="15363" max="15363" width="10.7109375" style="498" customWidth="1"/>
    <col min="15364" max="15364" width="9.42578125" style="498" customWidth="1"/>
    <col min="15365" max="15365" width="6.140625" style="498" customWidth="1"/>
    <col min="15366" max="15366" width="12.42578125" style="498" customWidth="1"/>
    <col min="15367" max="15369" width="11.42578125" style="498"/>
    <col min="15370" max="15370" width="21.140625" style="498" customWidth="1"/>
    <col min="15371" max="15616" width="11.42578125" style="498"/>
    <col min="15617" max="15617" width="25.28515625" style="498" customWidth="1"/>
    <col min="15618" max="15618" width="17.28515625" style="498" customWidth="1"/>
    <col min="15619" max="15619" width="10.7109375" style="498" customWidth="1"/>
    <col min="15620" max="15620" width="9.42578125" style="498" customWidth="1"/>
    <col min="15621" max="15621" width="6.140625" style="498" customWidth="1"/>
    <col min="15622" max="15622" width="12.42578125" style="498" customWidth="1"/>
    <col min="15623" max="15625" width="11.42578125" style="498"/>
    <col min="15626" max="15626" width="21.140625" style="498" customWidth="1"/>
    <col min="15627" max="15872" width="11.42578125" style="498"/>
    <col min="15873" max="15873" width="25.28515625" style="498" customWidth="1"/>
    <col min="15874" max="15874" width="17.28515625" style="498" customWidth="1"/>
    <col min="15875" max="15875" width="10.7109375" style="498" customWidth="1"/>
    <col min="15876" max="15876" width="9.42578125" style="498" customWidth="1"/>
    <col min="15877" max="15877" width="6.140625" style="498" customWidth="1"/>
    <col min="15878" max="15878" width="12.42578125" style="498" customWidth="1"/>
    <col min="15879" max="15881" width="11.42578125" style="498"/>
    <col min="15882" max="15882" width="21.140625" style="498" customWidth="1"/>
    <col min="15883" max="16128" width="11.42578125" style="498"/>
    <col min="16129" max="16129" width="25.28515625" style="498" customWidth="1"/>
    <col min="16130" max="16130" width="17.28515625" style="498" customWidth="1"/>
    <col min="16131" max="16131" width="10.7109375" style="498" customWidth="1"/>
    <col min="16132" max="16132" width="9.42578125" style="498" customWidth="1"/>
    <col min="16133" max="16133" width="6.140625" style="498" customWidth="1"/>
    <col min="16134" max="16134" width="12.42578125" style="498" customWidth="1"/>
    <col min="16135" max="16137" width="11.42578125" style="498"/>
    <col min="16138" max="16138" width="21.140625" style="498" customWidth="1"/>
    <col min="16139" max="16384" width="11.42578125" style="498"/>
  </cols>
  <sheetData>
    <row r="1" spans="1:21" ht="15.75" thickBot="1" x14ac:dyDescent="0.3"/>
    <row r="2" spans="1:21" ht="19.5" thickBot="1" x14ac:dyDescent="0.3">
      <c r="A2" s="617" t="s">
        <v>125</v>
      </c>
      <c r="B2" s="618"/>
      <c r="C2" s="618"/>
      <c r="D2" s="618"/>
      <c r="E2" s="618"/>
      <c r="F2" s="618"/>
      <c r="G2" s="618"/>
      <c r="H2" s="618"/>
      <c r="I2" s="619"/>
    </row>
    <row r="3" spans="1:21" ht="25.5" customHeight="1" x14ac:dyDescent="0.25">
      <c r="A3" s="620" t="s">
        <v>177</v>
      </c>
      <c r="B3" s="621"/>
      <c r="C3" s="621"/>
      <c r="D3" s="621"/>
      <c r="E3" s="621"/>
      <c r="F3" s="621"/>
      <c r="G3" s="621"/>
      <c r="H3" s="621"/>
      <c r="I3" s="622"/>
    </row>
    <row r="4" spans="1:21" ht="16.5" thickBot="1" x14ac:dyDescent="0.3">
      <c r="A4" s="499"/>
      <c r="B4" s="499"/>
      <c r="C4" s="499"/>
      <c r="D4" s="499"/>
      <c r="E4" s="499"/>
      <c r="F4" s="499"/>
      <c r="G4" s="499"/>
      <c r="H4" s="499"/>
      <c r="I4" s="499"/>
    </row>
    <row r="5" spans="1:21" s="388" customFormat="1" ht="16.5" customHeight="1" x14ac:dyDescent="0.25">
      <c r="A5" s="372" t="s">
        <v>127</v>
      </c>
      <c r="B5" s="373" t="s">
        <v>128</v>
      </c>
      <c r="C5" s="373"/>
      <c r="D5" s="373"/>
      <c r="E5" s="373"/>
      <c r="F5" s="373"/>
      <c r="G5" s="373"/>
      <c r="H5" s="500"/>
    </row>
    <row r="6" spans="1:21" s="388" customFormat="1" ht="16.5" customHeight="1" x14ac:dyDescent="0.25">
      <c r="A6" s="446" t="s">
        <v>129</v>
      </c>
      <c r="B6" s="447">
        <f>6%/5</f>
        <v>1.2E-2</v>
      </c>
      <c r="C6" s="482" t="s">
        <v>130</v>
      </c>
      <c r="D6" s="448">
        <v>5</v>
      </c>
      <c r="E6" s="449" t="s">
        <v>76</v>
      </c>
      <c r="F6" s="501"/>
      <c r="G6" s="450" t="s">
        <v>131</v>
      </c>
      <c r="H6" s="451">
        <f>D6*B6</f>
        <v>0.06</v>
      </c>
    </row>
    <row r="7" spans="1:21" s="388" customFormat="1" ht="16.5" customHeight="1" x14ac:dyDescent="0.25">
      <c r="A7" s="452" t="s">
        <v>132</v>
      </c>
      <c r="B7" s="453">
        <v>0.7</v>
      </c>
      <c r="C7" s="449"/>
      <c r="D7" s="449"/>
      <c r="E7" s="449"/>
      <c r="F7" s="449"/>
      <c r="G7" s="449"/>
      <c r="H7" s="483"/>
    </row>
    <row r="8" spans="1:21" s="388" customFormat="1" ht="15.75" thickBot="1" x14ac:dyDescent="0.3">
      <c r="A8" s="454" t="s">
        <v>133</v>
      </c>
      <c r="B8" s="455">
        <f>H6*B7</f>
        <v>4.1999999999999996E-2</v>
      </c>
      <c r="C8" s="502"/>
      <c r="D8" s="502"/>
      <c r="E8" s="502"/>
      <c r="F8" s="502"/>
      <c r="G8" s="502"/>
      <c r="H8" s="496"/>
    </row>
    <row r="9" spans="1:21" s="388" customFormat="1" ht="15.75" thickBot="1" x14ac:dyDescent="0.3"/>
    <row r="10" spans="1:21" s="440" customFormat="1" hidden="1" x14ac:dyDescent="0.25">
      <c r="A10" s="503"/>
      <c r="B10" s="504"/>
      <c r="C10" s="505"/>
      <c r="D10" s="506"/>
      <c r="F10" s="388"/>
      <c r="G10" s="388"/>
      <c r="H10" s="388"/>
    </row>
    <row r="11" spans="1:21" s="388" customFormat="1" hidden="1" x14ac:dyDescent="0.25">
      <c r="A11" s="439" t="s">
        <v>134</v>
      </c>
      <c r="N11" s="440"/>
      <c r="O11" s="440"/>
      <c r="T11" s="440"/>
      <c r="U11" s="440"/>
    </row>
    <row r="12" spans="1:21" s="388" customFormat="1" ht="17.25" hidden="1" customHeight="1" x14ac:dyDescent="0.35">
      <c r="A12" s="388" t="s">
        <v>135</v>
      </c>
      <c r="C12" s="441" t="s">
        <v>178</v>
      </c>
      <c r="N12" s="440"/>
      <c r="O12" s="440"/>
      <c r="T12" s="440"/>
      <c r="U12" s="440"/>
    </row>
    <row r="13" spans="1:21" s="388" customFormat="1" ht="21.75" hidden="1" customHeight="1" thickBot="1" x14ac:dyDescent="0.3">
      <c r="A13" s="430" t="s">
        <v>137</v>
      </c>
      <c r="C13" s="441"/>
      <c r="F13" s="441" t="s">
        <v>179</v>
      </c>
      <c r="I13" s="4"/>
      <c r="K13" s="430"/>
      <c r="N13" s="440"/>
      <c r="O13" s="440"/>
      <c r="T13" s="440"/>
      <c r="U13" s="440"/>
    </row>
    <row r="14" spans="1:21" s="388" customFormat="1" ht="30.75" customHeight="1" thickBot="1" x14ac:dyDescent="0.3">
      <c r="A14" s="623" t="s">
        <v>139</v>
      </c>
      <c r="B14" s="624"/>
      <c r="C14" s="624"/>
      <c r="D14" s="625"/>
      <c r="F14" s="389" t="s">
        <v>140</v>
      </c>
      <c r="N14" s="440"/>
      <c r="O14" s="440"/>
      <c r="T14" s="440"/>
      <c r="U14" s="440"/>
    </row>
    <row r="15" spans="1:21" s="388" customFormat="1" x14ac:dyDescent="0.25">
      <c r="A15" s="456" t="s">
        <v>119</v>
      </c>
      <c r="B15" s="457">
        <f>H6</f>
        <v>0.06</v>
      </c>
      <c r="C15" s="458" t="s">
        <v>141</v>
      </c>
      <c r="D15" s="459">
        <f>1-B15</f>
        <v>0.94</v>
      </c>
      <c r="E15" s="430"/>
      <c r="F15" s="460" t="s">
        <v>142</v>
      </c>
      <c r="G15" s="461"/>
      <c r="H15" s="430"/>
      <c r="I15" s="430"/>
      <c r="J15" s="430"/>
      <c r="N15" s="440"/>
      <c r="O15" s="440"/>
      <c r="T15" s="440"/>
      <c r="U15" s="440"/>
    </row>
    <row r="16" spans="1:21" s="388" customFormat="1" x14ac:dyDescent="0.25">
      <c r="A16" s="462" t="s">
        <v>143</v>
      </c>
      <c r="B16" s="463">
        <f>B8</f>
        <v>4.1999999999999996E-2</v>
      </c>
      <c r="C16" s="464" t="s">
        <v>144</v>
      </c>
      <c r="D16" s="465">
        <f>1-B16</f>
        <v>0.95799999999999996</v>
      </c>
      <c r="E16" s="430"/>
      <c r="F16" s="466" t="s">
        <v>145</v>
      </c>
      <c r="G16" s="461"/>
      <c r="H16" s="430"/>
      <c r="I16" s="430"/>
      <c r="J16" s="430"/>
      <c r="N16" s="440"/>
      <c r="O16" s="440"/>
      <c r="T16" s="440"/>
      <c r="U16" s="440"/>
    </row>
    <row r="17" spans="1:21" s="388" customFormat="1" x14ac:dyDescent="0.25">
      <c r="A17" s="467" t="s">
        <v>146</v>
      </c>
      <c r="B17" s="468">
        <f>(B15+B16)/2</f>
        <v>5.0999999999999997E-2</v>
      </c>
      <c r="C17" s="464" t="s">
        <v>147</v>
      </c>
      <c r="D17" s="465">
        <f>1-B17</f>
        <v>0.94899999999999995</v>
      </c>
      <c r="E17" s="430"/>
      <c r="F17" s="430"/>
      <c r="G17" s="430"/>
      <c r="H17" s="469"/>
      <c r="I17" s="430"/>
      <c r="J17" s="430"/>
      <c r="N17" s="440"/>
      <c r="O17" s="440"/>
      <c r="T17" s="440"/>
      <c r="U17" s="440"/>
    </row>
    <row r="18" spans="1:21" s="388" customFormat="1" x14ac:dyDescent="0.25">
      <c r="A18" s="470" t="s">
        <v>148</v>
      </c>
      <c r="B18" s="471">
        <v>0.05</v>
      </c>
      <c r="C18" s="472" t="s">
        <v>149</v>
      </c>
      <c r="D18" s="465">
        <f>-NORMSINV((B18*100/2)/100)</f>
        <v>1.9599639845400538</v>
      </c>
      <c r="E18" s="430"/>
      <c r="F18" s="473" t="s">
        <v>150</v>
      </c>
      <c r="G18" s="474"/>
      <c r="H18" s="475"/>
      <c r="I18" s="474"/>
      <c r="J18" s="476"/>
      <c r="N18" s="440"/>
      <c r="O18" s="440"/>
      <c r="T18" s="440"/>
      <c r="U18" s="440"/>
    </row>
    <row r="19" spans="1:21" s="388" customFormat="1" x14ac:dyDescent="0.25">
      <c r="A19" s="470" t="s">
        <v>151</v>
      </c>
      <c r="B19" s="471">
        <v>0.1</v>
      </c>
      <c r="C19" s="472" t="s">
        <v>152</v>
      </c>
      <c r="D19" s="465">
        <f>-NORMSINV(B19)</f>
        <v>1.2815515655446006</v>
      </c>
      <c r="E19" s="430"/>
      <c r="F19" s="477">
        <f>B22*B15</f>
        <v>188.4</v>
      </c>
      <c r="G19" s="478" t="s">
        <v>176</v>
      </c>
      <c r="H19" s="479"/>
      <c r="I19" s="480"/>
      <c r="J19" s="481"/>
      <c r="N19" s="440"/>
      <c r="O19" s="440"/>
      <c r="T19" s="440"/>
      <c r="U19" s="440"/>
    </row>
    <row r="20" spans="1:21" s="388" customFormat="1" x14ac:dyDescent="0.25">
      <c r="A20" s="470" t="s">
        <v>153</v>
      </c>
      <c r="B20" s="468">
        <f>2*B17*D17*(D18+D19)^2</f>
        <v>1.0170975375013289</v>
      </c>
      <c r="C20" s="482"/>
      <c r="D20" s="483"/>
      <c r="E20" s="430"/>
      <c r="F20" s="484">
        <f>B22*B16</f>
        <v>131.88</v>
      </c>
      <c r="G20" s="485" t="s">
        <v>175</v>
      </c>
      <c r="H20" s="474"/>
      <c r="I20" s="474"/>
      <c r="J20" s="476"/>
      <c r="N20" s="440"/>
      <c r="O20" s="440"/>
      <c r="T20" s="440"/>
      <c r="U20" s="440"/>
    </row>
    <row r="21" spans="1:21" s="388" customFormat="1" x14ac:dyDescent="0.25">
      <c r="A21" s="470" t="s">
        <v>154</v>
      </c>
      <c r="B21" s="486">
        <f>(B15-B16)^2</f>
        <v>3.2400000000000007E-4</v>
      </c>
      <c r="C21" s="449"/>
      <c r="D21" s="483"/>
      <c r="E21" s="430"/>
      <c r="F21" s="487">
        <f>SUM(F19:F20)</f>
        <v>320.27999999999997</v>
      </c>
      <c r="G21" s="488" t="s">
        <v>155</v>
      </c>
      <c r="H21" s="474"/>
      <c r="I21" s="474"/>
      <c r="J21" s="476"/>
      <c r="N21" s="440"/>
      <c r="O21" s="440"/>
      <c r="T21" s="440"/>
      <c r="U21" s="440"/>
    </row>
    <row r="22" spans="1:21" s="388" customFormat="1" x14ac:dyDescent="0.25">
      <c r="A22" s="489" t="s">
        <v>156</v>
      </c>
      <c r="B22" s="431">
        <f>ROUNDUP(B20/B21,0)</f>
        <v>3140</v>
      </c>
      <c r="C22" s="490"/>
      <c r="D22" s="483"/>
      <c r="E22" s="430"/>
      <c r="F22" s="491"/>
      <c r="G22" s="492"/>
      <c r="H22" s="491"/>
      <c r="I22" s="430"/>
      <c r="J22" s="430"/>
      <c r="N22" s="440"/>
      <c r="O22" s="440"/>
      <c r="T22" s="440"/>
      <c r="U22" s="440"/>
    </row>
    <row r="23" spans="1:21" s="388" customFormat="1" ht="15.75" thickBot="1" x14ac:dyDescent="0.3">
      <c r="A23" s="493" t="s">
        <v>157</v>
      </c>
      <c r="B23" s="494">
        <f>B22*2</f>
        <v>6280</v>
      </c>
      <c r="C23" s="495"/>
      <c r="D23" s="496"/>
      <c r="E23" s="430"/>
      <c r="F23" s="430"/>
      <c r="G23" s="430"/>
      <c r="H23" s="497"/>
      <c r="I23" s="430"/>
      <c r="J23" s="430"/>
      <c r="N23" s="440"/>
      <c r="O23" s="440"/>
      <c r="T23" s="440"/>
      <c r="U23" s="440"/>
    </row>
    <row r="24" spans="1:21" s="388" customFormat="1" ht="9" customHeight="1" x14ac:dyDescent="0.25">
      <c r="G24" s="427"/>
    </row>
    <row r="25" spans="1:21" s="388" customFormat="1" x14ac:dyDescent="0.25">
      <c r="A25" s="395" t="s">
        <v>158</v>
      </c>
      <c r="B25" s="421"/>
      <c r="C25" s="395" t="s">
        <v>159</v>
      </c>
    </row>
    <row r="26" spans="1:21" s="388" customFormat="1" ht="6.75" customHeight="1" x14ac:dyDescent="0.25"/>
    <row r="27" spans="1:21" s="388" customFormat="1" x14ac:dyDescent="0.25">
      <c r="A27" s="428" t="s">
        <v>160</v>
      </c>
      <c r="B27" s="429">
        <v>0.03</v>
      </c>
      <c r="C27" s="430" t="s">
        <v>161</v>
      </c>
      <c r="D27" s="431">
        <f>B22*1/(1-B27)</f>
        <v>3237.1134020618556</v>
      </c>
    </row>
    <row r="28" spans="1:21" x14ac:dyDescent="0.25">
      <c r="H28" s="4"/>
      <c r="I28" s="4"/>
      <c r="J28" s="4"/>
    </row>
    <row r="29" spans="1:21" x14ac:dyDescent="0.25">
      <c r="H29" s="4"/>
      <c r="I29" s="4"/>
      <c r="J29" s="4"/>
    </row>
    <row r="30" spans="1:21" x14ac:dyDescent="0.25">
      <c r="H30" s="4"/>
      <c r="I30" s="11"/>
      <c r="J30" s="11"/>
      <c r="K30" s="11"/>
      <c r="L30" s="11"/>
      <c r="M30" s="11"/>
      <c r="N30" s="11"/>
      <c r="O30" s="11"/>
      <c r="P30" s="11"/>
      <c r="Q30" s="11"/>
    </row>
    <row r="31" spans="1:21" x14ac:dyDescent="0.25">
      <c r="I31" s="198"/>
      <c r="J31" s="507"/>
      <c r="K31" s="508"/>
      <c r="L31" s="198"/>
      <c r="M31" s="198"/>
      <c r="N31" s="507"/>
      <c r="O31" s="198"/>
      <c r="P31" s="198"/>
      <c r="Q31" s="509"/>
    </row>
    <row r="32" spans="1:21" x14ac:dyDescent="0.25">
      <c r="D32" s="432"/>
      <c r="I32" s="8"/>
      <c r="J32" s="39"/>
      <c r="K32" s="510"/>
      <c r="L32" s="51"/>
      <c r="M32" s="51"/>
      <c r="N32" s="51"/>
      <c r="O32" s="67"/>
      <c r="P32" s="51"/>
      <c r="Q32" s="511"/>
    </row>
  </sheetData>
  <mergeCells count="3">
    <mergeCell ref="A2:I2"/>
    <mergeCell ref="A3:I3"/>
    <mergeCell ref="A14:D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C23" sqref="C23"/>
    </sheetView>
  </sheetViews>
  <sheetFormatPr baseColWidth="10" defaultRowHeight="12.75" x14ac:dyDescent="0.2"/>
  <cols>
    <col min="1" max="1" width="27.42578125" style="4" customWidth="1"/>
    <col min="2" max="2" width="14" style="4" customWidth="1"/>
    <col min="3" max="3" width="10.7109375" style="4" customWidth="1"/>
    <col min="4" max="4" width="9.42578125" style="4" customWidth="1"/>
    <col min="5" max="5" width="6.28515625" style="4" customWidth="1"/>
    <col min="6" max="6" width="11.7109375" style="4" customWidth="1"/>
    <col min="7" max="7" width="14.42578125" style="4" customWidth="1"/>
    <col min="8" max="9" width="11.42578125" style="4"/>
    <col min="10" max="10" width="30" style="4" customWidth="1"/>
    <col min="11" max="256" width="11.42578125" style="4"/>
    <col min="257" max="257" width="27.42578125" style="4" customWidth="1"/>
    <col min="258" max="258" width="14" style="4" customWidth="1"/>
    <col min="259" max="259" width="10.7109375" style="4" customWidth="1"/>
    <col min="260" max="260" width="9.42578125" style="4" customWidth="1"/>
    <col min="261" max="261" width="6.28515625" style="4" customWidth="1"/>
    <col min="262" max="262" width="11.7109375" style="4" customWidth="1"/>
    <col min="263" max="263" width="14.42578125" style="4" customWidth="1"/>
    <col min="264" max="512" width="11.42578125" style="4"/>
    <col min="513" max="513" width="27.42578125" style="4" customWidth="1"/>
    <col min="514" max="514" width="14" style="4" customWidth="1"/>
    <col min="515" max="515" width="10.7109375" style="4" customWidth="1"/>
    <col min="516" max="516" width="9.42578125" style="4" customWidth="1"/>
    <col min="517" max="517" width="6.28515625" style="4" customWidth="1"/>
    <col min="518" max="518" width="11.7109375" style="4" customWidth="1"/>
    <col min="519" max="519" width="14.42578125" style="4" customWidth="1"/>
    <col min="520" max="768" width="11.42578125" style="4"/>
    <col min="769" max="769" width="27.42578125" style="4" customWidth="1"/>
    <col min="770" max="770" width="14" style="4" customWidth="1"/>
    <col min="771" max="771" width="10.7109375" style="4" customWidth="1"/>
    <col min="772" max="772" width="9.42578125" style="4" customWidth="1"/>
    <col min="773" max="773" width="6.28515625" style="4" customWidth="1"/>
    <col min="774" max="774" width="11.7109375" style="4" customWidth="1"/>
    <col min="775" max="775" width="14.42578125" style="4" customWidth="1"/>
    <col min="776" max="1024" width="11.42578125" style="4"/>
    <col min="1025" max="1025" width="27.42578125" style="4" customWidth="1"/>
    <col min="1026" max="1026" width="14" style="4" customWidth="1"/>
    <col min="1027" max="1027" width="10.7109375" style="4" customWidth="1"/>
    <col min="1028" max="1028" width="9.42578125" style="4" customWidth="1"/>
    <col min="1029" max="1029" width="6.28515625" style="4" customWidth="1"/>
    <col min="1030" max="1030" width="11.7109375" style="4" customWidth="1"/>
    <col min="1031" max="1031" width="14.42578125" style="4" customWidth="1"/>
    <col min="1032" max="1280" width="11.42578125" style="4"/>
    <col min="1281" max="1281" width="27.42578125" style="4" customWidth="1"/>
    <col min="1282" max="1282" width="14" style="4" customWidth="1"/>
    <col min="1283" max="1283" width="10.7109375" style="4" customWidth="1"/>
    <col min="1284" max="1284" width="9.42578125" style="4" customWidth="1"/>
    <col min="1285" max="1285" width="6.28515625" style="4" customWidth="1"/>
    <col min="1286" max="1286" width="11.7109375" style="4" customWidth="1"/>
    <col min="1287" max="1287" width="14.42578125" style="4" customWidth="1"/>
    <col min="1288" max="1536" width="11.42578125" style="4"/>
    <col min="1537" max="1537" width="27.42578125" style="4" customWidth="1"/>
    <col min="1538" max="1538" width="14" style="4" customWidth="1"/>
    <col min="1539" max="1539" width="10.7109375" style="4" customWidth="1"/>
    <col min="1540" max="1540" width="9.42578125" style="4" customWidth="1"/>
    <col min="1541" max="1541" width="6.28515625" style="4" customWidth="1"/>
    <col min="1542" max="1542" width="11.7109375" style="4" customWidth="1"/>
    <col min="1543" max="1543" width="14.42578125" style="4" customWidth="1"/>
    <col min="1544" max="1792" width="11.42578125" style="4"/>
    <col min="1793" max="1793" width="27.42578125" style="4" customWidth="1"/>
    <col min="1794" max="1794" width="14" style="4" customWidth="1"/>
    <col min="1795" max="1795" width="10.7109375" style="4" customWidth="1"/>
    <col min="1796" max="1796" width="9.42578125" style="4" customWidth="1"/>
    <col min="1797" max="1797" width="6.28515625" style="4" customWidth="1"/>
    <col min="1798" max="1798" width="11.7109375" style="4" customWidth="1"/>
    <col min="1799" max="1799" width="14.42578125" style="4" customWidth="1"/>
    <col min="1800" max="2048" width="11.42578125" style="4"/>
    <col min="2049" max="2049" width="27.42578125" style="4" customWidth="1"/>
    <col min="2050" max="2050" width="14" style="4" customWidth="1"/>
    <col min="2051" max="2051" width="10.7109375" style="4" customWidth="1"/>
    <col min="2052" max="2052" width="9.42578125" style="4" customWidth="1"/>
    <col min="2053" max="2053" width="6.28515625" style="4" customWidth="1"/>
    <col min="2054" max="2054" width="11.7109375" style="4" customWidth="1"/>
    <col min="2055" max="2055" width="14.42578125" style="4" customWidth="1"/>
    <col min="2056" max="2304" width="11.42578125" style="4"/>
    <col min="2305" max="2305" width="27.42578125" style="4" customWidth="1"/>
    <col min="2306" max="2306" width="14" style="4" customWidth="1"/>
    <col min="2307" max="2307" width="10.7109375" style="4" customWidth="1"/>
    <col min="2308" max="2308" width="9.42578125" style="4" customWidth="1"/>
    <col min="2309" max="2309" width="6.28515625" style="4" customWidth="1"/>
    <col min="2310" max="2310" width="11.7109375" style="4" customWidth="1"/>
    <col min="2311" max="2311" width="14.42578125" style="4" customWidth="1"/>
    <col min="2312" max="2560" width="11.42578125" style="4"/>
    <col min="2561" max="2561" width="27.42578125" style="4" customWidth="1"/>
    <col min="2562" max="2562" width="14" style="4" customWidth="1"/>
    <col min="2563" max="2563" width="10.7109375" style="4" customWidth="1"/>
    <col min="2564" max="2564" width="9.42578125" style="4" customWidth="1"/>
    <col min="2565" max="2565" width="6.28515625" style="4" customWidth="1"/>
    <col min="2566" max="2566" width="11.7109375" style="4" customWidth="1"/>
    <col min="2567" max="2567" width="14.42578125" style="4" customWidth="1"/>
    <col min="2568" max="2816" width="11.42578125" style="4"/>
    <col min="2817" max="2817" width="27.42578125" style="4" customWidth="1"/>
    <col min="2818" max="2818" width="14" style="4" customWidth="1"/>
    <col min="2819" max="2819" width="10.7109375" style="4" customWidth="1"/>
    <col min="2820" max="2820" width="9.42578125" style="4" customWidth="1"/>
    <col min="2821" max="2821" width="6.28515625" style="4" customWidth="1"/>
    <col min="2822" max="2822" width="11.7109375" style="4" customWidth="1"/>
    <col min="2823" max="2823" width="14.42578125" style="4" customWidth="1"/>
    <col min="2824" max="3072" width="11.42578125" style="4"/>
    <col min="3073" max="3073" width="27.42578125" style="4" customWidth="1"/>
    <col min="3074" max="3074" width="14" style="4" customWidth="1"/>
    <col min="3075" max="3075" width="10.7109375" style="4" customWidth="1"/>
    <col min="3076" max="3076" width="9.42578125" style="4" customWidth="1"/>
    <col min="3077" max="3077" width="6.28515625" style="4" customWidth="1"/>
    <col min="3078" max="3078" width="11.7109375" style="4" customWidth="1"/>
    <col min="3079" max="3079" width="14.42578125" style="4" customWidth="1"/>
    <col min="3080" max="3328" width="11.42578125" style="4"/>
    <col min="3329" max="3329" width="27.42578125" style="4" customWidth="1"/>
    <col min="3330" max="3330" width="14" style="4" customWidth="1"/>
    <col min="3331" max="3331" width="10.7109375" style="4" customWidth="1"/>
    <col min="3332" max="3332" width="9.42578125" style="4" customWidth="1"/>
    <col min="3333" max="3333" width="6.28515625" style="4" customWidth="1"/>
    <col min="3334" max="3334" width="11.7109375" style="4" customWidth="1"/>
    <col min="3335" max="3335" width="14.42578125" style="4" customWidth="1"/>
    <col min="3336" max="3584" width="11.42578125" style="4"/>
    <col min="3585" max="3585" width="27.42578125" style="4" customWidth="1"/>
    <col min="3586" max="3586" width="14" style="4" customWidth="1"/>
    <col min="3587" max="3587" width="10.7109375" style="4" customWidth="1"/>
    <col min="3588" max="3588" width="9.42578125" style="4" customWidth="1"/>
    <col min="3589" max="3589" width="6.28515625" style="4" customWidth="1"/>
    <col min="3590" max="3590" width="11.7109375" style="4" customWidth="1"/>
    <col min="3591" max="3591" width="14.42578125" style="4" customWidth="1"/>
    <col min="3592" max="3840" width="11.42578125" style="4"/>
    <col min="3841" max="3841" width="27.42578125" style="4" customWidth="1"/>
    <col min="3842" max="3842" width="14" style="4" customWidth="1"/>
    <col min="3843" max="3843" width="10.7109375" style="4" customWidth="1"/>
    <col min="3844" max="3844" width="9.42578125" style="4" customWidth="1"/>
    <col min="3845" max="3845" width="6.28515625" style="4" customWidth="1"/>
    <col min="3846" max="3846" width="11.7109375" style="4" customWidth="1"/>
    <col min="3847" max="3847" width="14.42578125" style="4" customWidth="1"/>
    <col min="3848" max="4096" width="11.42578125" style="4"/>
    <col min="4097" max="4097" width="27.42578125" style="4" customWidth="1"/>
    <col min="4098" max="4098" width="14" style="4" customWidth="1"/>
    <col min="4099" max="4099" width="10.7109375" style="4" customWidth="1"/>
    <col min="4100" max="4100" width="9.42578125" style="4" customWidth="1"/>
    <col min="4101" max="4101" width="6.28515625" style="4" customWidth="1"/>
    <col min="4102" max="4102" width="11.7109375" style="4" customWidth="1"/>
    <col min="4103" max="4103" width="14.42578125" style="4" customWidth="1"/>
    <col min="4104" max="4352" width="11.42578125" style="4"/>
    <col min="4353" max="4353" width="27.42578125" style="4" customWidth="1"/>
    <col min="4354" max="4354" width="14" style="4" customWidth="1"/>
    <col min="4355" max="4355" width="10.7109375" style="4" customWidth="1"/>
    <col min="4356" max="4356" width="9.42578125" style="4" customWidth="1"/>
    <col min="4357" max="4357" width="6.28515625" style="4" customWidth="1"/>
    <col min="4358" max="4358" width="11.7109375" style="4" customWidth="1"/>
    <col min="4359" max="4359" width="14.42578125" style="4" customWidth="1"/>
    <col min="4360" max="4608" width="11.42578125" style="4"/>
    <col min="4609" max="4609" width="27.42578125" style="4" customWidth="1"/>
    <col min="4610" max="4610" width="14" style="4" customWidth="1"/>
    <col min="4611" max="4611" width="10.7109375" style="4" customWidth="1"/>
    <col min="4612" max="4612" width="9.42578125" style="4" customWidth="1"/>
    <col min="4613" max="4613" width="6.28515625" style="4" customWidth="1"/>
    <col min="4614" max="4614" width="11.7109375" style="4" customWidth="1"/>
    <col min="4615" max="4615" width="14.42578125" style="4" customWidth="1"/>
    <col min="4616" max="4864" width="11.42578125" style="4"/>
    <col min="4865" max="4865" width="27.42578125" style="4" customWidth="1"/>
    <col min="4866" max="4866" width="14" style="4" customWidth="1"/>
    <col min="4867" max="4867" width="10.7109375" style="4" customWidth="1"/>
    <col min="4868" max="4868" width="9.42578125" style="4" customWidth="1"/>
    <col min="4869" max="4869" width="6.28515625" style="4" customWidth="1"/>
    <col min="4870" max="4870" width="11.7109375" style="4" customWidth="1"/>
    <col min="4871" max="4871" width="14.42578125" style="4" customWidth="1"/>
    <col min="4872" max="5120" width="11.42578125" style="4"/>
    <col min="5121" max="5121" width="27.42578125" style="4" customWidth="1"/>
    <col min="5122" max="5122" width="14" style="4" customWidth="1"/>
    <col min="5123" max="5123" width="10.7109375" style="4" customWidth="1"/>
    <col min="5124" max="5124" width="9.42578125" style="4" customWidth="1"/>
    <col min="5125" max="5125" width="6.28515625" style="4" customWidth="1"/>
    <col min="5126" max="5126" width="11.7109375" style="4" customWidth="1"/>
    <col min="5127" max="5127" width="14.42578125" style="4" customWidth="1"/>
    <col min="5128" max="5376" width="11.42578125" style="4"/>
    <col min="5377" max="5377" width="27.42578125" style="4" customWidth="1"/>
    <col min="5378" max="5378" width="14" style="4" customWidth="1"/>
    <col min="5379" max="5379" width="10.7109375" style="4" customWidth="1"/>
    <col min="5380" max="5380" width="9.42578125" style="4" customWidth="1"/>
    <col min="5381" max="5381" width="6.28515625" style="4" customWidth="1"/>
    <col min="5382" max="5382" width="11.7109375" style="4" customWidth="1"/>
    <col min="5383" max="5383" width="14.42578125" style="4" customWidth="1"/>
    <col min="5384" max="5632" width="11.42578125" style="4"/>
    <col min="5633" max="5633" width="27.42578125" style="4" customWidth="1"/>
    <col min="5634" max="5634" width="14" style="4" customWidth="1"/>
    <col min="5635" max="5635" width="10.7109375" style="4" customWidth="1"/>
    <col min="5636" max="5636" width="9.42578125" style="4" customWidth="1"/>
    <col min="5637" max="5637" width="6.28515625" style="4" customWidth="1"/>
    <col min="5638" max="5638" width="11.7109375" style="4" customWidth="1"/>
    <col min="5639" max="5639" width="14.42578125" style="4" customWidth="1"/>
    <col min="5640" max="5888" width="11.42578125" style="4"/>
    <col min="5889" max="5889" width="27.42578125" style="4" customWidth="1"/>
    <col min="5890" max="5890" width="14" style="4" customWidth="1"/>
    <col min="5891" max="5891" width="10.7109375" style="4" customWidth="1"/>
    <col min="5892" max="5892" width="9.42578125" style="4" customWidth="1"/>
    <col min="5893" max="5893" width="6.28515625" style="4" customWidth="1"/>
    <col min="5894" max="5894" width="11.7109375" style="4" customWidth="1"/>
    <col min="5895" max="5895" width="14.42578125" style="4" customWidth="1"/>
    <col min="5896" max="6144" width="11.42578125" style="4"/>
    <col min="6145" max="6145" width="27.42578125" style="4" customWidth="1"/>
    <col min="6146" max="6146" width="14" style="4" customWidth="1"/>
    <col min="6147" max="6147" width="10.7109375" style="4" customWidth="1"/>
    <col min="6148" max="6148" width="9.42578125" style="4" customWidth="1"/>
    <col min="6149" max="6149" width="6.28515625" style="4" customWidth="1"/>
    <col min="6150" max="6150" width="11.7109375" style="4" customWidth="1"/>
    <col min="6151" max="6151" width="14.42578125" style="4" customWidth="1"/>
    <col min="6152" max="6400" width="11.42578125" style="4"/>
    <col min="6401" max="6401" width="27.42578125" style="4" customWidth="1"/>
    <col min="6402" max="6402" width="14" style="4" customWidth="1"/>
    <col min="6403" max="6403" width="10.7109375" style="4" customWidth="1"/>
    <col min="6404" max="6404" width="9.42578125" style="4" customWidth="1"/>
    <col min="6405" max="6405" width="6.28515625" style="4" customWidth="1"/>
    <col min="6406" max="6406" width="11.7109375" style="4" customWidth="1"/>
    <col min="6407" max="6407" width="14.42578125" style="4" customWidth="1"/>
    <col min="6408" max="6656" width="11.42578125" style="4"/>
    <col min="6657" max="6657" width="27.42578125" style="4" customWidth="1"/>
    <col min="6658" max="6658" width="14" style="4" customWidth="1"/>
    <col min="6659" max="6659" width="10.7109375" style="4" customWidth="1"/>
    <col min="6660" max="6660" width="9.42578125" style="4" customWidth="1"/>
    <col min="6661" max="6661" width="6.28515625" style="4" customWidth="1"/>
    <col min="6662" max="6662" width="11.7109375" style="4" customWidth="1"/>
    <col min="6663" max="6663" width="14.42578125" style="4" customWidth="1"/>
    <col min="6664" max="6912" width="11.42578125" style="4"/>
    <col min="6913" max="6913" width="27.42578125" style="4" customWidth="1"/>
    <col min="6914" max="6914" width="14" style="4" customWidth="1"/>
    <col min="6915" max="6915" width="10.7109375" style="4" customWidth="1"/>
    <col min="6916" max="6916" width="9.42578125" style="4" customWidth="1"/>
    <col min="6917" max="6917" width="6.28515625" style="4" customWidth="1"/>
    <col min="6918" max="6918" width="11.7109375" style="4" customWidth="1"/>
    <col min="6919" max="6919" width="14.42578125" style="4" customWidth="1"/>
    <col min="6920" max="7168" width="11.42578125" style="4"/>
    <col min="7169" max="7169" width="27.42578125" style="4" customWidth="1"/>
    <col min="7170" max="7170" width="14" style="4" customWidth="1"/>
    <col min="7171" max="7171" width="10.7109375" style="4" customWidth="1"/>
    <col min="7172" max="7172" width="9.42578125" style="4" customWidth="1"/>
    <col min="7173" max="7173" width="6.28515625" style="4" customWidth="1"/>
    <col min="7174" max="7174" width="11.7109375" style="4" customWidth="1"/>
    <col min="7175" max="7175" width="14.42578125" style="4" customWidth="1"/>
    <col min="7176" max="7424" width="11.42578125" style="4"/>
    <col min="7425" max="7425" width="27.42578125" style="4" customWidth="1"/>
    <col min="7426" max="7426" width="14" style="4" customWidth="1"/>
    <col min="7427" max="7427" width="10.7109375" style="4" customWidth="1"/>
    <col min="7428" max="7428" width="9.42578125" style="4" customWidth="1"/>
    <col min="7429" max="7429" width="6.28515625" style="4" customWidth="1"/>
    <col min="7430" max="7430" width="11.7109375" style="4" customWidth="1"/>
    <col min="7431" max="7431" width="14.42578125" style="4" customWidth="1"/>
    <col min="7432" max="7680" width="11.42578125" style="4"/>
    <col min="7681" max="7681" width="27.42578125" style="4" customWidth="1"/>
    <col min="7682" max="7682" width="14" style="4" customWidth="1"/>
    <col min="7683" max="7683" width="10.7109375" style="4" customWidth="1"/>
    <col min="7684" max="7684" width="9.42578125" style="4" customWidth="1"/>
    <col min="7685" max="7685" width="6.28515625" style="4" customWidth="1"/>
    <col min="7686" max="7686" width="11.7109375" style="4" customWidth="1"/>
    <col min="7687" max="7687" width="14.42578125" style="4" customWidth="1"/>
    <col min="7688" max="7936" width="11.42578125" style="4"/>
    <col min="7937" max="7937" width="27.42578125" style="4" customWidth="1"/>
    <col min="7938" max="7938" width="14" style="4" customWidth="1"/>
    <col min="7939" max="7939" width="10.7109375" style="4" customWidth="1"/>
    <col min="7940" max="7940" width="9.42578125" style="4" customWidth="1"/>
    <col min="7941" max="7941" width="6.28515625" style="4" customWidth="1"/>
    <col min="7942" max="7942" width="11.7109375" style="4" customWidth="1"/>
    <col min="7943" max="7943" width="14.42578125" style="4" customWidth="1"/>
    <col min="7944" max="8192" width="11.42578125" style="4"/>
    <col min="8193" max="8193" width="27.42578125" style="4" customWidth="1"/>
    <col min="8194" max="8194" width="14" style="4" customWidth="1"/>
    <col min="8195" max="8195" width="10.7109375" style="4" customWidth="1"/>
    <col min="8196" max="8196" width="9.42578125" style="4" customWidth="1"/>
    <col min="8197" max="8197" width="6.28515625" style="4" customWidth="1"/>
    <col min="8198" max="8198" width="11.7109375" style="4" customWidth="1"/>
    <col min="8199" max="8199" width="14.42578125" style="4" customWidth="1"/>
    <col min="8200" max="8448" width="11.42578125" style="4"/>
    <col min="8449" max="8449" width="27.42578125" style="4" customWidth="1"/>
    <col min="8450" max="8450" width="14" style="4" customWidth="1"/>
    <col min="8451" max="8451" width="10.7109375" style="4" customWidth="1"/>
    <col min="8452" max="8452" width="9.42578125" style="4" customWidth="1"/>
    <col min="8453" max="8453" width="6.28515625" style="4" customWidth="1"/>
    <col min="8454" max="8454" width="11.7109375" style="4" customWidth="1"/>
    <col min="8455" max="8455" width="14.42578125" style="4" customWidth="1"/>
    <col min="8456" max="8704" width="11.42578125" style="4"/>
    <col min="8705" max="8705" width="27.42578125" style="4" customWidth="1"/>
    <col min="8706" max="8706" width="14" style="4" customWidth="1"/>
    <col min="8707" max="8707" width="10.7109375" style="4" customWidth="1"/>
    <col min="8708" max="8708" width="9.42578125" style="4" customWidth="1"/>
    <col min="8709" max="8709" width="6.28515625" style="4" customWidth="1"/>
    <col min="8710" max="8710" width="11.7109375" style="4" customWidth="1"/>
    <col min="8711" max="8711" width="14.42578125" style="4" customWidth="1"/>
    <col min="8712" max="8960" width="11.42578125" style="4"/>
    <col min="8961" max="8961" width="27.42578125" style="4" customWidth="1"/>
    <col min="8962" max="8962" width="14" style="4" customWidth="1"/>
    <col min="8963" max="8963" width="10.7109375" style="4" customWidth="1"/>
    <col min="8964" max="8964" width="9.42578125" style="4" customWidth="1"/>
    <col min="8965" max="8965" width="6.28515625" style="4" customWidth="1"/>
    <col min="8966" max="8966" width="11.7109375" style="4" customWidth="1"/>
    <col min="8967" max="8967" width="14.42578125" style="4" customWidth="1"/>
    <col min="8968" max="9216" width="11.42578125" style="4"/>
    <col min="9217" max="9217" width="27.42578125" style="4" customWidth="1"/>
    <col min="9218" max="9218" width="14" style="4" customWidth="1"/>
    <col min="9219" max="9219" width="10.7109375" style="4" customWidth="1"/>
    <col min="9220" max="9220" width="9.42578125" style="4" customWidth="1"/>
    <col min="9221" max="9221" width="6.28515625" style="4" customWidth="1"/>
    <col min="9222" max="9222" width="11.7109375" style="4" customWidth="1"/>
    <col min="9223" max="9223" width="14.42578125" style="4" customWidth="1"/>
    <col min="9224" max="9472" width="11.42578125" style="4"/>
    <col min="9473" max="9473" width="27.42578125" style="4" customWidth="1"/>
    <col min="9474" max="9474" width="14" style="4" customWidth="1"/>
    <col min="9475" max="9475" width="10.7109375" style="4" customWidth="1"/>
    <col min="9476" max="9476" width="9.42578125" style="4" customWidth="1"/>
    <col min="9477" max="9477" width="6.28515625" style="4" customWidth="1"/>
    <col min="9478" max="9478" width="11.7109375" style="4" customWidth="1"/>
    <col min="9479" max="9479" width="14.42578125" style="4" customWidth="1"/>
    <col min="9480" max="9728" width="11.42578125" style="4"/>
    <col min="9729" max="9729" width="27.42578125" style="4" customWidth="1"/>
    <col min="9730" max="9730" width="14" style="4" customWidth="1"/>
    <col min="9731" max="9731" width="10.7109375" style="4" customWidth="1"/>
    <col min="9732" max="9732" width="9.42578125" style="4" customWidth="1"/>
    <col min="9733" max="9733" width="6.28515625" style="4" customWidth="1"/>
    <col min="9734" max="9734" width="11.7109375" style="4" customWidth="1"/>
    <col min="9735" max="9735" width="14.42578125" style="4" customWidth="1"/>
    <col min="9736" max="9984" width="11.42578125" style="4"/>
    <col min="9985" max="9985" width="27.42578125" style="4" customWidth="1"/>
    <col min="9986" max="9986" width="14" style="4" customWidth="1"/>
    <col min="9987" max="9987" width="10.7109375" style="4" customWidth="1"/>
    <col min="9988" max="9988" width="9.42578125" style="4" customWidth="1"/>
    <col min="9989" max="9989" width="6.28515625" style="4" customWidth="1"/>
    <col min="9990" max="9990" width="11.7109375" style="4" customWidth="1"/>
    <col min="9991" max="9991" width="14.42578125" style="4" customWidth="1"/>
    <col min="9992" max="10240" width="11.42578125" style="4"/>
    <col min="10241" max="10241" width="27.42578125" style="4" customWidth="1"/>
    <col min="10242" max="10242" width="14" style="4" customWidth="1"/>
    <col min="10243" max="10243" width="10.7109375" style="4" customWidth="1"/>
    <col min="10244" max="10244" width="9.42578125" style="4" customWidth="1"/>
    <col min="10245" max="10245" width="6.28515625" style="4" customWidth="1"/>
    <col min="10246" max="10246" width="11.7109375" style="4" customWidth="1"/>
    <col min="10247" max="10247" width="14.42578125" style="4" customWidth="1"/>
    <col min="10248" max="10496" width="11.42578125" style="4"/>
    <col min="10497" max="10497" width="27.42578125" style="4" customWidth="1"/>
    <col min="10498" max="10498" width="14" style="4" customWidth="1"/>
    <col min="10499" max="10499" width="10.7109375" style="4" customWidth="1"/>
    <col min="10500" max="10500" width="9.42578125" style="4" customWidth="1"/>
    <col min="10501" max="10501" width="6.28515625" style="4" customWidth="1"/>
    <col min="10502" max="10502" width="11.7109375" style="4" customWidth="1"/>
    <col min="10503" max="10503" width="14.42578125" style="4" customWidth="1"/>
    <col min="10504" max="10752" width="11.42578125" style="4"/>
    <col min="10753" max="10753" width="27.42578125" style="4" customWidth="1"/>
    <col min="10754" max="10754" width="14" style="4" customWidth="1"/>
    <col min="10755" max="10755" width="10.7109375" style="4" customWidth="1"/>
    <col min="10756" max="10756" width="9.42578125" style="4" customWidth="1"/>
    <col min="10757" max="10757" width="6.28515625" style="4" customWidth="1"/>
    <col min="10758" max="10758" width="11.7109375" style="4" customWidth="1"/>
    <col min="10759" max="10759" width="14.42578125" style="4" customWidth="1"/>
    <col min="10760" max="11008" width="11.42578125" style="4"/>
    <col min="11009" max="11009" width="27.42578125" style="4" customWidth="1"/>
    <col min="11010" max="11010" width="14" style="4" customWidth="1"/>
    <col min="11011" max="11011" width="10.7109375" style="4" customWidth="1"/>
    <col min="11012" max="11012" width="9.42578125" style="4" customWidth="1"/>
    <col min="11013" max="11013" width="6.28515625" style="4" customWidth="1"/>
    <col min="11014" max="11014" width="11.7109375" style="4" customWidth="1"/>
    <col min="11015" max="11015" width="14.42578125" style="4" customWidth="1"/>
    <col min="11016" max="11264" width="11.42578125" style="4"/>
    <col min="11265" max="11265" width="27.42578125" style="4" customWidth="1"/>
    <col min="11266" max="11266" width="14" style="4" customWidth="1"/>
    <col min="11267" max="11267" width="10.7109375" style="4" customWidth="1"/>
    <col min="11268" max="11268" width="9.42578125" style="4" customWidth="1"/>
    <col min="11269" max="11269" width="6.28515625" style="4" customWidth="1"/>
    <col min="11270" max="11270" width="11.7109375" style="4" customWidth="1"/>
    <col min="11271" max="11271" width="14.42578125" style="4" customWidth="1"/>
    <col min="11272" max="11520" width="11.42578125" style="4"/>
    <col min="11521" max="11521" width="27.42578125" style="4" customWidth="1"/>
    <col min="11522" max="11522" width="14" style="4" customWidth="1"/>
    <col min="11523" max="11523" width="10.7109375" style="4" customWidth="1"/>
    <col min="11524" max="11524" width="9.42578125" style="4" customWidth="1"/>
    <col min="11525" max="11525" width="6.28515625" style="4" customWidth="1"/>
    <col min="11526" max="11526" width="11.7109375" style="4" customWidth="1"/>
    <col min="11527" max="11527" width="14.42578125" style="4" customWidth="1"/>
    <col min="11528" max="11776" width="11.42578125" style="4"/>
    <col min="11777" max="11777" width="27.42578125" style="4" customWidth="1"/>
    <col min="11778" max="11778" width="14" style="4" customWidth="1"/>
    <col min="11779" max="11779" width="10.7109375" style="4" customWidth="1"/>
    <col min="11780" max="11780" width="9.42578125" style="4" customWidth="1"/>
    <col min="11781" max="11781" width="6.28515625" style="4" customWidth="1"/>
    <col min="11782" max="11782" width="11.7109375" style="4" customWidth="1"/>
    <col min="11783" max="11783" width="14.42578125" style="4" customWidth="1"/>
    <col min="11784" max="12032" width="11.42578125" style="4"/>
    <col min="12033" max="12033" width="27.42578125" style="4" customWidth="1"/>
    <col min="12034" max="12034" width="14" style="4" customWidth="1"/>
    <col min="12035" max="12035" width="10.7109375" style="4" customWidth="1"/>
    <col min="12036" max="12036" width="9.42578125" style="4" customWidth="1"/>
    <col min="12037" max="12037" width="6.28515625" style="4" customWidth="1"/>
    <col min="12038" max="12038" width="11.7109375" style="4" customWidth="1"/>
    <col min="12039" max="12039" width="14.42578125" style="4" customWidth="1"/>
    <col min="12040" max="12288" width="11.42578125" style="4"/>
    <col min="12289" max="12289" width="27.42578125" style="4" customWidth="1"/>
    <col min="12290" max="12290" width="14" style="4" customWidth="1"/>
    <col min="12291" max="12291" width="10.7109375" style="4" customWidth="1"/>
    <col min="12292" max="12292" width="9.42578125" style="4" customWidth="1"/>
    <col min="12293" max="12293" width="6.28515625" style="4" customWidth="1"/>
    <col min="12294" max="12294" width="11.7109375" style="4" customWidth="1"/>
    <col min="12295" max="12295" width="14.42578125" style="4" customWidth="1"/>
    <col min="12296" max="12544" width="11.42578125" style="4"/>
    <col min="12545" max="12545" width="27.42578125" style="4" customWidth="1"/>
    <col min="12546" max="12546" width="14" style="4" customWidth="1"/>
    <col min="12547" max="12547" width="10.7109375" style="4" customWidth="1"/>
    <col min="12548" max="12548" width="9.42578125" style="4" customWidth="1"/>
    <col min="12549" max="12549" width="6.28515625" style="4" customWidth="1"/>
    <col min="12550" max="12550" width="11.7109375" style="4" customWidth="1"/>
    <col min="12551" max="12551" width="14.42578125" style="4" customWidth="1"/>
    <col min="12552" max="12800" width="11.42578125" style="4"/>
    <col min="12801" max="12801" width="27.42578125" style="4" customWidth="1"/>
    <col min="12802" max="12802" width="14" style="4" customWidth="1"/>
    <col min="12803" max="12803" width="10.7109375" style="4" customWidth="1"/>
    <col min="12804" max="12804" width="9.42578125" style="4" customWidth="1"/>
    <col min="12805" max="12805" width="6.28515625" style="4" customWidth="1"/>
    <col min="12806" max="12806" width="11.7109375" style="4" customWidth="1"/>
    <col min="12807" max="12807" width="14.42578125" style="4" customWidth="1"/>
    <col min="12808" max="13056" width="11.42578125" style="4"/>
    <col min="13057" max="13057" width="27.42578125" style="4" customWidth="1"/>
    <col min="13058" max="13058" width="14" style="4" customWidth="1"/>
    <col min="13059" max="13059" width="10.7109375" style="4" customWidth="1"/>
    <col min="13060" max="13060" width="9.42578125" style="4" customWidth="1"/>
    <col min="13061" max="13061" width="6.28515625" style="4" customWidth="1"/>
    <col min="13062" max="13062" width="11.7109375" style="4" customWidth="1"/>
    <col min="13063" max="13063" width="14.42578125" style="4" customWidth="1"/>
    <col min="13064" max="13312" width="11.42578125" style="4"/>
    <col min="13313" max="13313" width="27.42578125" style="4" customWidth="1"/>
    <col min="13314" max="13314" width="14" style="4" customWidth="1"/>
    <col min="13315" max="13315" width="10.7109375" style="4" customWidth="1"/>
    <col min="13316" max="13316" width="9.42578125" style="4" customWidth="1"/>
    <col min="13317" max="13317" width="6.28515625" style="4" customWidth="1"/>
    <col min="13318" max="13318" width="11.7109375" style="4" customWidth="1"/>
    <col min="13319" max="13319" width="14.42578125" style="4" customWidth="1"/>
    <col min="13320" max="13568" width="11.42578125" style="4"/>
    <col min="13569" max="13569" width="27.42578125" style="4" customWidth="1"/>
    <col min="13570" max="13570" width="14" style="4" customWidth="1"/>
    <col min="13571" max="13571" width="10.7109375" style="4" customWidth="1"/>
    <col min="13572" max="13572" width="9.42578125" style="4" customWidth="1"/>
    <col min="13573" max="13573" width="6.28515625" style="4" customWidth="1"/>
    <col min="13574" max="13574" width="11.7109375" style="4" customWidth="1"/>
    <col min="13575" max="13575" width="14.42578125" style="4" customWidth="1"/>
    <col min="13576" max="13824" width="11.42578125" style="4"/>
    <col min="13825" max="13825" width="27.42578125" style="4" customWidth="1"/>
    <col min="13826" max="13826" width="14" style="4" customWidth="1"/>
    <col min="13827" max="13827" width="10.7109375" style="4" customWidth="1"/>
    <col min="13828" max="13828" width="9.42578125" style="4" customWidth="1"/>
    <col min="13829" max="13829" width="6.28515625" style="4" customWidth="1"/>
    <col min="13830" max="13830" width="11.7109375" style="4" customWidth="1"/>
    <col min="13831" max="13831" width="14.42578125" style="4" customWidth="1"/>
    <col min="13832" max="14080" width="11.42578125" style="4"/>
    <col min="14081" max="14081" width="27.42578125" style="4" customWidth="1"/>
    <col min="14082" max="14082" width="14" style="4" customWidth="1"/>
    <col min="14083" max="14083" width="10.7109375" style="4" customWidth="1"/>
    <col min="14084" max="14084" width="9.42578125" style="4" customWidth="1"/>
    <col min="14085" max="14085" width="6.28515625" style="4" customWidth="1"/>
    <col min="14086" max="14086" width="11.7109375" style="4" customWidth="1"/>
    <col min="14087" max="14087" width="14.42578125" style="4" customWidth="1"/>
    <col min="14088" max="14336" width="11.42578125" style="4"/>
    <col min="14337" max="14337" width="27.42578125" style="4" customWidth="1"/>
    <col min="14338" max="14338" width="14" style="4" customWidth="1"/>
    <col min="14339" max="14339" width="10.7109375" style="4" customWidth="1"/>
    <col min="14340" max="14340" width="9.42578125" style="4" customWidth="1"/>
    <col min="14341" max="14341" width="6.28515625" style="4" customWidth="1"/>
    <col min="14342" max="14342" width="11.7109375" style="4" customWidth="1"/>
    <col min="14343" max="14343" width="14.42578125" style="4" customWidth="1"/>
    <col min="14344" max="14592" width="11.42578125" style="4"/>
    <col min="14593" max="14593" width="27.42578125" style="4" customWidth="1"/>
    <col min="14594" max="14594" width="14" style="4" customWidth="1"/>
    <col min="14595" max="14595" width="10.7109375" style="4" customWidth="1"/>
    <col min="14596" max="14596" width="9.42578125" style="4" customWidth="1"/>
    <col min="14597" max="14597" width="6.28515625" style="4" customWidth="1"/>
    <col min="14598" max="14598" width="11.7109375" style="4" customWidth="1"/>
    <col min="14599" max="14599" width="14.42578125" style="4" customWidth="1"/>
    <col min="14600" max="14848" width="11.42578125" style="4"/>
    <col min="14849" max="14849" width="27.42578125" style="4" customWidth="1"/>
    <col min="14850" max="14850" width="14" style="4" customWidth="1"/>
    <col min="14851" max="14851" width="10.7109375" style="4" customWidth="1"/>
    <col min="14852" max="14852" width="9.42578125" style="4" customWidth="1"/>
    <col min="14853" max="14853" width="6.28515625" style="4" customWidth="1"/>
    <col min="14854" max="14854" width="11.7109375" style="4" customWidth="1"/>
    <col min="14855" max="14855" width="14.42578125" style="4" customWidth="1"/>
    <col min="14856" max="15104" width="11.42578125" style="4"/>
    <col min="15105" max="15105" width="27.42578125" style="4" customWidth="1"/>
    <col min="15106" max="15106" width="14" style="4" customWidth="1"/>
    <col min="15107" max="15107" width="10.7109375" style="4" customWidth="1"/>
    <col min="15108" max="15108" width="9.42578125" style="4" customWidth="1"/>
    <col min="15109" max="15109" width="6.28515625" style="4" customWidth="1"/>
    <col min="15110" max="15110" width="11.7109375" style="4" customWidth="1"/>
    <col min="15111" max="15111" width="14.42578125" style="4" customWidth="1"/>
    <col min="15112" max="15360" width="11.42578125" style="4"/>
    <col min="15361" max="15361" width="27.42578125" style="4" customWidth="1"/>
    <col min="15362" max="15362" width="14" style="4" customWidth="1"/>
    <col min="15363" max="15363" width="10.7109375" style="4" customWidth="1"/>
    <col min="15364" max="15364" width="9.42578125" style="4" customWidth="1"/>
    <col min="15365" max="15365" width="6.28515625" style="4" customWidth="1"/>
    <col min="15366" max="15366" width="11.7109375" style="4" customWidth="1"/>
    <col min="15367" max="15367" width="14.42578125" style="4" customWidth="1"/>
    <col min="15368" max="15616" width="11.42578125" style="4"/>
    <col min="15617" max="15617" width="27.42578125" style="4" customWidth="1"/>
    <col min="15618" max="15618" width="14" style="4" customWidth="1"/>
    <col min="15619" max="15619" width="10.7109375" style="4" customWidth="1"/>
    <col min="15620" max="15620" width="9.42578125" style="4" customWidth="1"/>
    <col min="15621" max="15621" width="6.28515625" style="4" customWidth="1"/>
    <col min="15622" max="15622" width="11.7109375" style="4" customWidth="1"/>
    <col min="15623" max="15623" width="14.42578125" style="4" customWidth="1"/>
    <col min="15624" max="15872" width="11.42578125" style="4"/>
    <col min="15873" max="15873" width="27.42578125" style="4" customWidth="1"/>
    <col min="15874" max="15874" width="14" style="4" customWidth="1"/>
    <col min="15875" max="15875" width="10.7109375" style="4" customWidth="1"/>
    <col min="15876" max="15876" width="9.42578125" style="4" customWidth="1"/>
    <col min="15877" max="15877" width="6.28515625" style="4" customWidth="1"/>
    <col min="15878" max="15878" width="11.7109375" style="4" customWidth="1"/>
    <col min="15879" max="15879" width="14.42578125" style="4" customWidth="1"/>
    <col min="15880" max="16128" width="11.42578125" style="4"/>
    <col min="16129" max="16129" width="27.42578125" style="4" customWidth="1"/>
    <col min="16130" max="16130" width="14" style="4" customWidth="1"/>
    <col min="16131" max="16131" width="10.7109375" style="4" customWidth="1"/>
    <col min="16132" max="16132" width="9.42578125" style="4" customWidth="1"/>
    <col min="16133" max="16133" width="6.28515625" style="4" customWidth="1"/>
    <col min="16134" max="16134" width="11.7109375" style="4" customWidth="1"/>
    <col min="16135" max="16135" width="14.42578125" style="4" customWidth="1"/>
    <col min="16136" max="16384" width="11.42578125" style="4"/>
  </cols>
  <sheetData>
    <row r="1" spans="1:21" ht="13.5" thickBot="1" x14ac:dyDescent="0.25"/>
    <row r="2" spans="1:21" ht="19.5" thickBot="1" x14ac:dyDescent="0.25">
      <c r="A2" s="617" t="s">
        <v>125</v>
      </c>
      <c r="B2" s="618"/>
      <c r="C2" s="618"/>
      <c r="D2" s="618"/>
      <c r="E2" s="618"/>
      <c r="F2" s="618"/>
      <c r="G2" s="618"/>
      <c r="H2" s="618"/>
      <c r="I2" s="619"/>
    </row>
    <row r="3" spans="1:21" x14ac:dyDescent="0.2">
      <c r="A3" s="620" t="s">
        <v>126</v>
      </c>
      <c r="B3" s="621"/>
      <c r="C3" s="621"/>
      <c r="D3" s="621"/>
      <c r="E3" s="621"/>
      <c r="F3" s="621"/>
      <c r="G3" s="621"/>
      <c r="H3" s="621"/>
      <c r="I3" s="622"/>
    </row>
    <row r="4" spans="1:21" s="388" customFormat="1" ht="15.75" thickBot="1" x14ac:dyDescent="0.3">
      <c r="A4" s="433"/>
    </row>
    <row r="5" spans="1:21" s="388" customFormat="1" ht="17.25" x14ac:dyDescent="0.25">
      <c r="A5" s="372" t="s">
        <v>162</v>
      </c>
      <c r="B5" s="373" t="s">
        <v>163</v>
      </c>
      <c r="C5" s="374"/>
      <c r="D5" s="434" t="s">
        <v>164</v>
      </c>
      <c r="E5" s="374"/>
      <c r="F5" s="374"/>
      <c r="G5" s="374"/>
      <c r="H5" s="375"/>
    </row>
    <row r="6" spans="1:21" s="388" customFormat="1" ht="16.5" customHeight="1" x14ac:dyDescent="0.25">
      <c r="A6" s="376" t="s">
        <v>129</v>
      </c>
      <c r="B6" s="377">
        <v>1.2E-2</v>
      </c>
      <c r="C6" s="378" t="s">
        <v>130</v>
      </c>
      <c r="D6" s="379">
        <v>5</v>
      </c>
      <c r="E6" s="380" t="s">
        <v>76</v>
      </c>
      <c r="F6" s="381"/>
      <c r="G6" s="382" t="s">
        <v>165</v>
      </c>
      <c r="H6" s="435">
        <f>B6*D6</f>
        <v>0.06</v>
      </c>
    </row>
    <row r="7" spans="1:21" s="388" customFormat="1" ht="16.5" customHeight="1" x14ac:dyDescent="0.25">
      <c r="A7" s="383" t="s">
        <v>166</v>
      </c>
      <c r="B7" s="436">
        <v>0.69350000000000001</v>
      </c>
      <c r="C7" s="384"/>
      <c r="D7" s="384"/>
      <c r="E7" s="384"/>
      <c r="F7" s="384"/>
      <c r="G7" s="384"/>
      <c r="H7" s="385"/>
    </row>
    <row r="8" spans="1:21" s="388" customFormat="1" ht="18" thickBot="1" x14ac:dyDescent="0.3">
      <c r="A8" s="437" t="s">
        <v>167</v>
      </c>
      <c r="B8" s="438">
        <f>1-((1-H6)^B7)</f>
        <v>4.2002961621016244E-2</v>
      </c>
      <c r="C8" s="386"/>
      <c r="D8" s="386"/>
      <c r="E8" s="386"/>
      <c r="F8" s="386"/>
      <c r="G8" s="386"/>
      <c r="H8" s="387"/>
    </row>
    <row r="9" spans="1:21" s="388" customFormat="1" ht="15.75" thickBot="1" x14ac:dyDescent="0.3">
      <c r="A9" s="433"/>
    </row>
    <row r="10" spans="1:21" s="388" customFormat="1" ht="15.75" hidden="1" thickBot="1" x14ac:dyDescent="0.3">
      <c r="A10" s="439" t="s">
        <v>134</v>
      </c>
      <c r="N10" s="440"/>
      <c r="O10" s="440"/>
      <c r="T10" s="440"/>
      <c r="U10" s="440"/>
    </row>
    <row r="11" spans="1:21" s="388" customFormat="1" ht="15.75" hidden="1" thickBot="1" x14ac:dyDescent="0.3">
      <c r="A11" s="388" t="s">
        <v>135</v>
      </c>
      <c r="C11" s="441" t="s">
        <v>136</v>
      </c>
      <c r="N11" s="440"/>
      <c r="O11" s="440"/>
      <c r="T11" s="440"/>
      <c r="U11" s="440"/>
    </row>
    <row r="12" spans="1:21" s="388" customFormat="1" ht="15.75" hidden="1" thickBot="1" x14ac:dyDescent="0.3">
      <c r="A12" s="388" t="s">
        <v>137</v>
      </c>
      <c r="C12" s="441"/>
      <c r="F12" s="441" t="s">
        <v>138</v>
      </c>
      <c r="N12" s="440"/>
      <c r="O12" s="440"/>
      <c r="T12" s="440"/>
      <c r="U12" s="440"/>
    </row>
    <row r="13" spans="1:21" s="388" customFormat="1" ht="32.25" customHeight="1" x14ac:dyDescent="0.25">
      <c r="A13" s="626" t="s">
        <v>139</v>
      </c>
      <c r="B13" s="627"/>
      <c r="C13" s="627"/>
      <c r="D13" s="628"/>
      <c r="F13" s="389" t="s">
        <v>140</v>
      </c>
      <c r="G13" s="442"/>
      <c r="H13" s="442"/>
      <c r="I13" s="442"/>
      <c r="J13" s="442"/>
      <c r="N13" s="440"/>
      <c r="O13" s="440"/>
      <c r="T13" s="440"/>
      <c r="U13" s="440"/>
    </row>
    <row r="14" spans="1:21" s="388" customFormat="1" ht="15" x14ac:dyDescent="0.25">
      <c r="A14" s="392" t="s">
        <v>119</v>
      </c>
      <c r="B14" s="444">
        <f>H6</f>
        <v>0.06</v>
      </c>
      <c r="C14" s="393" t="s">
        <v>141</v>
      </c>
      <c r="D14" s="394">
        <f>1-B14</f>
        <v>0.94</v>
      </c>
      <c r="F14" s="390" t="s">
        <v>168</v>
      </c>
      <c r="G14" s="391"/>
      <c r="N14" s="440"/>
      <c r="O14" s="440"/>
      <c r="T14" s="440"/>
      <c r="U14" s="440"/>
    </row>
    <row r="15" spans="1:21" s="388" customFormat="1" ht="17.25" x14ac:dyDescent="0.25">
      <c r="A15" s="392" t="s">
        <v>143</v>
      </c>
      <c r="B15" s="444">
        <f>B8</f>
        <v>4.2002961621016244E-2</v>
      </c>
      <c r="C15" s="393" t="s">
        <v>144</v>
      </c>
      <c r="D15" s="394">
        <f>1-B15</f>
        <v>0.95799703837898376</v>
      </c>
      <c r="F15" s="395" t="s">
        <v>169</v>
      </c>
      <c r="G15" s="391"/>
      <c r="N15" s="440"/>
      <c r="O15" s="440"/>
      <c r="T15" s="440"/>
      <c r="U15" s="440"/>
    </row>
    <row r="16" spans="1:21" s="388" customFormat="1" ht="15" x14ac:dyDescent="0.25">
      <c r="A16" s="396" t="s">
        <v>146</v>
      </c>
      <c r="B16" s="397">
        <f>(B14+B15)/2</f>
        <v>5.1001480810508121E-2</v>
      </c>
      <c r="C16" s="393" t="s">
        <v>147</v>
      </c>
      <c r="D16" s="394">
        <f>1-B16</f>
        <v>0.94899851918949185</v>
      </c>
      <c r="H16" s="398"/>
      <c r="N16" s="440"/>
      <c r="O16" s="440"/>
      <c r="T16" s="440"/>
      <c r="U16" s="440"/>
    </row>
    <row r="17" spans="1:21" s="388" customFormat="1" ht="15" x14ac:dyDescent="0.25">
      <c r="A17" s="399" t="s">
        <v>148</v>
      </c>
      <c r="B17" s="443">
        <v>0.05</v>
      </c>
      <c r="C17" s="401" t="s">
        <v>149</v>
      </c>
      <c r="D17" s="394">
        <f>-NORMSINV((B17*100/2)/100)</f>
        <v>1.9599639845400538</v>
      </c>
      <c r="F17" s="402" t="s">
        <v>150</v>
      </c>
      <c r="G17" s="403"/>
      <c r="H17" s="404"/>
      <c r="I17" s="403"/>
      <c r="J17" s="405"/>
      <c r="N17" s="440"/>
      <c r="O17" s="440"/>
      <c r="T17" s="440"/>
      <c r="U17" s="440"/>
    </row>
    <row r="18" spans="1:21" s="388" customFormat="1" ht="15" x14ac:dyDescent="0.25">
      <c r="A18" s="399" t="s">
        <v>151</v>
      </c>
      <c r="B18" s="400">
        <v>0.1</v>
      </c>
      <c r="C18" s="401" t="s">
        <v>152</v>
      </c>
      <c r="D18" s="394">
        <f>-NORMSINV(B18)</f>
        <v>1.2815515655446006</v>
      </c>
      <c r="F18" s="406">
        <f>B21*B14</f>
        <v>188.45999999999998</v>
      </c>
      <c r="G18" s="407" t="s">
        <v>176</v>
      </c>
      <c r="H18" s="408"/>
      <c r="I18" s="409"/>
      <c r="J18" s="410"/>
      <c r="N18" s="440"/>
      <c r="O18" s="440"/>
      <c r="T18" s="440"/>
      <c r="U18" s="440"/>
    </row>
    <row r="19" spans="1:21" s="388" customFormat="1" ht="15" x14ac:dyDescent="0.25">
      <c r="A19" s="399" t="s">
        <v>153</v>
      </c>
      <c r="B19" s="397">
        <f>2*B16*D16*(D17+D18)^2</f>
        <v>1.0171254823217064</v>
      </c>
      <c r="C19" s="411"/>
      <c r="D19" s="412"/>
      <c r="F19" s="413">
        <f>B21*B15</f>
        <v>131.93130245161203</v>
      </c>
      <c r="G19" s="414" t="s">
        <v>175</v>
      </c>
      <c r="H19" s="403"/>
      <c r="I19" s="403"/>
      <c r="J19" s="405"/>
      <c r="N19" s="440"/>
      <c r="O19" s="440"/>
      <c r="T19" s="440"/>
      <c r="U19" s="440"/>
    </row>
    <row r="20" spans="1:21" s="388" customFormat="1" ht="15" x14ac:dyDescent="0.25">
      <c r="A20" s="399" t="s">
        <v>154</v>
      </c>
      <c r="B20" s="415">
        <f>(B14-B15)^2</f>
        <v>3.2389339041461417E-4</v>
      </c>
      <c r="C20" s="380"/>
      <c r="D20" s="412"/>
      <c r="F20" s="416">
        <f>SUM(F18:F19)</f>
        <v>320.39130245161198</v>
      </c>
      <c r="G20" s="417" t="s">
        <v>155</v>
      </c>
      <c r="H20" s="403"/>
      <c r="I20" s="403"/>
      <c r="J20" s="405"/>
      <c r="N20" s="440"/>
      <c r="O20" s="440"/>
      <c r="T20" s="440"/>
      <c r="U20" s="440"/>
    </row>
    <row r="21" spans="1:21" s="388" customFormat="1" ht="15" x14ac:dyDescent="0.25">
      <c r="A21" s="418" t="s">
        <v>156</v>
      </c>
      <c r="B21" s="419">
        <f>ROUNDUP(B19/B20,0)</f>
        <v>3141</v>
      </c>
      <c r="C21" s="420"/>
      <c r="D21" s="412"/>
      <c r="F21" s="421"/>
      <c r="G21" s="422"/>
      <c r="H21" s="421"/>
      <c r="N21" s="440"/>
      <c r="O21" s="440"/>
      <c r="T21" s="440"/>
      <c r="U21" s="440"/>
    </row>
    <row r="22" spans="1:21" s="388" customFormat="1" ht="15.75" thickBot="1" x14ac:dyDescent="0.3">
      <c r="A22" s="423" t="s">
        <v>157</v>
      </c>
      <c r="B22" s="424">
        <f>B21*2</f>
        <v>6282</v>
      </c>
      <c r="C22" s="425"/>
      <c r="D22" s="426"/>
      <c r="N22" s="440"/>
      <c r="O22" s="440"/>
      <c r="T22" s="440"/>
      <c r="U22" s="440"/>
    </row>
    <row r="23" spans="1:21" s="388" customFormat="1" ht="15" x14ac:dyDescent="0.25"/>
    <row r="24" spans="1:21" s="388" customFormat="1" ht="15" x14ac:dyDescent="0.25">
      <c r="A24" s="395" t="s">
        <v>170</v>
      </c>
      <c r="B24" s="421"/>
      <c r="C24" s="395" t="s">
        <v>159</v>
      </c>
    </row>
    <row r="25" spans="1:21" s="388" customFormat="1" ht="6.75" customHeight="1" x14ac:dyDescent="0.25"/>
    <row r="26" spans="1:21" s="388" customFormat="1" ht="15" x14ac:dyDescent="0.25">
      <c r="A26" s="428" t="s">
        <v>160</v>
      </c>
      <c r="B26" s="429">
        <v>0.03</v>
      </c>
      <c r="C26" s="430" t="s">
        <v>161</v>
      </c>
      <c r="D26" s="431">
        <f>B21*1/(1-B26)</f>
        <v>3238.1443298969075</v>
      </c>
    </row>
  </sheetData>
  <mergeCells count="3">
    <mergeCell ref="A2:I2"/>
    <mergeCell ref="A3:I3"/>
    <mergeCell ref="A13:D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NNT Inc Acum</vt:lpstr>
      <vt:lpstr>NNT desde HR</vt:lpstr>
      <vt:lpstr>NNT desde MA</vt:lpstr>
      <vt:lpstr>Tamaño por RR</vt:lpstr>
      <vt:lpstr>Tamaño por 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2016-11-06T08:31:21Z</dcterms:created>
  <dcterms:modified xsi:type="dcterms:W3CDTF">2017-04-06T05:02:46Z</dcterms:modified>
</cp:coreProperties>
</file>