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95" activeTab="0"/>
  </bookViews>
  <sheets>
    <sheet name="Cali y Sao ajust edad a Celade" sheetId="1" r:id="rId1"/>
    <sheet name="Ajuste edad" sheetId="2" r:id="rId2"/>
    <sheet name="Ajuste edad y ruralidad" sheetId="3" r:id="rId3"/>
  </sheets>
  <definedNames/>
  <calcPr fullCalcOnLoad="1"/>
</workbook>
</file>

<file path=xl/sharedStrings.xml><?xml version="1.0" encoding="utf-8"?>
<sst xmlns="http://schemas.openxmlformats.org/spreadsheetml/2006/main" count="253" uniqueCount="69">
  <si>
    <t>Cali</t>
  </si>
  <si>
    <t>&lt;15</t>
  </si>
  <si>
    <t>15-24</t>
  </si>
  <si>
    <t>25-34</t>
  </si>
  <si>
    <t>35-44</t>
  </si>
  <si>
    <t>45-54</t>
  </si>
  <si>
    <t>55-64</t>
  </si>
  <si>
    <t>65 y +</t>
  </si>
  <si>
    <t>São Paulo</t>
  </si>
  <si>
    <t>Tasa / 100.000</t>
  </si>
  <si>
    <t>Tasa / 100</t>
  </si>
  <si>
    <t>TASA BRUTA</t>
  </si>
  <si>
    <t>p =</t>
  </si>
  <si>
    <t>q = 1-p =</t>
  </si>
  <si>
    <t>Tasa bruta</t>
  </si>
  <si>
    <t>Sao</t>
  </si>
  <si>
    <t>Dif de tasas</t>
  </si>
  <si>
    <t>Estimación puntual</t>
  </si>
  <si>
    <t>Casos</t>
  </si>
  <si>
    <t>Población</t>
  </si>
  <si>
    <t>edad</t>
  </si>
  <si>
    <t>Ciudad</t>
  </si>
  <si>
    <t>MÉTODO DIRECTO DE AJUSTE DE TASAS POR EDAD,</t>
  </si>
  <si>
    <t>Tasas / 100.000 de cáncer de cuello uterino</t>
  </si>
  <si>
    <r>
      <t>Las poblaciones estándar externas son aquellas obtenidas de fuentes ajenas a los datos de análisis, por ejemplo, las propuestas por la Organización Mundial de la Salud (OMS), la Agencia Internacional de Investigación del Cáncer (IARC)</t>
    </r>
    <r>
      <rPr>
        <b/>
        <vertAlign val="superscript"/>
        <sz val="10"/>
        <color indexed="48"/>
        <rFont val="Calibri"/>
        <family val="2"/>
      </rPr>
      <t>1</t>
    </r>
    <r>
      <rPr>
        <sz val="10"/>
        <rFont val="Calibri"/>
        <family val="2"/>
      </rPr>
      <t xml:space="preserve"> o el Centro Latinoamericano de Demografía (CELADE)</t>
    </r>
    <r>
      <rPr>
        <vertAlign val="superscript"/>
        <sz val="10"/>
        <color indexed="48"/>
        <rFont val="Calibri"/>
        <family val="2"/>
      </rPr>
      <t>2</t>
    </r>
    <r>
      <rPr>
        <sz val="10"/>
        <rFont val="Calibri"/>
        <family val="2"/>
      </rPr>
      <t>, por citar algunos ejemplos. Su gran atractivo radica en que facilita la comparación de tasas a nivel internacional y a lo largo del tiempo.</t>
    </r>
  </si>
  <si>
    <r>
      <rPr>
        <b/>
        <vertAlign val="superscript"/>
        <sz val="9"/>
        <color indexed="48"/>
        <rFont val="Calibri"/>
        <family val="2"/>
      </rPr>
      <t>1</t>
    </r>
    <r>
      <rPr>
        <sz val="9"/>
        <rFont val="Calibri"/>
        <family val="2"/>
      </rPr>
      <t xml:space="preserve"> Waterhouse et al. Editores. </t>
    </r>
    <r>
      <rPr>
        <i/>
        <sz val="9"/>
        <rFont val="Calibri"/>
        <family val="2"/>
      </rPr>
      <t>Cancer incidence in five continents</t>
    </r>
    <r>
      <rPr>
        <sz val="9"/>
        <rFont val="Calibri"/>
        <family val="2"/>
      </rPr>
      <t>. Vol. 3 (anexo III). Lyon: IARC; 1976. p.456</t>
    </r>
  </si>
  <si>
    <r>
      <rPr>
        <b/>
        <vertAlign val="superscript"/>
        <sz val="9"/>
        <color indexed="12"/>
        <rFont val="Calibri"/>
        <family val="2"/>
      </rPr>
      <t>2</t>
    </r>
    <r>
      <rPr>
        <sz val="9"/>
        <rFont val="Calibri"/>
        <family val="2"/>
      </rPr>
      <t xml:space="preserve"> Celade. América Latina, proyecciones de población años calendarios 1950-2000. </t>
    </r>
    <r>
      <rPr>
        <i/>
        <sz val="9"/>
        <rFont val="Calibri"/>
        <family val="2"/>
      </rPr>
      <t xml:space="preserve">Boletín Demográfico </t>
    </r>
    <r>
      <rPr>
        <sz val="9"/>
        <rFont val="Calibri"/>
        <family val="2"/>
      </rPr>
      <t>1991; 48:31.</t>
    </r>
  </si>
  <si>
    <r>
      <rPr>
        <b/>
        <sz val="10"/>
        <color indexed="12"/>
        <rFont val="Calibri"/>
        <family val="2"/>
      </rPr>
      <t>CE</t>
    </r>
    <r>
      <rPr>
        <sz val="10"/>
        <rFont val="Calibri"/>
        <family val="2"/>
      </rPr>
      <t xml:space="preserve">ntro </t>
    </r>
    <r>
      <rPr>
        <b/>
        <sz val="10"/>
        <color indexed="12"/>
        <rFont val="Calibri"/>
        <family val="2"/>
      </rPr>
      <t>LA</t>
    </r>
    <r>
      <rPr>
        <sz val="10"/>
        <rFont val="Calibri"/>
        <family val="2"/>
      </rPr>
      <t xml:space="preserve">tinoamericano de </t>
    </r>
    <r>
      <rPr>
        <b/>
        <sz val="10"/>
        <color indexed="12"/>
        <rFont val="Calibri"/>
        <family val="2"/>
      </rPr>
      <t>DE</t>
    </r>
    <r>
      <rPr>
        <sz val="10"/>
        <rFont val="Calibri"/>
        <family val="2"/>
      </rPr>
      <t xml:space="preserve">mografía </t>
    </r>
    <r>
      <rPr>
        <sz val="10"/>
        <color indexed="12"/>
        <rFont val="Calibri"/>
        <family val="2"/>
      </rPr>
      <t>(CELADE)</t>
    </r>
  </si>
  <si>
    <r>
      <t xml:space="preserve">Tasa de Cali ajustada por edad (a la población de </t>
    </r>
    <r>
      <rPr>
        <b/>
        <sz val="10"/>
        <color indexed="12"/>
        <rFont val="Calibri"/>
        <family val="2"/>
      </rPr>
      <t>CELADE</t>
    </r>
    <r>
      <rPr>
        <b/>
        <sz val="10"/>
        <rFont val="Calibri"/>
        <family val="2"/>
      </rPr>
      <t>)</t>
    </r>
  </si>
  <si>
    <r>
      <t xml:space="preserve">Tasa de Sao ajustada por edad (a la población de </t>
    </r>
    <r>
      <rPr>
        <b/>
        <sz val="10"/>
        <color indexed="12"/>
        <rFont val="Calibri"/>
        <family val="2"/>
      </rPr>
      <t>CELADE</t>
    </r>
    <r>
      <rPr>
        <b/>
        <sz val="10"/>
        <rFont val="Calibri"/>
        <family val="2"/>
      </rPr>
      <t>)</t>
    </r>
  </si>
  <si>
    <t>Urbana</t>
  </si>
  <si>
    <t>Rural</t>
  </si>
  <si>
    <t xml:space="preserve">Casos </t>
  </si>
  <si>
    <t>Urbana+Rural</t>
  </si>
  <si>
    <t>Casos que habría en Sao al ajustar por tramos de edad de Cali</t>
  </si>
  <si>
    <t>Tasa/100.000 de Sao ajustada por edad y raralidad a Cali</t>
  </si>
  <si>
    <t>Casos que habría en Cali al ajustar por tramos de edad de Sao</t>
  </si>
  <si>
    <t>Tasa/100.000 de Cali ajustada por edad y raralidad a Sao</t>
  </si>
  <si>
    <t>TASAS BRUTAS</t>
  </si>
  <si>
    <t>Tasa/100.000 de Cali ajustada por edad a Sao</t>
  </si>
  <si>
    <t>Tasa/100.000 de Sao ajustada por edad a Cali</t>
  </si>
  <si>
    <t>Nota: Se trata de un ejemplo simulado con fines pedagógicos</t>
  </si>
  <si>
    <r>
      <t>DesvEst =</t>
    </r>
    <r>
      <rPr>
        <i/>
        <sz val="10"/>
        <rFont val="Calibri"/>
        <family val="2"/>
      </rPr>
      <t xml:space="preserve"> s</t>
    </r>
    <r>
      <rPr>
        <i/>
        <sz val="10"/>
        <rFont val="Calibri"/>
        <family val="2"/>
      </rPr>
      <t xml:space="preserve"> =</t>
    </r>
  </si>
  <si>
    <r>
      <t xml:space="preserve">EE = </t>
    </r>
    <r>
      <rPr>
        <i/>
        <sz val="10"/>
        <rFont val="Calibri"/>
        <family val="2"/>
      </rPr>
      <t>s</t>
    </r>
    <r>
      <rPr>
        <sz val="10"/>
        <rFont val="Calibri"/>
        <family val="2"/>
      </rPr>
      <t xml:space="preserve"> /Raíz(n) =</t>
    </r>
  </si>
  <si>
    <t>Límite inferior del IC al 95%</t>
  </si>
  <si>
    <t>Límite superior del IC al 95%</t>
  </si>
  <si>
    <t>Tasa / 100.000 por tramo de edad en Cali</t>
  </si>
  <si>
    <t>Casos que habría en Cali al ajustar por los tramos de edad de Celade</t>
  </si>
  <si>
    <t>Tasa ajustada por edad =&gt;</t>
  </si>
  <si>
    <t>Desdoblemos los casos en los subgrupos de Urbana y Rural</t>
  </si>
  <si>
    <t>Desdoblemos la población total en Urbana y Rural</t>
  </si>
  <si>
    <t>Tasa / 100.000 por tramo de edad en Sao</t>
  </si>
  <si>
    <t>En esta situación Sao funciona como control, cuyo riesgo se toma como 1.</t>
  </si>
  <si>
    <t>En esta situación Cali funciona como control, cuyo riesgo se toma como 1.</t>
  </si>
  <si>
    <t xml:space="preserve">Total  </t>
  </si>
  <si>
    <t>Cociente de tasas (RR)</t>
  </si>
  <si>
    <t>Casos que habría en Sao Paulo al ajustar por los tramos de edad de Celade</t>
  </si>
  <si>
    <t>Tasa ajustada por edad CELADE</t>
  </si>
  <si>
    <t>MÉTODO INDIRECTO DE AJUSTE DE TASAS POR EDAD,</t>
  </si>
  <si>
    <t>MÉTODO INDIRECTO DE AJUSTE DE TASAS POR EDAD Y RURALIDAD</t>
  </si>
  <si>
    <t>TASA AJUSTADA POR EDAD DE CALI</t>
  </si>
  <si>
    <t>TASA AJUSTADA POR EDAD DE SAO</t>
  </si>
  <si>
    <t>TASA AJUSTADA POR EDAD Y REALIDAD DE CALI</t>
  </si>
  <si>
    <t>TASA AJUSTADA POR EDAD Y REALIDAD DE SAO</t>
  </si>
  <si>
    <t>Tasa ajustada por edad y ruralidad de CALI</t>
  </si>
  <si>
    <t>Tasa ajustada por edad y ruralidad de SAO</t>
  </si>
  <si>
    <t>Tasa ajustada por edad de SAO</t>
  </si>
  <si>
    <t>Tasa ajustada por edad de CALI</t>
  </si>
  <si>
    <t>Ejemplo de cáncer de cuello uterino en Cali y Sao Paulo, tomado de Epidat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</si>
</sst>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_-* #,##0.0\ _€_-;\-* #,##0.0\ _€_-;_-* &quot;-&quot;??\ _€_-;_-@_-"/>
    <numFmt numFmtId="168" formatCode="_-* #,##0\ _€_-;\-* #,##0\ _€_-;_-* &quot;-&quot;??\ _€_-;_-@_-"/>
    <numFmt numFmtId="169" formatCode="0.0%"/>
    <numFmt numFmtId="170" formatCode="0.000%"/>
    <numFmt numFmtId="171" formatCode="0.0000000"/>
    <numFmt numFmtId="172" formatCode="0.000000"/>
    <numFmt numFmtId="173" formatCode="0.00000"/>
    <numFmt numFmtId="174" formatCode="0.0000"/>
    <numFmt numFmtId="175" formatCode="0.000"/>
    <numFmt numFmtId="176" formatCode="0.0"/>
    <numFmt numFmtId="177" formatCode="[$€-2]\ #,##0.00_);[Red]\([$€-2]\ #,##0.00\)"/>
    <numFmt numFmtId="178" formatCode="_-* #,##0.000\ _€_-;\-* #,##0.000\ _€_-;_-* &quot;-&quot;??\ _€_-;_-@_-"/>
    <numFmt numFmtId="179" formatCode="0.00000000"/>
    <numFmt numFmtId="180" formatCode="_-* #,##0.0\ _€_-;\-* #,##0.0\ _€_-;_-* &quot;-&quot;?\ _€_-;_-@_-"/>
    <numFmt numFmtId="181" formatCode="_-* #,##0.0000\ _€_-;\-* #,##0.0000\ _€_-;_-* &quot;-&quot;??\ _€_-;_-@_-"/>
    <numFmt numFmtId="182" formatCode="_-* #,##0.00000\ _€_-;\-* #,##0.00000\ _€_-;_-* &quot;-&quot;??\ _€_-;_-@_-"/>
    <numFmt numFmtId="183" formatCode="_-* #,##0.000000\ _€_-;\-* #,##0.000000\ _€_-;_-* &quot;-&quot;??\ _€_-;_-@_-"/>
    <numFmt numFmtId="184" formatCode="_-* #,##0.0000\ _€_-;\-* #,##0.0000\ _€_-;_-* &quot;-&quot;?\ _€_-;_-@_-"/>
    <numFmt numFmtId="185" formatCode="_-* #,##0.000\ _€_-;\-* #,##0.000\ _€_-;_-* &quot;-&quot;???\ _€_-;_-@_-"/>
    <numFmt numFmtId="186" formatCode="0.0000%"/>
    <numFmt numFmtId="187" formatCode="0.00000%"/>
  </numFmts>
  <fonts count="66">
    <font>
      <sz val="10"/>
      <name val="Arial"/>
      <family val="0"/>
    </font>
    <font>
      <sz val="10"/>
      <name val="Calibri"/>
      <family val="2"/>
    </font>
    <font>
      <b/>
      <sz val="10"/>
      <name val="Calibri"/>
      <family val="2"/>
    </font>
    <font>
      <b/>
      <vertAlign val="superscript"/>
      <sz val="10"/>
      <color indexed="48"/>
      <name val="Calibri"/>
      <family val="2"/>
    </font>
    <font>
      <vertAlign val="superscript"/>
      <sz val="10"/>
      <color indexed="48"/>
      <name val="Calibri"/>
      <family val="2"/>
    </font>
    <font>
      <b/>
      <vertAlign val="superscript"/>
      <sz val="9"/>
      <color indexed="48"/>
      <name val="Calibri"/>
      <family val="2"/>
    </font>
    <font>
      <sz val="9"/>
      <name val="Calibri"/>
      <family val="2"/>
    </font>
    <font>
      <i/>
      <sz val="9"/>
      <name val="Calibri"/>
      <family val="2"/>
    </font>
    <font>
      <b/>
      <vertAlign val="superscript"/>
      <sz val="9"/>
      <color indexed="12"/>
      <name val="Calibri"/>
      <family val="2"/>
    </font>
    <font>
      <b/>
      <sz val="10"/>
      <color indexed="12"/>
      <name val="Calibri"/>
      <family val="2"/>
    </font>
    <font>
      <sz val="10"/>
      <color indexed="12"/>
      <name val="Calibri"/>
      <family val="2"/>
    </font>
    <font>
      <i/>
      <sz val="10"/>
      <name val="Calibri"/>
      <family val="2"/>
    </font>
    <font>
      <sz val="11"/>
      <color indexed="8"/>
      <name val="Courier"/>
      <family val="2"/>
    </font>
    <font>
      <sz val="11"/>
      <color indexed="9"/>
      <name val="Courier"/>
      <family val="2"/>
    </font>
    <font>
      <sz val="11"/>
      <color indexed="17"/>
      <name val="Courier"/>
      <family val="2"/>
    </font>
    <font>
      <b/>
      <sz val="11"/>
      <color indexed="52"/>
      <name val="Courier"/>
      <family val="2"/>
    </font>
    <font>
      <b/>
      <sz val="11"/>
      <color indexed="9"/>
      <name val="Courier"/>
      <family val="2"/>
    </font>
    <font>
      <sz val="11"/>
      <color indexed="52"/>
      <name val="Courier"/>
      <family val="2"/>
    </font>
    <font>
      <b/>
      <sz val="15"/>
      <color indexed="56"/>
      <name val="Courier"/>
      <family val="2"/>
    </font>
    <font>
      <b/>
      <sz val="11"/>
      <color indexed="56"/>
      <name val="Courier"/>
      <family val="2"/>
    </font>
    <font>
      <sz val="11"/>
      <color indexed="62"/>
      <name val="Courier"/>
      <family val="2"/>
    </font>
    <font>
      <sz val="11"/>
      <color indexed="20"/>
      <name val="Courier"/>
      <family val="2"/>
    </font>
    <font>
      <sz val="11"/>
      <color indexed="60"/>
      <name val="Courier"/>
      <family val="2"/>
    </font>
    <font>
      <b/>
      <sz val="11"/>
      <color indexed="63"/>
      <name val="Courier"/>
      <family val="2"/>
    </font>
    <font>
      <sz val="11"/>
      <color indexed="10"/>
      <name val="Courier"/>
      <family val="2"/>
    </font>
    <font>
      <i/>
      <sz val="11"/>
      <color indexed="23"/>
      <name val="Courier"/>
      <family val="2"/>
    </font>
    <font>
      <b/>
      <sz val="18"/>
      <color indexed="56"/>
      <name val="Cambria"/>
      <family val="2"/>
    </font>
    <font>
      <b/>
      <sz val="13"/>
      <color indexed="56"/>
      <name val="Courier"/>
      <family val="2"/>
    </font>
    <font>
      <b/>
      <sz val="11"/>
      <color indexed="8"/>
      <name val="Courier"/>
      <family val="2"/>
    </font>
    <font>
      <b/>
      <u val="single"/>
      <sz val="10"/>
      <name val="Calibri"/>
      <family val="2"/>
    </font>
    <font>
      <b/>
      <sz val="10"/>
      <color indexed="17"/>
      <name val="Calibri"/>
      <family val="2"/>
    </font>
    <font>
      <b/>
      <i/>
      <sz val="10"/>
      <color indexed="17"/>
      <name val="Calibri"/>
      <family val="2"/>
    </font>
    <font>
      <b/>
      <i/>
      <sz val="10"/>
      <color indexed="12"/>
      <name val="Calibri"/>
      <family val="2"/>
    </font>
    <font>
      <b/>
      <i/>
      <sz val="10"/>
      <name val="Calibri"/>
      <family val="2"/>
    </font>
    <font>
      <sz val="10"/>
      <color indexed="17"/>
      <name val="Calibri"/>
      <family val="2"/>
    </font>
    <font>
      <vertAlign val="superscript"/>
      <sz val="9"/>
      <color indexed="48"/>
      <name val="Calibri"/>
      <family val="2"/>
    </font>
    <font>
      <vertAlign val="superscript"/>
      <sz val="9"/>
      <name val="Calibri"/>
      <family val="2"/>
    </font>
    <font>
      <b/>
      <sz val="10"/>
      <color indexed="14"/>
      <name val="Calibri"/>
      <family val="2"/>
    </font>
    <font>
      <b/>
      <sz val="10"/>
      <color indexed="60"/>
      <name val="Calibri"/>
      <family val="2"/>
    </font>
    <font>
      <b/>
      <u val="single"/>
      <sz val="11"/>
      <name val="Calibri"/>
      <family val="2"/>
    </font>
    <font>
      <sz val="11"/>
      <color theme="1"/>
      <name val="Courier"/>
      <family val="2"/>
    </font>
    <font>
      <sz val="11"/>
      <color theme="0"/>
      <name val="Courier"/>
      <family val="2"/>
    </font>
    <font>
      <sz val="11"/>
      <color rgb="FF006100"/>
      <name val="Courier"/>
      <family val="2"/>
    </font>
    <font>
      <b/>
      <sz val="11"/>
      <color rgb="FFFA7D00"/>
      <name val="Courier"/>
      <family val="2"/>
    </font>
    <font>
      <b/>
      <sz val="11"/>
      <color theme="0"/>
      <name val="Courier"/>
      <family val="2"/>
    </font>
    <font>
      <sz val="11"/>
      <color rgb="FFFA7D00"/>
      <name val="Courier"/>
      <family val="2"/>
    </font>
    <font>
      <b/>
      <sz val="15"/>
      <color theme="3"/>
      <name val="Courier"/>
      <family val="2"/>
    </font>
    <font>
      <b/>
      <sz val="11"/>
      <color theme="3"/>
      <name val="Courier"/>
      <family val="2"/>
    </font>
    <font>
      <sz val="11"/>
      <color rgb="FF3F3F76"/>
      <name val="Courier"/>
      <family val="2"/>
    </font>
    <font>
      <sz val="11"/>
      <color rgb="FF9C0006"/>
      <name val="Courier"/>
      <family val="2"/>
    </font>
    <font>
      <sz val="11"/>
      <color rgb="FF9C6500"/>
      <name val="Courier"/>
      <family val="2"/>
    </font>
    <font>
      <b/>
      <sz val="11"/>
      <color rgb="FF3F3F3F"/>
      <name val="Courier"/>
      <family val="2"/>
    </font>
    <font>
      <sz val="11"/>
      <color rgb="FFFF0000"/>
      <name val="Courier"/>
      <family val="2"/>
    </font>
    <font>
      <i/>
      <sz val="11"/>
      <color rgb="FF7F7F7F"/>
      <name val="Courier"/>
      <family val="2"/>
    </font>
    <font>
      <b/>
      <sz val="18"/>
      <color theme="3"/>
      <name val="Cambria"/>
      <family val="2"/>
    </font>
    <font>
      <b/>
      <sz val="13"/>
      <color theme="3"/>
      <name val="Courier"/>
      <family val="2"/>
    </font>
    <font>
      <b/>
      <sz val="11"/>
      <color theme="1"/>
      <name val="Courier"/>
      <family val="2"/>
    </font>
    <font>
      <b/>
      <sz val="10"/>
      <color rgb="FF009900"/>
      <name val="Calibri"/>
      <family val="2"/>
    </font>
    <font>
      <sz val="10"/>
      <color rgb="FF0000FF"/>
      <name val="Calibri"/>
      <family val="2"/>
    </font>
    <font>
      <b/>
      <sz val="10"/>
      <color rgb="FF0000FF"/>
      <name val="Calibri"/>
      <family val="2"/>
    </font>
    <font>
      <b/>
      <i/>
      <sz val="10"/>
      <color rgb="FF009900"/>
      <name val="Calibri"/>
      <family val="2"/>
    </font>
    <font>
      <b/>
      <i/>
      <sz val="10"/>
      <color rgb="FF0000FF"/>
      <name val="Calibri"/>
      <family val="2"/>
    </font>
    <font>
      <sz val="10"/>
      <color rgb="FF009900"/>
      <name val="Calibri"/>
      <family val="2"/>
    </font>
    <font>
      <b/>
      <sz val="10"/>
      <color rgb="FFFF0066"/>
      <name val="Calibri"/>
      <family val="2"/>
    </font>
    <font>
      <b/>
      <sz val="10"/>
      <color rgb="FF993300"/>
      <name val="Calibri"/>
      <family val="2"/>
    </font>
    <font>
      <vertAlign val="superscript"/>
      <sz val="9"/>
      <color rgb="FF3333F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8" fillId="29" borderId="1" applyNumberFormat="0" applyAlignment="0" applyProtection="0"/>
    <xf numFmtId="0" fontId="4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1" fillId="21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47" fillId="0" borderId="8" applyNumberFormat="0" applyFill="0" applyAlignment="0" applyProtection="0"/>
    <xf numFmtId="0" fontId="56" fillId="0" borderId="9" applyNumberFormat="0" applyFill="0" applyAlignment="0" applyProtection="0"/>
  </cellStyleXfs>
  <cellXfs count="119">
    <xf numFmtId="0" fontId="0" fillId="0" borderId="0" xfId="0" applyAlignment="1">
      <alignment/>
    </xf>
    <xf numFmtId="0" fontId="29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168" fontId="1" fillId="32" borderId="10" xfId="47" applyNumberFormat="1" applyFont="1" applyFill="1" applyBorder="1" applyAlignment="1">
      <alignment/>
    </xf>
    <xf numFmtId="43" fontId="1" fillId="0" borderId="10" xfId="47" applyFont="1" applyFill="1" applyBorder="1" applyAlignment="1">
      <alignment/>
    </xf>
    <xf numFmtId="168" fontId="57" fillId="33" borderId="11" xfId="47" applyNumberFormat="1" applyFont="1" applyFill="1" applyBorder="1" applyAlignment="1">
      <alignment horizontal="center"/>
    </xf>
    <xf numFmtId="0" fontId="57" fillId="0" borderId="0" xfId="0" applyFont="1" applyAlignment="1">
      <alignment/>
    </xf>
    <xf numFmtId="168" fontId="1" fillId="33" borderId="10" xfId="47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43" fontId="58" fillId="0" borderId="12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168" fontId="1" fillId="0" borderId="0" xfId="0" applyNumberFormat="1" applyFont="1" applyAlignment="1">
      <alignment/>
    </xf>
    <xf numFmtId="43" fontId="1" fillId="33" borderId="10" xfId="47" applyNumberFormat="1" applyFont="1" applyFill="1" applyBorder="1" applyAlignment="1">
      <alignment/>
    </xf>
    <xf numFmtId="43" fontId="59" fillId="33" borderId="13" xfId="0" applyNumberFormat="1" applyFont="1" applyFill="1" applyBorder="1" applyAlignment="1">
      <alignment horizontal="center" vertical="center"/>
    </xf>
    <xf numFmtId="43" fontId="1" fillId="0" borderId="0" xfId="0" applyNumberFormat="1" applyFont="1" applyAlignment="1">
      <alignment/>
    </xf>
    <xf numFmtId="168" fontId="1" fillId="0" borderId="0" xfId="47" applyNumberFormat="1" applyFont="1" applyAlignment="1">
      <alignment/>
    </xf>
    <xf numFmtId="43" fontId="11" fillId="0" borderId="10" xfId="47" applyFont="1" applyFill="1" applyBorder="1" applyAlignment="1">
      <alignment/>
    </xf>
    <xf numFmtId="43" fontId="60" fillId="33" borderId="11" xfId="47" applyNumberFormat="1" applyFont="1" applyFill="1" applyBorder="1" applyAlignment="1">
      <alignment horizontal="center"/>
    </xf>
    <xf numFmtId="43" fontId="60" fillId="33" borderId="11" xfId="47" applyFont="1" applyFill="1" applyBorder="1" applyAlignment="1">
      <alignment horizontal="center"/>
    </xf>
    <xf numFmtId="168" fontId="1" fillId="32" borderId="10" xfId="0" applyNumberFormat="1" applyFont="1" applyFill="1" applyBorder="1" applyAlignment="1">
      <alignment/>
    </xf>
    <xf numFmtId="168" fontId="1" fillId="0" borderId="10" xfId="0" applyNumberFormat="1" applyFont="1" applyFill="1" applyBorder="1" applyAlignment="1">
      <alignment/>
    </xf>
    <xf numFmtId="168" fontId="1" fillId="0" borderId="10" xfId="0" applyNumberFormat="1" applyFont="1" applyBorder="1" applyAlignment="1">
      <alignment/>
    </xf>
    <xf numFmtId="43" fontId="11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11" fontId="1" fillId="33" borderId="10" xfId="0" applyNumberFormat="1" applyFont="1" applyFill="1" applyBorder="1" applyAlignment="1">
      <alignment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43" fontId="2" fillId="0" borderId="0" xfId="47" applyNumberFormat="1" applyFont="1" applyFill="1" applyBorder="1" applyAlignment="1">
      <alignment/>
    </xf>
    <xf numFmtId="168" fontId="2" fillId="33" borderId="10" xfId="47" applyNumberFormat="1" applyFont="1" applyFill="1" applyBorder="1" applyAlignment="1">
      <alignment vertical="center"/>
    </xf>
    <xf numFmtId="0" fontId="58" fillId="0" borderId="0" xfId="0" applyFont="1" applyAlignment="1">
      <alignment horizontal="right" vertical="center" wrapText="1"/>
    </xf>
    <xf numFmtId="43" fontId="2" fillId="33" borderId="10" xfId="47" applyNumberFormat="1" applyFont="1" applyFill="1" applyBorder="1" applyAlignment="1">
      <alignment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59" fillId="0" borderId="0" xfId="0" applyFont="1" applyAlignment="1">
      <alignment/>
    </xf>
    <xf numFmtId="0" fontId="1" fillId="0" borderId="0" xfId="0" applyFont="1" applyFill="1" applyAlignment="1">
      <alignment/>
    </xf>
    <xf numFmtId="0" fontId="57" fillId="0" borderId="0" xfId="0" applyFont="1" applyFill="1" applyAlignment="1">
      <alignment/>
    </xf>
    <xf numFmtId="168" fontId="57" fillId="0" borderId="0" xfId="47" applyNumberFormat="1" applyFont="1" applyFill="1" applyBorder="1" applyAlignment="1">
      <alignment horizontal="center"/>
    </xf>
    <xf numFmtId="43" fontId="60" fillId="0" borderId="0" xfId="47" applyNumberFormat="1" applyFont="1" applyFill="1" applyBorder="1" applyAlignment="1">
      <alignment horizontal="center"/>
    </xf>
    <xf numFmtId="43" fontId="1" fillId="0" borderId="0" xfId="47" applyFont="1" applyAlignment="1">
      <alignment/>
    </xf>
    <xf numFmtId="43" fontId="61" fillId="33" borderId="10" xfId="47" applyNumberFormat="1" applyFont="1" applyFill="1" applyBorder="1" applyAlignment="1">
      <alignment vertical="center"/>
    </xf>
    <xf numFmtId="43" fontId="61" fillId="33" borderId="10" xfId="47" applyFont="1" applyFill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19" xfId="0" applyFont="1" applyBorder="1" applyAlignment="1">
      <alignment horizontal="right" vertical="center"/>
    </xf>
    <xf numFmtId="170" fontId="58" fillId="33" borderId="10" xfId="53" applyNumberFormat="1" applyFont="1" applyFill="1" applyBorder="1" applyAlignment="1">
      <alignment horizontal="center" vertical="center"/>
    </xf>
    <xf numFmtId="170" fontId="58" fillId="33" borderId="20" xfId="53" applyNumberFormat="1" applyFont="1" applyFill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right" vertical="center"/>
    </xf>
    <xf numFmtId="2" fontId="58" fillId="33" borderId="12" xfId="0" applyNumberFormat="1" applyFont="1" applyFill="1" applyBorder="1" applyAlignment="1">
      <alignment horizontal="center" vertical="center"/>
    </xf>
    <xf numFmtId="2" fontId="58" fillId="33" borderId="13" xfId="0" applyNumberFormat="1" applyFont="1" applyFill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43" fontId="11" fillId="0" borderId="10" xfId="47" applyFont="1" applyBorder="1" applyAlignment="1">
      <alignment/>
    </xf>
    <xf numFmtId="0" fontId="33" fillId="0" borderId="10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 wrapText="1"/>
    </xf>
    <xf numFmtId="0" fontId="62" fillId="0" borderId="27" xfId="0" applyFont="1" applyBorder="1" applyAlignment="1">
      <alignment horizontal="center" vertical="center"/>
    </xf>
    <xf numFmtId="43" fontId="62" fillId="0" borderId="28" xfId="0" applyNumberFormat="1" applyFont="1" applyBorder="1" applyAlignment="1">
      <alignment horizontal="center" vertical="center"/>
    </xf>
    <xf numFmtId="43" fontId="57" fillId="33" borderId="28" xfId="0" applyNumberFormat="1" applyFont="1" applyFill="1" applyBorder="1" applyAlignment="1">
      <alignment horizontal="center" vertical="center"/>
    </xf>
    <xf numFmtId="43" fontId="57" fillId="33" borderId="29" xfId="0" applyNumberFormat="1" applyFont="1" applyFill="1" applyBorder="1" applyAlignment="1">
      <alignment horizontal="center" vertical="center"/>
    </xf>
    <xf numFmtId="43" fontId="59" fillId="33" borderId="12" xfId="0" applyNumberFormat="1" applyFont="1" applyFill="1" applyBorder="1" applyAlignment="1">
      <alignment horizontal="center" vertical="center"/>
    </xf>
    <xf numFmtId="0" fontId="58" fillId="0" borderId="2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168" fontId="1" fillId="0" borderId="0" xfId="53" applyNumberFormat="1" applyFont="1" applyAlignment="1">
      <alignment/>
    </xf>
    <xf numFmtId="168" fontId="59" fillId="33" borderId="10" xfId="47" applyNumberFormat="1" applyFont="1" applyFill="1" applyBorder="1" applyAlignment="1">
      <alignment horizontal="center"/>
    </xf>
    <xf numFmtId="43" fontId="61" fillId="33" borderId="11" xfId="47" applyFont="1" applyFill="1" applyBorder="1" applyAlignment="1">
      <alignment horizontal="center"/>
    </xf>
    <xf numFmtId="43" fontId="62" fillId="0" borderId="10" xfId="0" applyNumberFormat="1" applyFont="1" applyBorder="1" applyAlignment="1">
      <alignment horizontal="center" vertical="center"/>
    </xf>
    <xf numFmtId="43" fontId="58" fillId="0" borderId="10" xfId="0" applyNumberFormat="1" applyFont="1" applyBorder="1" applyAlignment="1">
      <alignment horizontal="center" vertical="center"/>
    </xf>
    <xf numFmtId="43" fontId="2" fillId="33" borderId="10" xfId="0" applyNumberFormat="1" applyFont="1" applyFill="1" applyBorder="1" applyAlignment="1">
      <alignment horizontal="center" vertical="center"/>
    </xf>
    <xf numFmtId="0" fontId="62" fillId="0" borderId="11" xfId="0" applyFont="1" applyBorder="1" applyAlignment="1">
      <alignment horizontal="left" vertical="center"/>
    </xf>
    <xf numFmtId="43" fontId="62" fillId="0" borderId="11" xfId="0" applyNumberFormat="1" applyFont="1" applyBorder="1" applyAlignment="1">
      <alignment horizontal="center" vertical="center"/>
    </xf>
    <xf numFmtId="43" fontId="2" fillId="33" borderId="11" xfId="0" applyNumberFormat="1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43" fontId="61" fillId="33" borderId="10" xfId="47" applyNumberFormat="1" applyFont="1" applyFill="1" applyBorder="1" applyAlignment="1">
      <alignment horizontal="center"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0" fontId="58" fillId="0" borderId="10" xfId="0" applyFont="1" applyBorder="1" applyAlignment="1">
      <alignment horizontal="left" vertical="center" wrapText="1"/>
    </xf>
    <xf numFmtId="0" fontId="62" fillId="0" borderId="11" xfId="0" applyFont="1" applyBorder="1" applyAlignment="1">
      <alignment vertical="center"/>
    </xf>
    <xf numFmtId="0" fontId="58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/>
    </xf>
    <xf numFmtId="0" fontId="57" fillId="0" borderId="0" xfId="0" applyFont="1" applyFill="1" applyAlignment="1">
      <alignment vertical="center"/>
    </xf>
    <xf numFmtId="0" fontId="2" fillId="0" borderId="3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2" fillId="33" borderId="33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65" fillId="0" borderId="10" xfId="0" applyFont="1" applyBorder="1" applyAlignment="1">
      <alignment horizontal="left" vertical="center" wrapText="1"/>
    </xf>
    <xf numFmtId="0" fontId="36" fillId="0" borderId="10" xfId="0" applyFont="1" applyBorder="1" applyAlignment="1">
      <alignment horizontal="left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58" fillId="0" borderId="34" xfId="0" applyFont="1" applyBorder="1" applyAlignment="1">
      <alignment horizontal="left" vertical="center" wrapText="1"/>
    </xf>
    <xf numFmtId="0" fontId="58" fillId="0" borderId="0" xfId="0" applyFont="1" applyAlignment="1">
      <alignment horizontal="left" vertical="center" wrapText="1"/>
    </xf>
    <xf numFmtId="0" fontId="58" fillId="0" borderId="0" xfId="0" applyFont="1" applyBorder="1" applyAlignment="1">
      <alignment horizontal="left" vertical="center" wrapText="1"/>
    </xf>
    <xf numFmtId="0" fontId="58" fillId="0" borderId="34" xfId="0" applyFont="1" applyBorder="1" applyAlignment="1">
      <alignment horizontal="left" wrapText="1"/>
    </xf>
    <xf numFmtId="0" fontId="58" fillId="0" borderId="0" xfId="0" applyFont="1" applyBorder="1" applyAlignment="1">
      <alignment horizontal="left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39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457200</xdr:colOff>
      <xdr:row>6</xdr:row>
      <xdr:rowOff>95250</xdr:rowOff>
    </xdr:from>
    <xdr:to>
      <xdr:col>4</xdr:col>
      <xdr:colOff>571500</xdr:colOff>
      <xdr:row>31</xdr:row>
      <xdr:rowOff>66675</xdr:rowOff>
    </xdr:to>
    <xdr:sp>
      <xdr:nvSpPr>
        <xdr:cNvPr id="1" name="2 Conector recto de flecha"/>
        <xdr:cNvSpPr>
          <a:spLocks/>
        </xdr:cNvSpPr>
      </xdr:nvSpPr>
      <xdr:spPr>
        <a:xfrm flipH="1">
          <a:off x="3152775" y="1038225"/>
          <a:ext cx="1028700" cy="50387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15</xdr:row>
      <xdr:rowOff>114300</xdr:rowOff>
    </xdr:from>
    <xdr:to>
      <xdr:col>6</xdr:col>
      <xdr:colOff>590550</xdr:colOff>
      <xdr:row>31</xdr:row>
      <xdr:rowOff>76200</xdr:rowOff>
    </xdr:to>
    <xdr:sp>
      <xdr:nvSpPr>
        <xdr:cNvPr id="2" name="5 Conector recto de flecha"/>
        <xdr:cNvSpPr>
          <a:spLocks/>
        </xdr:cNvSpPr>
      </xdr:nvSpPr>
      <xdr:spPr>
        <a:xfrm>
          <a:off x="4524375" y="2419350"/>
          <a:ext cx="1685925" cy="36671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295275</xdr:colOff>
      <xdr:row>5</xdr:row>
      <xdr:rowOff>95250</xdr:rowOff>
    </xdr:from>
    <xdr:to>
      <xdr:col>3</xdr:col>
      <xdr:colOff>876300</xdr:colOff>
      <xdr:row>13</xdr:row>
      <xdr:rowOff>76200</xdr:rowOff>
    </xdr:to>
    <xdr:sp>
      <xdr:nvSpPr>
        <xdr:cNvPr id="1" name="1 Elipse"/>
        <xdr:cNvSpPr>
          <a:spLocks/>
        </xdr:cNvSpPr>
      </xdr:nvSpPr>
      <xdr:spPr>
        <a:xfrm>
          <a:off x="2905125" y="1419225"/>
          <a:ext cx="581025" cy="1276350"/>
        </a:xfrm>
        <a:prstGeom prst="ellipse">
          <a:avLst/>
        </a:prstGeom>
        <a:noFill/>
        <a:ln w="12700" cmpd="sng">
          <a:solidFill>
            <a:srgbClr val="FF00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857250</xdr:colOff>
      <xdr:row>2</xdr:row>
      <xdr:rowOff>114300</xdr:rowOff>
    </xdr:from>
    <xdr:to>
      <xdr:col>6</xdr:col>
      <xdr:colOff>47625</xdr:colOff>
      <xdr:row>6</xdr:row>
      <xdr:rowOff>104775</xdr:rowOff>
    </xdr:to>
    <xdr:sp>
      <xdr:nvSpPr>
        <xdr:cNvPr id="2" name="3 Conector recto de flecha"/>
        <xdr:cNvSpPr>
          <a:spLocks/>
        </xdr:cNvSpPr>
      </xdr:nvSpPr>
      <xdr:spPr>
        <a:xfrm flipV="1">
          <a:off x="3467100" y="476250"/>
          <a:ext cx="1981200" cy="1114425"/>
        </a:xfrm>
        <a:prstGeom prst="straightConnector1">
          <a:avLst/>
        </a:prstGeom>
        <a:noFill/>
        <a:ln w="9525" cmpd="sng">
          <a:solidFill>
            <a:srgbClr val="FF0066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</xdr:colOff>
      <xdr:row>2</xdr:row>
      <xdr:rowOff>152400</xdr:rowOff>
    </xdr:from>
    <xdr:to>
      <xdr:col>9</xdr:col>
      <xdr:colOff>514350</xdr:colOff>
      <xdr:row>6</xdr:row>
      <xdr:rowOff>104775</xdr:rowOff>
    </xdr:to>
    <xdr:sp>
      <xdr:nvSpPr>
        <xdr:cNvPr id="3" name="5 Conector recto de flecha"/>
        <xdr:cNvSpPr>
          <a:spLocks/>
        </xdr:cNvSpPr>
      </xdr:nvSpPr>
      <xdr:spPr>
        <a:xfrm>
          <a:off x="7896225" y="514350"/>
          <a:ext cx="495300" cy="1076325"/>
        </a:xfrm>
        <a:prstGeom prst="straightConnector1">
          <a:avLst/>
        </a:prstGeom>
        <a:noFill/>
        <a:ln w="9525" cmpd="sng">
          <a:solidFill>
            <a:srgbClr val="FF0066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685800</xdr:colOff>
      <xdr:row>3</xdr:row>
      <xdr:rowOff>0</xdr:rowOff>
    </xdr:from>
    <xdr:to>
      <xdr:col>10</xdr:col>
      <xdr:colOff>400050</xdr:colOff>
      <xdr:row>6</xdr:row>
      <xdr:rowOff>76200</xdr:rowOff>
    </xdr:to>
    <xdr:sp>
      <xdr:nvSpPr>
        <xdr:cNvPr id="4" name="7 Conector recto de flecha"/>
        <xdr:cNvSpPr>
          <a:spLocks/>
        </xdr:cNvSpPr>
      </xdr:nvSpPr>
      <xdr:spPr>
        <a:xfrm>
          <a:off x="8562975" y="695325"/>
          <a:ext cx="476250" cy="866775"/>
        </a:xfrm>
        <a:prstGeom prst="straightConnector1">
          <a:avLst/>
        </a:prstGeom>
        <a:noFill/>
        <a:ln w="9525" cmpd="sng">
          <a:solidFill>
            <a:srgbClr val="FF0066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228600</xdr:colOff>
      <xdr:row>5</xdr:row>
      <xdr:rowOff>76200</xdr:rowOff>
    </xdr:from>
    <xdr:to>
      <xdr:col>10</xdr:col>
      <xdr:colOff>47625</xdr:colOff>
      <xdr:row>13</xdr:row>
      <xdr:rowOff>57150</xdr:rowOff>
    </xdr:to>
    <xdr:sp>
      <xdr:nvSpPr>
        <xdr:cNvPr id="5" name="8 Elipse"/>
        <xdr:cNvSpPr>
          <a:spLocks/>
        </xdr:cNvSpPr>
      </xdr:nvSpPr>
      <xdr:spPr>
        <a:xfrm>
          <a:off x="8105775" y="1400175"/>
          <a:ext cx="581025" cy="1276350"/>
        </a:xfrm>
        <a:prstGeom prst="ellipse">
          <a:avLst/>
        </a:prstGeom>
        <a:noFill/>
        <a:ln w="12700" cmpd="sng">
          <a:solidFill>
            <a:srgbClr val="FF00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190500</xdr:colOff>
      <xdr:row>5</xdr:row>
      <xdr:rowOff>76200</xdr:rowOff>
    </xdr:from>
    <xdr:to>
      <xdr:col>11</xdr:col>
      <xdr:colOff>9525</xdr:colOff>
      <xdr:row>13</xdr:row>
      <xdr:rowOff>57150</xdr:rowOff>
    </xdr:to>
    <xdr:sp>
      <xdr:nvSpPr>
        <xdr:cNvPr id="6" name="9 Elipse"/>
        <xdr:cNvSpPr>
          <a:spLocks/>
        </xdr:cNvSpPr>
      </xdr:nvSpPr>
      <xdr:spPr>
        <a:xfrm>
          <a:off x="8829675" y="1400175"/>
          <a:ext cx="581025" cy="1276350"/>
        </a:xfrm>
        <a:prstGeom prst="ellipse">
          <a:avLst/>
        </a:prstGeom>
        <a:noFill/>
        <a:ln w="12700" cmpd="sng">
          <a:solidFill>
            <a:srgbClr val="FF00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</xdr:colOff>
      <xdr:row>4</xdr:row>
      <xdr:rowOff>76200</xdr:rowOff>
    </xdr:from>
    <xdr:to>
      <xdr:col>2</xdr:col>
      <xdr:colOff>819150</xdr:colOff>
      <xdr:row>13</xdr:row>
      <xdr:rowOff>142875</xdr:rowOff>
    </xdr:to>
    <xdr:sp>
      <xdr:nvSpPr>
        <xdr:cNvPr id="7" name="1 Elipse"/>
        <xdr:cNvSpPr>
          <a:spLocks/>
        </xdr:cNvSpPr>
      </xdr:nvSpPr>
      <xdr:spPr>
        <a:xfrm>
          <a:off x="1828800" y="1085850"/>
          <a:ext cx="733425" cy="1676400"/>
        </a:xfrm>
        <a:prstGeom prst="ellipse">
          <a:avLst/>
        </a:prstGeom>
        <a:noFill/>
        <a:ln w="12700" cmpd="sng">
          <a:solidFill>
            <a:srgbClr val="99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571500</xdr:colOff>
      <xdr:row>0</xdr:row>
      <xdr:rowOff>123825</xdr:rowOff>
    </xdr:from>
    <xdr:to>
      <xdr:col>5</xdr:col>
      <xdr:colOff>857250</xdr:colOff>
      <xdr:row>5</xdr:row>
      <xdr:rowOff>66675</xdr:rowOff>
    </xdr:to>
    <xdr:sp>
      <xdr:nvSpPr>
        <xdr:cNvPr id="8" name="3 Conector recto de flecha"/>
        <xdr:cNvSpPr>
          <a:spLocks/>
        </xdr:cNvSpPr>
      </xdr:nvSpPr>
      <xdr:spPr>
        <a:xfrm flipV="1">
          <a:off x="2314575" y="123825"/>
          <a:ext cx="3057525" cy="1266825"/>
        </a:xfrm>
        <a:prstGeom prst="straightConnector1">
          <a:avLst/>
        </a:prstGeom>
        <a:noFill/>
        <a:ln w="9525" cmpd="sng">
          <a:solidFill>
            <a:srgbClr val="9933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504825</xdr:colOff>
      <xdr:row>1</xdr:row>
      <xdr:rowOff>0</xdr:rowOff>
    </xdr:from>
    <xdr:to>
      <xdr:col>8</xdr:col>
      <xdr:colOff>314325</xdr:colOff>
      <xdr:row>4</xdr:row>
      <xdr:rowOff>38100</xdr:rowOff>
    </xdr:to>
    <xdr:sp>
      <xdr:nvSpPr>
        <xdr:cNvPr id="9" name="5 Conector recto de flecha"/>
        <xdr:cNvSpPr>
          <a:spLocks/>
        </xdr:cNvSpPr>
      </xdr:nvSpPr>
      <xdr:spPr>
        <a:xfrm flipH="1">
          <a:off x="5905500" y="190500"/>
          <a:ext cx="1457325" cy="857250"/>
        </a:xfrm>
        <a:prstGeom prst="straightConnector1">
          <a:avLst/>
        </a:prstGeom>
        <a:noFill/>
        <a:ln w="9525" cmpd="sng">
          <a:solidFill>
            <a:srgbClr val="9933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457200</xdr:colOff>
      <xdr:row>0</xdr:row>
      <xdr:rowOff>95250</xdr:rowOff>
    </xdr:from>
    <xdr:to>
      <xdr:col>8</xdr:col>
      <xdr:colOff>695325</xdr:colOff>
      <xdr:row>4</xdr:row>
      <xdr:rowOff>66675</xdr:rowOff>
    </xdr:to>
    <xdr:sp>
      <xdr:nvSpPr>
        <xdr:cNvPr id="10" name="5 Conector recto de flecha"/>
        <xdr:cNvSpPr>
          <a:spLocks/>
        </xdr:cNvSpPr>
      </xdr:nvSpPr>
      <xdr:spPr>
        <a:xfrm flipH="1">
          <a:off x="6743700" y="95250"/>
          <a:ext cx="1000125" cy="981075"/>
        </a:xfrm>
        <a:prstGeom prst="straightConnector1">
          <a:avLst/>
        </a:prstGeom>
        <a:noFill/>
        <a:ln w="9525" cmpd="sng">
          <a:solidFill>
            <a:srgbClr val="9933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5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13.7109375" style="2" customWidth="1"/>
    <col min="2" max="2" width="12.421875" style="2" bestFit="1" customWidth="1"/>
    <col min="3" max="3" width="14.28125" style="2" customWidth="1"/>
    <col min="4" max="4" width="13.7109375" style="2" customWidth="1"/>
    <col min="5" max="5" width="15.28125" style="2" customWidth="1"/>
    <col min="6" max="6" width="14.8515625" style="2" customWidth="1"/>
    <col min="7" max="8" width="14.7109375" style="2" customWidth="1"/>
    <col min="9" max="9" width="13.28125" style="2" customWidth="1"/>
    <col min="10" max="16384" width="11.421875" style="2" customWidth="1"/>
  </cols>
  <sheetData>
    <row r="1" spans="1:4" ht="15">
      <c r="A1" s="118" t="s">
        <v>22</v>
      </c>
      <c r="B1" s="1"/>
      <c r="C1" s="1"/>
      <c r="D1" s="1"/>
    </row>
    <row r="2" ht="12.75">
      <c r="A2" s="2" t="s">
        <v>68</v>
      </c>
    </row>
    <row r="3" ht="13.5" thickBot="1"/>
    <row r="4" spans="1:5" ht="13.5" thickBot="1">
      <c r="A4" s="33" t="s">
        <v>21</v>
      </c>
      <c r="B4" s="34" t="s">
        <v>20</v>
      </c>
      <c r="C4" s="34" t="s">
        <v>19</v>
      </c>
      <c r="D4" s="34" t="s">
        <v>18</v>
      </c>
      <c r="E4" s="35" t="s">
        <v>9</v>
      </c>
    </row>
    <row r="5" spans="1:6" ht="6.75" customHeight="1">
      <c r="A5" s="31"/>
      <c r="B5" s="31"/>
      <c r="C5" s="31"/>
      <c r="D5" s="31"/>
      <c r="E5" s="31"/>
      <c r="F5" s="32"/>
    </row>
    <row r="6" spans="1:5" ht="12.75">
      <c r="A6" s="4" t="s">
        <v>0</v>
      </c>
      <c r="B6" s="5" t="s">
        <v>1</v>
      </c>
      <c r="C6" s="6">
        <v>217645</v>
      </c>
      <c r="D6" s="6">
        <v>0</v>
      </c>
      <c r="E6" s="7">
        <f>D6*100000/C6</f>
        <v>0</v>
      </c>
    </row>
    <row r="7" spans="1:5" ht="12.75">
      <c r="A7" s="4" t="s">
        <v>0</v>
      </c>
      <c r="B7" s="5" t="s">
        <v>2</v>
      </c>
      <c r="C7" s="6">
        <v>145409</v>
      </c>
      <c r="D7" s="6">
        <v>2</v>
      </c>
      <c r="E7" s="20">
        <f aca="true" t="shared" si="0" ref="E7:E13">D7*100000/C7</f>
        <v>1.3754306817322175</v>
      </c>
    </row>
    <row r="8" spans="1:5" ht="12.75">
      <c r="A8" s="4" t="s">
        <v>0</v>
      </c>
      <c r="B8" s="5" t="s">
        <v>3</v>
      </c>
      <c r="C8" s="6">
        <v>86644</v>
      </c>
      <c r="D8" s="6">
        <v>16</v>
      </c>
      <c r="E8" s="20">
        <f t="shared" si="0"/>
        <v>18.466368127048614</v>
      </c>
    </row>
    <row r="9" spans="1:5" ht="12.75">
      <c r="A9" s="4" t="s">
        <v>0</v>
      </c>
      <c r="B9" s="5" t="s">
        <v>4</v>
      </c>
      <c r="C9" s="6">
        <v>63454</v>
      </c>
      <c r="D9" s="6">
        <v>34</v>
      </c>
      <c r="E9" s="20">
        <f t="shared" si="0"/>
        <v>53.58212248242822</v>
      </c>
    </row>
    <row r="10" spans="1:5" ht="12.75" customHeight="1">
      <c r="A10" s="4" t="s">
        <v>0</v>
      </c>
      <c r="B10" s="5" t="s">
        <v>5</v>
      </c>
      <c r="C10" s="6">
        <v>41180</v>
      </c>
      <c r="D10" s="6">
        <v>44</v>
      </c>
      <c r="E10" s="20">
        <f t="shared" si="0"/>
        <v>106.84798445847498</v>
      </c>
    </row>
    <row r="11" spans="1:5" ht="12.75" customHeight="1">
      <c r="A11" s="4" t="s">
        <v>0</v>
      </c>
      <c r="B11" s="5" t="s">
        <v>6</v>
      </c>
      <c r="C11" s="6">
        <v>24551</v>
      </c>
      <c r="D11" s="6">
        <v>36</v>
      </c>
      <c r="E11" s="20">
        <f t="shared" si="0"/>
        <v>146.63353834874343</v>
      </c>
    </row>
    <row r="12" spans="1:5" ht="12.75">
      <c r="A12" s="4" t="s">
        <v>0</v>
      </c>
      <c r="B12" s="5" t="s">
        <v>7</v>
      </c>
      <c r="C12" s="6">
        <v>19042</v>
      </c>
      <c r="D12" s="6">
        <v>37</v>
      </c>
      <c r="E12" s="20">
        <f t="shared" si="0"/>
        <v>194.30732065959458</v>
      </c>
    </row>
    <row r="13" spans="3:6" ht="12.75">
      <c r="C13" s="8">
        <f>SUM(C6:C12)</f>
        <v>597925</v>
      </c>
      <c r="D13" s="8">
        <f>SUM(D6:D12)</f>
        <v>169</v>
      </c>
      <c r="E13" s="22">
        <f t="shared" si="0"/>
        <v>28.264414433248316</v>
      </c>
      <c r="F13" s="9" t="s">
        <v>11</v>
      </c>
    </row>
    <row r="14" ht="5.25" customHeight="1"/>
    <row r="15" spans="1:5" ht="12.75">
      <c r="A15" s="4" t="s">
        <v>8</v>
      </c>
      <c r="B15" s="5" t="s">
        <v>1</v>
      </c>
      <c r="C15" s="6">
        <v>992534</v>
      </c>
      <c r="D15" s="6">
        <v>0</v>
      </c>
      <c r="E15" s="20">
        <f aca="true" t="shared" si="1" ref="E15:E22">D15*100000/C15</f>
        <v>0</v>
      </c>
    </row>
    <row r="16" spans="1:5" ht="12.75">
      <c r="A16" s="4" t="s">
        <v>8</v>
      </c>
      <c r="B16" s="5" t="s">
        <v>2</v>
      </c>
      <c r="C16" s="6">
        <v>746750</v>
      </c>
      <c r="D16" s="6">
        <v>14</v>
      </c>
      <c r="E16" s="20">
        <f t="shared" si="1"/>
        <v>1.874790759959826</v>
      </c>
    </row>
    <row r="17" spans="1:5" ht="12.75">
      <c r="A17" s="4" t="s">
        <v>8</v>
      </c>
      <c r="B17" s="5" t="s">
        <v>3</v>
      </c>
      <c r="C17" s="6">
        <v>639214</v>
      </c>
      <c r="D17" s="6">
        <v>76</v>
      </c>
      <c r="E17" s="20">
        <f t="shared" si="1"/>
        <v>11.889601917354751</v>
      </c>
    </row>
    <row r="18" spans="1:5" ht="12.75">
      <c r="A18" s="4" t="s">
        <v>8</v>
      </c>
      <c r="B18" s="5" t="s">
        <v>4</v>
      </c>
      <c r="C18" s="6">
        <v>423847</v>
      </c>
      <c r="D18" s="6">
        <v>195</v>
      </c>
      <c r="E18" s="20">
        <f t="shared" si="1"/>
        <v>46.007167680790474</v>
      </c>
    </row>
    <row r="19" spans="1:5" ht="12.75" customHeight="1">
      <c r="A19" s="4" t="s">
        <v>8</v>
      </c>
      <c r="B19" s="5" t="s">
        <v>5</v>
      </c>
      <c r="C19" s="6">
        <v>328074</v>
      </c>
      <c r="D19" s="6">
        <v>266</v>
      </c>
      <c r="E19" s="20">
        <f t="shared" si="1"/>
        <v>81.07926870157343</v>
      </c>
    </row>
    <row r="20" spans="1:5" ht="12.75">
      <c r="A20" s="4" t="s">
        <v>8</v>
      </c>
      <c r="B20" s="5" t="s">
        <v>6</v>
      </c>
      <c r="C20" s="6">
        <v>208108</v>
      </c>
      <c r="D20" s="6">
        <v>228</v>
      </c>
      <c r="E20" s="20">
        <f t="shared" si="1"/>
        <v>109.55849847194726</v>
      </c>
    </row>
    <row r="21" spans="1:5" ht="12.75">
      <c r="A21" s="4" t="s">
        <v>8</v>
      </c>
      <c r="B21" s="5" t="s">
        <v>7</v>
      </c>
      <c r="C21" s="6">
        <v>173968</v>
      </c>
      <c r="D21" s="6">
        <v>186</v>
      </c>
      <c r="E21" s="20">
        <f t="shared" si="1"/>
        <v>106.91621447622552</v>
      </c>
    </row>
    <row r="22" spans="3:6" ht="12.75">
      <c r="C22" s="8">
        <f>SUM(C15:C21)</f>
        <v>3512495</v>
      </c>
      <c r="D22" s="8">
        <f>SUM(D15:D21)</f>
        <v>965</v>
      </c>
      <c r="E22" s="22">
        <f t="shared" si="1"/>
        <v>27.47334871651063</v>
      </c>
      <c r="F22" s="9" t="s">
        <v>11</v>
      </c>
    </row>
    <row r="24" spans="1:7" ht="52.5" customHeight="1">
      <c r="A24" s="100" t="s">
        <v>24</v>
      </c>
      <c r="B24" s="100"/>
      <c r="C24" s="100"/>
      <c r="D24" s="100"/>
      <c r="E24" s="100"/>
      <c r="F24" s="100"/>
      <c r="G24" s="100"/>
    </row>
    <row r="25" spans="1:7" ht="16.5" customHeight="1">
      <c r="A25" s="101" t="s">
        <v>25</v>
      </c>
      <c r="B25" s="101"/>
      <c r="C25" s="101"/>
      <c r="D25" s="101"/>
      <c r="E25" s="101"/>
      <c r="F25" s="101"/>
      <c r="G25" s="101"/>
    </row>
    <row r="26" spans="1:7" ht="17.25" customHeight="1">
      <c r="A26" s="102" t="s">
        <v>26</v>
      </c>
      <c r="B26" s="102"/>
      <c r="C26" s="102"/>
      <c r="D26" s="102"/>
      <c r="E26" s="102"/>
      <c r="F26" s="102"/>
      <c r="G26" s="102"/>
    </row>
    <row r="27" ht="12.75" customHeight="1"/>
    <row r="29" spans="1:8" ht="34.5" customHeight="1">
      <c r="A29" s="97" t="s">
        <v>27</v>
      </c>
      <c r="B29" s="97"/>
      <c r="D29" s="103" t="s">
        <v>46</v>
      </c>
      <c r="E29" s="98" t="s">
        <v>47</v>
      </c>
      <c r="G29" s="103" t="s">
        <v>51</v>
      </c>
      <c r="H29" s="98" t="s">
        <v>56</v>
      </c>
    </row>
    <row r="30" spans="1:8" ht="30.75" customHeight="1">
      <c r="A30" s="29" t="s">
        <v>20</v>
      </c>
      <c r="B30" s="27" t="s">
        <v>19</v>
      </c>
      <c r="D30" s="104"/>
      <c r="E30" s="99"/>
      <c r="G30" s="104"/>
      <c r="H30" s="99"/>
    </row>
    <row r="31" spans="1:8" ht="12.75">
      <c r="A31" s="5" t="s">
        <v>1</v>
      </c>
      <c r="B31" s="6">
        <v>77500</v>
      </c>
      <c r="D31" s="20">
        <f>E6</f>
        <v>0</v>
      </c>
      <c r="E31" s="10">
        <f aca="true" t="shared" si="2" ref="E31:E37">D6*B31/C6</f>
        <v>0</v>
      </c>
      <c r="G31" s="20">
        <v>0</v>
      </c>
      <c r="H31" s="10">
        <f aca="true" t="shared" si="3" ref="H31:H37">D15*B31/C15</f>
        <v>0</v>
      </c>
    </row>
    <row r="32" spans="1:8" ht="12.75">
      <c r="A32" s="5" t="s">
        <v>2</v>
      </c>
      <c r="B32" s="6">
        <v>43291</v>
      </c>
      <c r="D32" s="20">
        <f aca="true" t="shared" si="4" ref="D32:D37">E7</f>
        <v>1.3754306817322175</v>
      </c>
      <c r="E32" s="16">
        <f t="shared" si="2"/>
        <v>0.5954376964286943</v>
      </c>
      <c r="G32" s="20">
        <v>1.874790759959826</v>
      </c>
      <c r="H32" s="16">
        <f t="shared" si="3"/>
        <v>0.8116156678942082</v>
      </c>
    </row>
    <row r="33" spans="1:8" ht="12.75">
      <c r="A33" s="5" t="s">
        <v>3</v>
      </c>
      <c r="B33" s="6">
        <v>34589</v>
      </c>
      <c r="D33" s="20">
        <f t="shared" si="4"/>
        <v>18.466368127048614</v>
      </c>
      <c r="E33" s="16">
        <f t="shared" si="2"/>
        <v>6.3873320714648445</v>
      </c>
      <c r="G33" s="20">
        <v>11.889601917354751</v>
      </c>
      <c r="H33" s="16">
        <f t="shared" si="3"/>
        <v>4.112494407193835</v>
      </c>
    </row>
    <row r="34" spans="1:8" ht="12.75">
      <c r="A34" s="5" t="s">
        <v>4</v>
      </c>
      <c r="B34" s="6">
        <v>24275</v>
      </c>
      <c r="D34" s="20">
        <f t="shared" si="4"/>
        <v>53.58212248242822</v>
      </c>
      <c r="E34" s="16">
        <f t="shared" si="2"/>
        <v>13.007060232609449</v>
      </c>
      <c r="G34" s="20">
        <v>46.007167680790474</v>
      </c>
      <c r="H34" s="16">
        <f t="shared" si="3"/>
        <v>11.168239954511888</v>
      </c>
    </row>
    <row r="35" spans="1:8" ht="12.75">
      <c r="A35" s="5" t="s">
        <v>5</v>
      </c>
      <c r="B35" s="6">
        <v>16355</v>
      </c>
      <c r="D35" s="20">
        <f t="shared" si="4"/>
        <v>106.84798445847498</v>
      </c>
      <c r="E35" s="16">
        <f t="shared" si="2"/>
        <v>17.474987858183585</v>
      </c>
      <c r="G35" s="20">
        <v>81.07926870157343</v>
      </c>
      <c r="H35" s="16">
        <f t="shared" si="3"/>
        <v>13.260514396142334</v>
      </c>
    </row>
    <row r="36" spans="1:8" ht="12.75">
      <c r="A36" s="5" t="s">
        <v>6</v>
      </c>
      <c r="B36" s="6">
        <v>11693</v>
      </c>
      <c r="D36" s="20">
        <f t="shared" si="4"/>
        <v>146.63353834874343</v>
      </c>
      <c r="E36" s="16">
        <f t="shared" si="2"/>
        <v>17.14585963911857</v>
      </c>
      <c r="G36" s="20">
        <v>109.55849847194726</v>
      </c>
      <c r="H36" s="16">
        <f t="shared" si="3"/>
        <v>12.810675226324793</v>
      </c>
    </row>
    <row r="37" spans="1:8" ht="12.75">
      <c r="A37" s="5" t="s">
        <v>7</v>
      </c>
      <c r="B37" s="6">
        <v>11220</v>
      </c>
      <c r="D37" s="20">
        <f t="shared" si="4"/>
        <v>194.30732065959458</v>
      </c>
      <c r="E37" s="16">
        <f t="shared" si="2"/>
        <v>21.80128137800651</v>
      </c>
      <c r="G37" s="20">
        <v>106.91621447622552</v>
      </c>
      <c r="H37" s="16">
        <f t="shared" si="3"/>
        <v>11.995999264232502</v>
      </c>
    </row>
    <row r="38" spans="1:8" ht="25.5">
      <c r="A38" s="60" t="s">
        <v>54</v>
      </c>
      <c r="B38" s="37">
        <f>SUM(B31:B37)</f>
        <v>218923</v>
      </c>
      <c r="C38" s="38" t="s">
        <v>48</v>
      </c>
      <c r="D38" s="48">
        <f>E38*100000/B38</f>
        <v>34.90357745682804</v>
      </c>
      <c r="E38" s="39">
        <f>SUM(E31:E37)</f>
        <v>76.41195887581165</v>
      </c>
      <c r="F38" s="38" t="s">
        <v>48</v>
      </c>
      <c r="G38" s="49">
        <f>H38*100000/B38</f>
        <v>24.739081282596874</v>
      </c>
      <c r="H38" s="39">
        <f>SUM(H31:H37)</f>
        <v>54.15953891629956</v>
      </c>
    </row>
    <row r="39" spans="1:8" ht="12.75">
      <c r="A39" s="3"/>
      <c r="B39" s="3"/>
      <c r="E39" s="36"/>
      <c r="H39" s="36"/>
    </row>
    <row r="41" spans="3:8" ht="12.75">
      <c r="C41" s="11" t="s">
        <v>12</v>
      </c>
      <c r="D41" s="12">
        <f>D38/100000</f>
        <v>0.00034903577456828037</v>
      </c>
      <c r="G41" s="11" t="s">
        <v>12</v>
      </c>
      <c r="H41" s="12">
        <f>G38/100000</f>
        <v>0.00024739081282596875</v>
      </c>
    </row>
    <row r="42" spans="3:8" ht="12.75">
      <c r="C42" s="11" t="s">
        <v>13</v>
      </c>
      <c r="D42" s="12">
        <f>1-D41</f>
        <v>0.9996509642254318</v>
      </c>
      <c r="G42" s="11" t="s">
        <v>13</v>
      </c>
      <c r="H42" s="12">
        <f>1-H41</f>
        <v>0.999752609187174</v>
      </c>
    </row>
    <row r="43" spans="3:8" ht="12.75">
      <c r="C43" s="11" t="s">
        <v>42</v>
      </c>
      <c r="D43" s="12">
        <f>SQRT(D41*D42/597925)</f>
        <v>2.4156600093698763E-05</v>
      </c>
      <c r="G43" s="11" t="s">
        <v>42</v>
      </c>
      <c r="H43" s="12">
        <f>SQRT(H41*H42/3512495)</f>
        <v>8.391318385768499E-06</v>
      </c>
    </row>
    <row r="44" spans="3:8" ht="12.75">
      <c r="C44" s="11" t="s">
        <v>43</v>
      </c>
      <c r="D44" s="28">
        <f>D43/SQRT(C13)</f>
        <v>3.124010275079503E-08</v>
      </c>
      <c r="G44" s="11" t="s">
        <v>43</v>
      </c>
      <c r="H44" s="28">
        <f>H43/SQRT(C22)</f>
        <v>4.477363372745338E-09</v>
      </c>
    </row>
    <row r="45" ht="13.5" thickBot="1"/>
    <row r="46" spans="1:9" ht="27.75" customHeight="1" thickBot="1">
      <c r="A46" s="94" t="s">
        <v>28</v>
      </c>
      <c r="B46" s="95"/>
      <c r="C46" s="95"/>
      <c r="D46" s="96"/>
      <c r="F46" s="94" t="s">
        <v>29</v>
      </c>
      <c r="G46" s="95"/>
      <c r="H46" s="95"/>
      <c r="I46" s="96"/>
    </row>
    <row r="47" spans="1:9" ht="42" customHeight="1">
      <c r="A47" s="50"/>
      <c r="B47" s="40" t="s">
        <v>17</v>
      </c>
      <c r="C47" s="40" t="s">
        <v>44</v>
      </c>
      <c r="D47" s="41" t="s">
        <v>45</v>
      </c>
      <c r="E47" s="51"/>
      <c r="F47" s="50"/>
      <c r="G47" s="40" t="s">
        <v>17</v>
      </c>
      <c r="H47" s="40" t="s">
        <v>44</v>
      </c>
      <c r="I47" s="41" t="s">
        <v>45</v>
      </c>
    </row>
    <row r="48" spans="1:9" ht="15" customHeight="1">
      <c r="A48" s="52" t="s">
        <v>10</v>
      </c>
      <c r="B48" s="53">
        <f>D41</f>
        <v>0.00034903577456828037</v>
      </c>
      <c r="C48" s="53">
        <f>D41-(1.96*D44)</f>
        <v>0.00034897454396688884</v>
      </c>
      <c r="D48" s="54">
        <f>D41+(1.96*D44)</f>
        <v>0.0003490970051696719</v>
      </c>
      <c r="E48" s="51"/>
      <c r="F48" s="55" t="s">
        <v>10</v>
      </c>
      <c r="G48" s="53">
        <f>H41</f>
        <v>0.00024739081282596875</v>
      </c>
      <c r="H48" s="53">
        <f>H41-(1.96*H44)</f>
        <v>0.00024738203719375815</v>
      </c>
      <c r="I48" s="54">
        <f>H41+(1.96*H44)</f>
        <v>0.00024739958845817935</v>
      </c>
    </row>
    <row r="49" spans="1:9" ht="15" customHeight="1" thickBot="1">
      <c r="A49" s="56" t="s">
        <v>9</v>
      </c>
      <c r="B49" s="57">
        <f>B48*100000</f>
        <v>34.90357745682804</v>
      </c>
      <c r="C49" s="57">
        <f>C48*100000</f>
        <v>34.897454396688886</v>
      </c>
      <c r="D49" s="58">
        <f>D48*100000</f>
        <v>34.90970051696719</v>
      </c>
      <c r="E49" s="51"/>
      <c r="F49" s="59" t="s">
        <v>9</v>
      </c>
      <c r="G49" s="57">
        <f>G48*100000</f>
        <v>24.739081282596874</v>
      </c>
      <c r="H49" s="57">
        <f>H48*100000</f>
        <v>24.738203719375814</v>
      </c>
      <c r="I49" s="58">
        <f>I48*100000</f>
        <v>24.739958845817934</v>
      </c>
    </row>
    <row r="51" ht="13.5" thickBot="1"/>
    <row r="52" spans="3:7" ht="39" thickBot="1">
      <c r="C52" s="63" t="s">
        <v>23</v>
      </c>
      <c r="D52" s="64" t="s">
        <v>0</v>
      </c>
      <c r="E52" s="64" t="s">
        <v>15</v>
      </c>
      <c r="F52" s="65" t="s">
        <v>16</v>
      </c>
      <c r="G52" s="66" t="s">
        <v>55</v>
      </c>
    </row>
    <row r="53" spans="3:7" ht="25.5" customHeight="1">
      <c r="C53" s="67" t="s">
        <v>14</v>
      </c>
      <c r="D53" s="68">
        <f>E13</f>
        <v>28.264414433248316</v>
      </c>
      <c r="E53" s="68">
        <f>E22</f>
        <v>27.47334871651063</v>
      </c>
      <c r="F53" s="69">
        <f>D53-E53</f>
        <v>0.7910657167376876</v>
      </c>
      <c r="G53" s="70">
        <f>D53/E53</f>
        <v>1.0287939313441714</v>
      </c>
    </row>
    <row r="54" spans="3:7" ht="33.75" customHeight="1" thickBot="1">
      <c r="C54" s="72" t="s">
        <v>57</v>
      </c>
      <c r="D54" s="13">
        <f>B49</f>
        <v>34.90357745682804</v>
      </c>
      <c r="E54" s="13">
        <f>G49</f>
        <v>24.739081282596874</v>
      </c>
      <c r="F54" s="71">
        <f>D54-E54</f>
        <v>10.164496174231164</v>
      </c>
      <c r="G54" s="17">
        <f>D54/E54</f>
        <v>1.4108679727481048</v>
      </c>
    </row>
    <row r="55" ht="12.75">
      <c r="K55" s="14"/>
    </row>
  </sheetData>
  <sheetProtection/>
  <mergeCells count="10">
    <mergeCell ref="F46:I46"/>
    <mergeCell ref="A29:B29"/>
    <mergeCell ref="E29:E30"/>
    <mergeCell ref="H29:H30"/>
    <mergeCell ref="A24:G24"/>
    <mergeCell ref="A25:G25"/>
    <mergeCell ref="A26:G26"/>
    <mergeCell ref="D29:D30"/>
    <mergeCell ref="A46:D46"/>
    <mergeCell ref="G29:G30"/>
  </mergeCells>
  <printOptions/>
  <pageMargins left="0.75" right="0.75" top="1" bottom="1" header="0" footer="0"/>
  <pageSetup horizontalDpi="200" verticalDpi="2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1.28125" style="2" customWidth="1"/>
    <col min="2" max="2" width="12.421875" style="2" bestFit="1" customWidth="1"/>
    <col min="3" max="3" width="13.00390625" style="2" customWidth="1"/>
    <col min="4" max="4" width="13.28125" style="2" customWidth="1"/>
    <col min="5" max="5" width="15.28125" style="2" customWidth="1"/>
    <col min="6" max="6" width="13.28125" style="2" customWidth="1"/>
    <col min="7" max="7" width="18.28125" style="2" customWidth="1"/>
    <col min="8" max="8" width="14.140625" style="2" customWidth="1"/>
    <col min="9" max="9" width="13.28125" style="2" customWidth="1"/>
    <col min="10" max="10" width="11.421875" style="2" customWidth="1"/>
    <col min="11" max="11" width="5.8515625" style="2" customWidth="1"/>
    <col min="12" max="12" width="26.00390625" style="2" customWidth="1"/>
    <col min="13" max="13" width="9.57421875" style="2" customWidth="1"/>
    <col min="14" max="14" width="9.7109375" style="2" customWidth="1"/>
    <col min="15" max="15" width="10.421875" style="2" customWidth="1"/>
    <col min="16" max="16" width="10.7109375" style="2" customWidth="1"/>
    <col min="17" max="16384" width="11.421875" style="2" customWidth="1"/>
  </cols>
  <sheetData>
    <row r="1" spans="1:4" ht="15">
      <c r="A1" s="118" t="s">
        <v>58</v>
      </c>
      <c r="B1" s="1"/>
      <c r="C1" s="1"/>
      <c r="D1" s="1"/>
    </row>
    <row r="2" ht="13.5" thickBot="1">
      <c r="A2" s="2" t="s">
        <v>68</v>
      </c>
    </row>
    <row r="3" spans="7:16" ht="24.75" customHeight="1" thickBot="1">
      <c r="G3" s="105" t="s">
        <v>36</v>
      </c>
      <c r="H3" s="107" t="s">
        <v>39</v>
      </c>
      <c r="L3" s="83" t="s">
        <v>23</v>
      </c>
      <c r="M3" s="84" t="s">
        <v>0</v>
      </c>
      <c r="N3" s="84" t="s">
        <v>15</v>
      </c>
      <c r="O3" s="34" t="s">
        <v>16</v>
      </c>
      <c r="P3" s="85" t="s">
        <v>55</v>
      </c>
    </row>
    <row r="4" spans="1:16" s="30" customFormat="1" ht="36" customHeight="1">
      <c r="A4" s="27" t="s">
        <v>21</v>
      </c>
      <c r="B4" s="27" t="s">
        <v>20</v>
      </c>
      <c r="C4" s="27" t="s">
        <v>19</v>
      </c>
      <c r="D4" s="27" t="s">
        <v>18</v>
      </c>
      <c r="E4" s="62" t="s">
        <v>9</v>
      </c>
      <c r="F4" s="2"/>
      <c r="G4" s="106"/>
      <c r="H4" s="108"/>
      <c r="I4" s="109" t="s">
        <v>52</v>
      </c>
      <c r="J4" s="110"/>
      <c r="L4" s="90" t="s">
        <v>14</v>
      </c>
      <c r="M4" s="81">
        <f>E12</f>
        <v>28.264414433248316</v>
      </c>
      <c r="N4" s="81">
        <f>E23</f>
        <v>27.47334871651063</v>
      </c>
      <c r="O4" s="82">
        <f>M4-N4</f>
        <v>0.7910657167376876</v>
      </c>
      <c r="P4" s="82">
        <f>M4/N4</f>
        <v>1.0287939313441714</v>
      </c>
    </row>
    <row r="5" spans="1:16" ht="17.25" customHeight="1">
      <c r="A5" s="4" t="s">
        <v>0</v>
      </c>
      <c r="B5" s="5" t="s">
        <v>1</v>
      </c>
      <c r="C5" s="6">
        <v>217645</v>
      </c>
      <c r="D5" s="6">
        <v>0</v>
      </c>
      <c r="E5" s="20">
        <f aca="true" t="shared" si="0" ref="E5:E12">D5*100000/C5</f>
        <v>0</v>
      </c>
      <c r="G5" s="15">
        <f aca="true" t="shared" si="1" ref="G5:G11">D5*C16/C5</f>
        <v>0</v>
      </c>
      <c r="H5" s="26">
        <f aca="true" t="shared" si="2" ref="H5:H12">G5*100000/C16</f>
        <v>0</v>
      </c>
      <c r="L5" s="89" t="s">
        <v>66</v>
      </c>
      <c r="M5" s="78">
        <f>H12</f>
        <v>38.40990514656246</v>
      </c>
      <c r="N5" s="77">
        <f>E23</f>
        <v>27.47334871651063</v>
      </c>
      <c r="O5" s="79">
        <f>M5-N5</f>
        <v>10.93655643005183</v>
      </c>
      <c r="P5" s="79">
        <f>M5/N5</f>
        <v>1.398078754173833</v>
      </c>
    </row>
    <row r="6" spans="1:12" ht="12.75">
      <c r="A6" s="4" t="s">
        <v>0</v>
      </c>
      <c r="B6" s="5" t="s">
        <v>2</v>
      </c>
      <c r="C6" s="6">
        <v>145409</v>
      </c>
      <c r="D6" s="6">
        <v>2</v>
      </c>
      <c r="E6" s="20">
        <f t="shared" si="0"/>
        <v>1.3754306817322175</v>
      </c>
      <c r="G6" s="15">
        <f t="shared" si="1"/>
        <v>10.271028615835334</v>
      </c>
      <c r="H6" s="26">
        <f t="shared" si="2"/>
        <v>1.3754306817322175</v>
      </c>
      <c r="J6" s="15"/>
      <c r="L6" s="19"/>
    </row>
    <row r="7" spans="1:12" ht="12.75">
      <c r="A7" s="4" t="s">
        <v>0</v>
      </c>
      <c r="B7" s="5" t="s">
        <v>3</v>
      </c>
      <c r="C7" s="6">
        <v>86644</v>
      </c>
      <c r="D7" s="6">
        <v>16</v>
      </c>
      <c r="E7" s="20">
        <f t="shared" si="0"/>
        <v>18.466368127048614</v>
      </c>
      <c r="G7" s="15">
        <f t="shared" si="1"/>
        <v>118.03961035963252</v>
      </c>
      <c r="H7" s="26">
        <f t="shared" si="2"/>
        <v>18.466368127048614</v>
      </c>
      <c r="L7" s="19"/>
    </row>
    <row r="8" spans="1:12" ht="12.75">
      <c r="A8" s="4" t="s">
        <v>0</v>
      </c>
      <c r="B8" s="5" t="s">
        <v>4</v>
      </c>
      <c r="C8" s="6">
        <v>63454</v>
      </c>
      <c r="D8" s="6">
        <v>34</v>
      </c>
      <c r="E8" s="20">
        <f t="shared" si="0"/>
        <v>53.58212248242822</v>
      </c>
      <c r="G8" s="15">
        <f t="shared" si="1"/>
        <v>227.10621867809752</v>
      </c>
      <c r="H8" s="26">
        <f t="shared" si="2"/>
        <v>53.58212248242821</v>
      </c>
      <c r="L8" s="19"/>
    </row>
    <row r="9" spans="1:12" ht="12.75" customHeight="1">
      <c r="A9" s="4" t="s">
        <v>0</v>
      </c>
      <c r="B9" s="5" t="s">
        <v>5</v>
      </c>
      <c r="C9" s="6">
        <v>41180</v>
      </c>
      <c r="D9" s="6">
        <v>44</v>
      </c>
      <c r="E9" s="20">
        <f t="shared" si="0"/>
        <v>106.84798445847498</v>
      </c>
      <c r="G9" s="15">
        <f t="shared" si="1"/>
        <v>350.54045653229724</v>
      </c>
      <c r="H9" s="26">
        <f t="shared" si="2"/>
        <v>106.84798445847498</v>
      </c>
      <c r="L9" s="19"/>
    </row>
    <row r="10" spans="1:12" ht="12.75" customHeight="1">
      <c r="A10" s="4" t="s">
        <v>0</v>
      </c>
      <c r="B10" s="5" t="s">
        <v>6</v>
      </c>
      <c r="C10" s="6">
        <v>24551</v>
      </c>
      <c r="D10" s="6">
        <v>36</v>
      </c>
      <c r="E10" s="20">
        <f t="shared" si="0"/>
        <v>146.63353834874343</v>
      </c>
      <c r="G10" s="15">
        <f t="shared" si="1"/>
        <v>305.156123986803</v>
      </c>
      <c r="H10" s="26">
        <f t="shared" si="2"/>
        <v>146.63353834874343</v>
      </c>
      <c r="L10" s="19"/>
    </row>
    <row r="11" spans="1:12" ht="12.75">
      <c r="A11" s="4" t="s">
        <v>0</v>
      </c>
      <c r="B11" s="5" t="s">
        <v>7</v>
      </c>
      <c r="C11" s="6">
        <v>19042</v>
      </c>
      <c r="D11" s="6">
        <v>37</v>
      </c>
      <c r="E11" s="20">
        <f t="shared" si="0"/>
        <v>194.30732065959458</v>
      </c>
      <c r="G11" s="15">
        <f t="shared" si="1"/>
        <v>338.0325596050835</v>
      </c>
      <c r="H11" s="26">
        <f t="shared" si="2"/>
        <v>194.3073206595946</v>
      </c>
      <c r="L11" s="19"/>
    </row>
    <row r="12" spans="3:14" ht="12.75">
      <c r="C12" s="8">
        <f>SUM(C5:C11)</f>
        <v>597925</v>
      </c>
      <c r="D12" s="8">
        <f>SUM(D5:D11)</f>
        <v>169</v>
      </c>
      <c r="E12" s="22">
        <f t="shared" si="0"/>
        <v>28.264414433248316</v>
      </c>
      <c r="F12" s="9" t="s">
        <v>11</v>
      </c>
      <c r="G12" s="75">
        <f>SUM(G5:G11)</f>
        <v>1349.145997777749</v>
      </c>
      <c r="H12" s="76">
        <f t="shared" si="2"/>
        <v>38.40990514656246</v>
      </c>
      <c r="I12" s="42" t="s">
        <v>61</v>
      </c>
      <c r="L12" s="74"/>
      <c r="N12" s="15"/>
    </row>
    <row r="13" ht="12.75" customHeight="1" thickBot="1"/>
    <row r="14" spans="7:16" ht="26.25" customHeight="1" thickBot="1">
      <c r="G14" s="105" t="s">
        <v>34</v>
      </c>
      <c r="H14" s="107" t="s">
        <v>40</v>
      </c>
      <c r="L14" s="83" t="s">
        <v>23</v>
      </c>
      <c r="M14" s="84" t="s">
        <v>0</v>
      </c>
      <c r="N14" s="84" t="s">
        <v>15</v>
      </c>
      <c r="O14" s="34" t="s">
        <v>16</v>
      </c>
      <c r="P14" s="85" t="s">
        <v>55</v>
      </c>
    </row>
    <row r="15" spans="1:16" s="30" customFormat="1" ht="36.75" customHeight="1">
      <c r="A15" s="27" t="s">
        <v>21</v>
      </c>
      <c r="B15" s="27" t="s">
        <v>20</v>
      </c>
      <c r="C15" s="27" t="s">
        <v>19</v>
      </c>
      <c r="D15" s="27" t="s">
        <v>18</v>
      </c>
      <c r="E15" s="62" t="s">
        <v>9</v>
      </c>
      <c r="F15" s="2"/>
      <c r="G15" s="106"/>
      <c r="H15" s="108"/>
      <c r="I15" s="109" t="s">
        <v>53</v>
      </c>
      <c r="J15" s="111"/>
      <c r="L15" s="90" t="s">
        <v>14</v>
      </c>
      <c r="M15" s="81">
        <f>E12</f>
        <v>28.264414433248316</v>
      </c>
      <c r="N15" s="81">
        <f>E23</f>
        <v>27.47334871651063</v>
      </c>
      <c r="O15" s="82">
        <f>M15-N15</f>
        <v>0.7910657167376876</v>
      </c>
      <c r="P15" s="82">
        <f>M15/N15</f>
        <v>1.0287939313441714</v>
      </c>
    </row>
    <row r="16" spans="1:16" ht="12.75">
      <c r="A16" s="4" t="s">
        <v>8</v>
      </c>
      <c r="B16" s="5" t="s">
        <v>1</v>
      </c>
      <c r="C16" s="6">
        <v>992534</v>
      </c>
      <c r="D16" s="6">
        <v>0</v>
      </c>
      <c r="E16" s="20">
        <f aca="true" t="shared" si="3" ref="E16:E23">D16*100000/C16</f>
        <v>0</v>
      </c>
      <c r="G16" s="15">
        <f aca="true" t="shared" si="4" ref="G16:G22">D16*C5/C16</f>
        <v>0</v>
      </c>
      <c r="H16" s="26">
        <f aca="true" t="shared" si="5" ref="H16:H23">G16*100000/C5</f>
        <v>0</v>
      </c>
      <c r="L16" s="91" t="s">
        <v>67</v>
      </c>
      <c r="M16" s="81">
        <f>E12</f>
        <v>28.264414433248316</v>
      </c>
      <c r="N16" s="78">
        <f>H23</f>
        <v>20.54877530347622</v>
      </c>
      <c r="O16" s="79">
        <f>M16-N16</f>
        <v>7.7156391297720965</v>
      </c>
      <c r="P16" s="79">
        <f>M16/N16</f>
        <v>1.3754792689989095</v>
      </c>
    </row>
    <row r="17" spans="1:8" ht="12.75">
      <c r="A17" s="4" t="s">
        <v>8</v>
      </c>
      <c r="B17" s="5" t="s">
        <v>2</v>
      </c>
      <c r="C17" s="6">
        <v>746750</v>
      </c>
      <c r="D17" s="6">
        <v>14</v>
      </c>
      <c r="E17" s="20">
        <f t="shared" si="3"/>
        <v>1.874790759959826</v>
      </c>
      <c r="G17" s="15">
        <f t="shared" si="4"/>
        <v>2.7261144961499832</v>
      </c>
      <c r="H17" s="26">
        <f t="shared" si="5"/>
        <v>1.8747907599598257</v>
      </c>
    </row>
    <row r="18" spans="1:8" ht="12.75">
      <c r="A18" s="4" t="s">
        <v>8</v>
      </c>
      <c r="B18" s="5" t="s">
        <v>3</v>
      </c>
      <c r="C18" s="6">
        <v>639214</v>
      </c>
      <c r="D18" s="6">
        <v>76</v>
      </c>
      <c r="E18" s="20">
        <f t="shared" si="3"/>
        <v>11.889601917354751</v>
      </c>
      <c r="G18" s="15">
        <f t="shared" si="4"/>
        <v>10.30162668527285</v>
      </c>
      <c r="H18" s="26">
        <f t="shared" si="5"/>
        <v>11.889601917354751</v>
      </c>
    </row>
    <row r="19" spans="1:8" ht="12.75">
      <c r="A19" s="4" t="s">
        <v>8</v>
      </c>
      <c r="B19" s="5" t="s">
        <v>4</v>
      </c>
      <c r="C19" s="6">
        <v>423847</v>
      </c>
      <c r="D19" s="6">
        <v>195</v>
      </c>
      <c r="E19" s="20">
        <f t="shared" si="3"/>
        <v>46.007167680790474</v>
      </c>
      <c r="G19" s="15">
        <f t="shared" si="4"/>
        <v>29.19338818016879</v>
      </c>
      <c r="H19" s="26">
        <f t="shared" si="5"/>
        <v>46.007167680790474</v>
      </c>
    </row>
    <row r="20" spans="1:8" ht="12.75" customHeight="1">
      <c r="A20" s="4" t="s">
        <v>8</v>
      </c>
      <c r="B20" s="5" t="s">
        <v>5</v>
      </c>
      <c r="C20" s="6">
        <v>328074</v>
      </c>
      <c r="D20" s="6">
        <v>266</v>
      </c>
      <c r="E20" s="20">
        <f t="shared" si="3"/>
        <v>81.07926870157343</v>
      </c>
      <c r="G20" s="15">
        <f t="shared" si="4"/>
        <v>33.388442851307936</v>
      </c>
      <c r="H20" s="26">
        <f t="shared" si="5"/>
        <v>81.07926870157343</v>
      </c>
    </row>
    <row r="21" spans="1:8" ht="12.75">
      <c r="A21" s="4" t="s">
        <v>8</v>
      </c>
      <c r="B21" s="5" t="s">
        <v>6</v>
      </c>
      <c r="C21" s="6">
        <v>208108</v>
      </c>
      <c r="D21" s="6">
        <v>228</v>
      </c>
      <c r="E21" s="20">
        <f t="shared" si="3"/>
        <v>109.55849847194726</v>
      </c>
      <c r="G21" s="15">
        <f t="shared" si="4"/>
        <v>26.89770695984777</v>
      </c>
      <c r="H21" s="26">
        <f t="shared" si="5"/>
        <v>109.55849847194726</v>
      </c>
    </row>
    <row r="22" spans="1:8" ht="12.75">
      <c r="A22" s="4" t="s">
        <v>8</v>
      </c>
      <c r="B22" s="5" t="s">
        <v>7</v>
      </c>
      <c r="C22" s="6">
        <v>173968</v>
      </c>
      <c r="D22" s="6">
        <v>186</v>
      </c>
      <c r="E22" s="20">
        <f t="shared" si="3"/>
        <v>106.91621447622552</v>
      </c>
      <c r="G22" s="15">
        <f t="shared" si="4"/>
        <v>20.35898556056286</v>
      </c>
      <c r="H22" s="26">
        <f t="shared" si="5"/>
        <v>106.9162144762255</v>
      </c>
    </row>
    <row r="23" spans="3:9" ht="12.75">
      <c r="C23" s="8">
        <f>SUM(C16:C22)</f>
        <v>3512495</v>
      </c>
      <c r="D23" s="8">
        <f>SUM(D16:D22)</f>
        <v>965</v>
      </c>
      <c r="E23" s="22">
        <f t="shared" si="3"/>
        <v>27.47334871651063</v>
      </c>
      <c r="F23" s="9" t="s">
        <v>11</v>
      </c>
      <c r="G23" s="75">
        <f>SUM(G16:G22)</f>
        <v>122.86626473331019</v>
      </c>
      <c r="H23" s="76">
        <f t="shared" si="5"/>
        <v>20.54877530347622</v>
      </c>
      <c r="I23" s="42" t="s">
        <v>60</v>
      </c>
    </row>
  </sheetData>
  <sheetProtection/>
  <mergeCells count="6">
    <mergeCell ref="G3:G4"/>
    <mergeCell ref="H3:H4"/>
    <mergeCell ref="G14:G15"/>
    <mergeCell ref="H14:H15"/>
    <mergeCell ref="I4:J4"/>
    <mergeCell ref="I15:J1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2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3.7109375" style="2" customWidth="1"/>
    <col min="2" max="2" width="12.421875" style="2" bestFit="1" customWidth="1"/>
    <col min="3" max="3" width="13.00390625" style="2" customWidth="1"/>
    <col min="4" max="4" width="13.28125" style="2" customWidth="1"/>
    <col min="5" max="5" width="15.28125" style="2" customWidth="1"/>
    <col min="6" max="7" width="13.28125" style="2" customWidth="1"/>
    <col min="8" max="8" width="11.421875" style="2" customWidth="1"/>
    <col min="9" max="9" width="12.421875" style="2" customWidth="1"/>
    <col min="10" max="12" width="11.421875" style="2" customWidth="1"/>
    <col min="13" max="13" width="12.00390625" style="2" customWidth="1"/>
    <col min="14" max="14" width="12.421875" style="2" customWidth="1"/>
    <col min="15" max="15" width="12.7109375" style="2" customWidth="1"/>
    <col min="16" max="16" width="14.8515625" style="2" customWidth="1"/>
    <col min="17" max="17" width="14.421875" style="2" customWidth="1"/>
    <col min="18" max="20" width="11.421875" style="2" customWidth="1"/>
    <col min="21" max="21" width="10.140625" style="2" customWidth="1"/>
    <col min="22" max="22" width="14.140625" style="2" customWidth="1"/>
    <col min="23" max="23" width="13.28125" style="2" customWidth="1"/>
    <col min="24" max="24" width="11.421875" style="2" customWidth="1"/>
    <col min="25" max="25" width="24.57421875" style="2" customWidth="1"/>
    <col min="26" max="26" width="16.140625" style="2" customWidth="1"/>
    <col min="27" max="28" width="11.421875" style="2" customWidth="1"/>
    <col min="29" max="29" width="12.00390625" style="2" customWidth="1"/>
    <col min="30" max="16384" width="11.421875" style="2" customWidth="1"/>
  </cols>
  <sheetData>
    <row r="1" spans="1:7" ht="15">
      <c r="A1" s="118" t="s">
        <v>59</v>
      </c>
      <c r="B1" s="1"/>
      <c r="C1" s="1"/>
      <c r="D1" s="1"/>
      <c r="G1" s="88" t="s">
        <v>50</v>
      </c>
    </row>
    <row r="2" ht="13.5" thickBot="1">
      <c r="A2" s="2" t="s">
        <v>41</v>
      </c>
    </row>
    <row r="3" spans="7:29" ht="26.25" thickBot="1">
      <c r="G3" s="87" t="s">
        <v>49</v>
      </c>
      <c r="Y3" s="83" t="s">
        <v>23</v>
      </c>
      <c r="Z3" s="84" t="s">
        <v>0</v>
      </c>
      <c r="AA3" s="84" t="s">
        <v>15</v>
      </c>
      <c r="AB3" s="34" t="s">
        <v>16</v>
      </c>
      <c r="AC3" s="85" t="s">
        <v>55</v>
      </c>
    </row>
    <row r="4" spans="1:29" ht="24.75" customHeight="1">
      <c r="A4" s="117" t="s">
        <v>21</v>
      </c>
      <c r="B4" s="117" t="s">
        <v>20</v>
      </c>
      <c r="C4" s="117" t="s">
        <v>19</v>
      </c>
      <c r="D4" s="117" t="s">
        <v>18</v>
      </c>
      <c r="E4" s="117" t="s">
        <v>9</v>
      </c>
      <c r="G4" s="114" t="s">
        <v>19</v>
      </c>
      <c r="H4" s="114"/>
      <c r="I4" s="114"/>
      <c r="J4" s="114" t="s">
        <v>32</v>
      </c>
      <c r="K4" s="114"/>
      <c r="L4" s="114"/>
      <c r="M4" s="114" t="s">
        <v>9</v>
      </c>
      <c r="N4" s="114"/>
      <c r="O4" s="114"/>
      <c r="Q4" s="115" t="s">
        <v>36</v>
      </c>
      <c r="R4" s="115"/>
      <c r="S4" s="115"/>
      <c r="T4" s="116" t="s">
        <v>37</v>
      </c>
      <c r="U4" s="116"/>
      <c r="V4" s="116"/>
      <c r="W4" s="112" t="s">
        <v>53</v>
      </c>
      <c r="X4" s="113"/>
      <c r="Y4" s="80" t="s">
        <v>14</v>
      </c>
      <c r="Z4" s="81">
        <f>O13</f>
        <v>28.264414433248316</v>
      </c>
      <c r="AA4" s="81">
        <f>O25</f>
        <v>27.47334871651063</v>
      </c>
      <c r="AB4" s="82">
        <f>Z4-AA4</f>
        <v>0.7910657167376876</v>
      </c>
      <c r="AC4" s="82">
        <f>Z4/AA4</f>
        <v>1.0287939313441714</v>
      </c>
    </row>
    <row r="5" spans="1:29" s="51" customFormat="1" ht="24.75" customHeight="1">
      <c r="A5" s="117"/>
      <c r="B5" s="117"/>
      <c r="C5" s="117"/>
      <c r="D5" s="117"/>
      <c r="E5" s="117"/>
      <c r="G5" s="73" t="s">
        <v>30</v>
      </c>
      <c r="H5" s="73" t="s">
        <v>31</v>
      </c>
      <c r="I5" s="73" t="s">
        <v>33</v>
      </c>
      <c r="J5" s="73" t="s">
        <v>30</v>
      </c>
      <c r="K5" s="73" t="s">
        <v>31</v>
      </c>
      <c r="L5" s="73" t="s">
        <v>33</v>
      </c>
      <c r="M5" s="73" t="s">
        <v>30</v>
      </c>
      <c r="N5" s="73" t="s">
        <v>31</v>
      </c>
      <c r="O5" s="73" t="s">
        <v>33</v>
      </c>
      <c r="Q5" s="73" t="s">
        <v>30</v>
      </c>
      <c r="R5" s="73" t="s">
        <v>31</v>
      </c>
      <c r="S5" s="73" t="s">
        <v>33</v>
      </c>
      <c r="T5" s="92" t="s">
        <v>30</v>
      </c>
      <c r="U5" s="92" t="s">
        <v>31</v>
      </c>
      <c r="V5" s="92" t="s">
        <v>33</v>
      </c>
      <c r="W5" s="112"/>
      <c r="X5" s="113"/>
      <c r="Y5" s="89" t="s">
        <v>65</v>
      </c>
      <c r="Z5" s="78">
        <f>V13</f>
        <v>42.86779602671863</v>
      </c>
      <c r="AA5" s="77">
        <f>O25</f>
        <v>27.47334871651063</v>
      </c>
      <c r="AB5" s="79">
        <f>Z5-AA5</f>
        <v>15.394447310208001</v>
      </c>
      <c r="AC5" s="79">
        <f>Z5/AA5</f>
        <v>1.5603411316566742</v>
      </c>
    </row>
    <row r="6" spans="1:22" ht="12.75">
      <c r="A6" s="4" t="s">
        <v>0</v>
      </c>
      <c r="B6" s="5" t="s">
        <v>1</v>
      </c>
      <c r="C6" s="6">
        <v>217645</v>
      </c>
      <c r="D6" s="6">
        <v>0</v>
      </c>
      <c r="E6" s="20">
        <f aca="true" t="shared" si="0" ref="E6:E13">D6*100000/C6</f>
        <v>0</v>
      </c>
      <c r="G6" s="23">
        <f>C6*4/5</f>
        <v>174116</v>
      </c>
      <c r="H6" s="23">
        <f aca="true" t="shared" si="1" ref="H6:H12">C6-G6</f>
        <v>43529</v>
      </c>
      <c r="I6" s="24">
        <f>G6+H6</f>
        <v>217645</v>
      </c>
      <c r="J6" s="6">
        <v>0</v>
      </c>
      <c r="K6" s="6">
        <v>0</v>
      </c>
      <c r="L6" s="24">
        <f>J6+K6</f>
        <v>0</v>
      </c>
      <c r="M6" s="20">
        <f aca="true" t="shared" si="2" ref="M6:O13">J6*100000/G6</f>
        <v>0</v>
      </c>
      <c r="N6" s="20">
        <f t="shared" si="2"/>
        <v>0</v>
      </c>
      <c r="O6" s="20">
        <f t="shared" si="2"/>
        <v>0</v>
      </c>
      <c r="Q6" s="25">
        <f aca="true" t="shared" si="3" ref="Q6:R12">J6*G18/G6</f>
        <v>0</v>
      </c>
      <c r="R6" s="25">
        <f t="shared" si="3"/>
        <v>0</v>
      </c>
      <c r="S6" s="25">
        <f>SUM(Q6:R6)</f>
        <v>0</v>
      </c>
      <c r="T6" s="26">
        <f aca="true" t="shared" si="4" ref="T6:V13">Q6*100000/G18</f>
        <v>0</v>
      </c>
      <c r="U6" s="26">
        <f t="shared" si="4"/>
        <v>0</v>
      </c>
      <c r="V6" s="26">
        <f t="shared" si="4"/>
        <v>0</v>
      </c>
    </row>
    <row r="7" spans="1:22" ht="12.75">
      <c r="A7" s="4" t="s">
        <v>0</v>
      </c>
      <c r="B7" s="5" t="s">
        <v>2</v>
      </c>
      <c r="C7" s="6">
        <v>145409</v>
      </c>
      <c r="D7" s="6">
        <v>2</v>
      </c>
      <c r="E7" s="20">
        <f t="shared" si="0"/>
        <v>1.3754306817322175</v>
      </c>
      <c r="G7" s="23">
        <f>C7*6/9</f>
        <v>96939.33333333333</v>
      </c>
      <c r="H7" s="23">
        <f t="shared" si="1"/>
        <v>48469.66666666667</v>
      </c>
      <c r="I7" s="24">
        <f aca="true" t="shared" si="5" ref="I7:I12">G7+H7</f>
        <v>145409</v>
      </c>
      <c r="J7" s="6">
        <v>1</v>
      </c>
      <c r="K7" s="6">
        <f aca="true" t="shared" si="6" ref="K7:K12">D7-J7</f>
        <v>1</v>
      </c>
      <c r="L7" s="24">
        <f aca="true" t="shared" si="7" ref="L7:L12">J7+K7</f>
        <v>2</v>
      </c>
      <c r="M7" s="20">
        <f t="shared" si="2"/>
        <v>1.031573011299163</v>
      </c>
      <c r="N7" s="20">
        <f t="shared" si="2"/>
        <v>2.063146022598326</v>
      </c>
      <c r="O7" s="20">
        <f t="shared" si="2"/>
        <v>1.3754306817322175</v>
      </c>
      <c r="Q7" s="25">
        <f t="shared" si="3"/>
        <v>5.777453596407375</v>
      </c>
      <c r="R7" s="25">
        <f t="shared" si="3"/>
        <v>3.85163573093825</v>
      </c>
      <c r="S7" s="25">
        <f aca="true" t="shared" si="8" ref="S7:S13">SUM(Q7:R7)</f>
        <v>9.629089327345625</v>
      </c>
      <c r="T7" s="26">
        <f t="shared" si="4"/>
        <v>1.031573011299163</v>
      </c>
      <c r="U7" s="26">
        <f t="shared" si="4"/>
        <v>2.063146022598326</v>
      </c>
      <c r="V7" s="26">
        <f t="shared" si="4"/>
        <v>1.2894662641239538</v>
      </c>
    </row>
    <row r="8" spans="1:22" ht="12.75">
      <c r="A8" s="4" t="s">
        <v>0</v>
      </c>
      <c r="B8" s="5" t="s">
        <v>3</v>
      </c>
      <c r="C8" s="6">
        <v>86644</v>
      </c>
      <c r="D8" s="6">
        <v>16</v>
      </c>
      <c r="E8" s="20">
        <f t="shared" si="0"/>
        <v>18.466368127048614</v>
      </c>
      <c r="G8" s="23">
        <f>C8*3/4</f>
        <v>64983</v>
      </c>
      <c r="H8" s="23">
        <f t="shared" si="1"/>
        <v>21661</v>
      </c>
      <c r="I8" s="24">
        <f t="shared" si="5"/>
        <v>86644</v>
      </c>
      <c r="J8" s="6">
        <v>3</v>
      </c>
      <c r="K8" s="6">
        <f t="shared" si="6"/>
        <v>13</v>
      </c>
      <c r="L8" s="24">
        <f t="shared" si="7"/>
        <v>16</v>
      </c>
      <c r="M8" s="20">
        <f t="shared" si="2"/>
        <v>4.616592031762154</v>
      </c>
      <c r="N8" s="20">
        <f t="shared" si="2"/>
        <v>60.01569641290799</v>
      </c>
      <c r="O8" s="20">
        <f t="shared" si="2"/>
        <v>18.466368127048614</v>
      </c>
      <c r="Q8" s="25">
        <f t="shared" si="3"/>
        <v>17.705941553944882</v>
      </c>
      <c r="R8" s="25">
        <f t="shared" si="3"/>
        <v>153.45149346752225</v>
      </c>
      <c r="S8" s="25">
        <f t="shared" si="8"/>
        <v>171.15743502146714</v>
      </c>
      <c r="T8" s="26">
        <f t="shared" si="4"/>
        <v>4.6165920317621545</v>
      </c>
      <c r="U8" s="26">
        <f t="shared" si="4"/>
        <v>60.01569641290799</v>
      </c>
      <c r="V8" s="26">
        <f t="shared" si="4"/>
        <v>26.776233784220487</v>
      </c>
    </row>
    <row r="9" spans="1:22" ht="12.75">
      <c r="A9" s="4" t="s">
        <v>0</v>
      </c>
      <c r="B9" s="5" t="s">
        <v>4</v>
      </c>
      <c r="C9" s="6">
        <v>63454</v>
      </c>
      <c r="D9" s="6">
        <v>34</v>
      </c>
      <c r="E9" s="20">
        <f t="shared" si="0"/>
        <v>53.58212248242822</v>
      </c>
      <c r="G9" s="23">
        <f>C9/4</f>
        <v>15863.5</v>
      </c>
      <c r="H9" s="23">
        <f t="shared" si="1"/>
        <v>47590.5</v>
      </c>
      <c r="I9" s="24">
        <f t="shared" si="5"/>
        <v>63454</v>
      </c>
      <c r="J9" s="6">
        <v>8</v>
      </c>
      <c r="K9" s="6">
        <f t="shared" si="6"/>
        <v>26</v>
      </c>
      <c r="L9" s="24">
        <f t="shared" si="7"/>
        <v>34</v>
      </c>
      <c r="M9" s="20">
        <f t="shared" si="2"/>
        <v>50.43023292463832</v>
      </c>
      <c r="N9" s="20">
        <f t="shared" si="2"/>
        <v>54.63275233502485</v>
      </c>
      <c r="O9" s="20">
        <f t="shared" si="2"/>
        <v>53.58212248242822</v>
      </c>
      <c r="Q9" s="25">
        <f t="shared" si="3"/>
        <v>160.31027200806884</v>
      </c>
      <c r="R9" s="25">
        <f t="shared" si="3"/>
        <v>57.88982044735819</v>
      </c>
      <c r="S9" s="25">
        <f t="shared" si="8"/>
        <v>218.200092455427</v>
      </c>
      <c r="T9" s="26">
        <f t="shared" si="4"/>
        <v>50.430232924638325</v>
      </c>
      <c r="U9" s="26">
        <f t="shared" si="4"/>
        <v>54.63275233502485</v>
      </c>
      <c r="V9" s="26">
        <f t="shared" si="4"/>
        <v>51.48086277723495</v>
      </c>
    </row>
    <row r="10" spans="1:22" ht="12.75" customHeight="1">
      <c r="A10" s="4" t="s">
        <v>0</v>
      </c>
      <c r="B10" s="5" t="s">
        <v>5</v>
      </c>
      <c r="C10" s="6">
        <v>41180</v>
      </c>
      <c r="D10" s="6">
        <v>44</v>
      </c>
      <c r="E10" s="20">
        <f t="shared" si="0"/>
        <v>106.84798445847498</v>
      </c>
      <c r="G10" s="23">
        <f>C10*8/10</f>
        <v>32944</v>
      </c>
      <c r="H10" s="23">
        <f t="shared" si="1"/>
        <v>8236</v>
      </c>
      <c r="I10" s="24">
        <f t="shared" si="5"/>
        <v>41180</v>
      </c>
      <c r="J10" s="6">
        <v>14</v>
      </c>
      <c r="K10" s="6">
        <f t="shared" si="6"/>
        <v>30</v>
      </c>
      <c r="L10" s="24">
        <f t="shared" si="7"/>
        <v>44</v>
      </c>
      <c r="M10" s="20">
        <f t="shared" si="2"/>
        <v>42.49635745507528</v>
      </c>
      <c r="N10" s="20">
        <f t="shared" si="2"/>
        <v>364.2544924720738</v>
      </c>
      <c r="O10" s="20">
        <f t="shared" si="2"/>
        <v>106.84798445847498</v>
      </c>
      <c r="Q10" s="25">
        <f t="shared" si="3"/>
        <v>97.59364983001456</v>
      </c>
      <c r="R10" s="25">
        <f t="shared" si="3"/>
        <v>358.5072850898495</v>
      </c>
      <c r="S10" s="25">
        <f t="shared" si="8"/>
        <v>456.1009349198641</v>
      </c>
      <c r="T10" s="26">
        <f t="shared" si="4"/>
        <v>42.49635745507528</v>
      </c>
      <c r="U10" s="26">
        <f t="shared" si="4"/>
        <v>364.2544924720739</v>
      </c>
      <c r="V10" s="26">
        <f t="shared" si="4"/>
        <v>139.02379796017487</v>
      </c>
    </row>
    <row r="11" spans="1:22" ht="12.75" customHeight="1">
      <c r="A11" s="4" t="s">
        <v>0</v>
      </c>
      <c r="B11" s="5" t="s">
        <v>6</v>
      </c>
      <c r="C11" s="6">
        <v>24551</v>
      </c>
      <c r="D11" s="6">
        <v>36</v>
      </c>
      <c r="E11" s="20">
        <f t="shared" si="0"/>
        <v>146.63353834874343</v>
      </c>
      <c r="G11" s="23">
        <f>C11*6/9</f>
        <v>16367.333333333334</v>
      </c>
      <c r="H11" s="23">
        <f t="shared" si="1"/>
        <v>8183.666666666666</v>
      </c>
      <c r="I11" s="24">
        <f t="shared" si="5"/>
        <v>24551</v>
      </c>
      <c r="J11" s="6">
        <v>9</v>
      </c>
      <c r="K11" s="6">
        <f t="shared" si="6"/>
        <v>27</v>
      </c>
      <c r="L11" s="24">
        <f t="shared" si="7"/>
        <v>36</v>
      </c>
      <c r="M11" s="20">
        <f t="shared" si="2"/>
        <v>54.98757688077878</v>
      </c>
      <c r="N11" s="20">
        <f t="shared" si="2"/>
        <v>329.92546128467274</v>
      </c>
      <c r="O11" s="20">
        <f t="shared" si="2"/>
        <v>146.63353834874343</v>
      </c>
      <c r="Q11" s="25">
        <f t="shared" si="3"/>
        <v>63.57419249725062</v>
      </c>
      <c r="R11" s="25">
        <f t="shared" si="3"/>
        <v>305.156123986803</v>
      </c>
      <c r="S11" s="25">
        <f t="shared" si="8"/>
        <v>368.7303164840536</v>
      </c>
      <c r="T11" s="26">
        <f t="shared" si="4"/>
        <v>54.98757688077879</v>
      </c>
      <c r="U11" s="26">
        <f t="shared" si="4"/>
        <v>329.92546128467274</v>
      </c>
      <c r="V11" s="26">
        <f t="shared" si="4"/>
        <v>177.1821921713983</v>
      </c>
    </row>
    <row r="12" spans="1:22" ht="12.75">
      <c r="A12" s="4" t="s">
        <v>0</v>
      </c>
      <c r="B12" s="5" t="s">
        <v>7</v>
      </c>
      <c r="C12" s="6">
        <v>19042</v>
      </c>
      <c r="D12" s="6">
        <v>37</v>
      </c>
      <c r="E12" s="20">
        <f t="shared" si="0"/>
        <v>194.30732065959458</v>
      </c>
      <c r="G12" s="23">
        <f>C12*6/8</f>
        <v>14281.5</v>
      </c>
      <c r="H12" s="23">
        <f t="shared" si="1"/>
        <v>4760.5</v>
      </c>
      <c r="I12" s="24">
        <f t="shared" si="5"/>
        <v>19042</v>
      </c>
      <c r="J12" s="6">
        <v>17</v>
      </c>
      <c r="K12" s="6">
        <f t="shared" si="6"/>
        <v>20</v>
      </c>
      <c r="L12" s="24">
        <f t="shared" si="7"/>
        <v>37</v>
      </c>
      <c r="M12" s="20">
        <f t="shared" si="2"/>
        <v>119.03511535903091</v>
      </c>
      <c r="N12" s="20">
        <f t="shared" si="2"/>
        <v>420.1239365612856</v>
      </c>
      <c r="O12" s="20">
        <f t="shared" si="2"/>
        <v>194.30732065959458</v>
      </c>
      <c r="Q12" s="25">
        <f t="shared" si="3"/>
        <v>177.49972241811335</v>
      </c>
      <c r="R12" s="25">
        <f t="shared" si="3"/>
        <v>104.41160142241958</v>
      </c>
      <c r="S12" s="25">
        <f t="shared" si="8"/>
        <v>281.91132384053293</v>
      </c>
      <c r="T12" s="26">
        <f t="shared" si="4"/>
        <v>119.03511535903091</v>
      </c>
      <c r="U12" s="26">
        <f t="shared" si="4"/>
        <v>420.12393656128563</v>
      </c>
      <c r="V12" s="26">
        <f t="shared" si="4"/>
        <v>162.04780410221014</v>
      </c>
    </row>
    <row r="13" spans="3:23" ht="12.75">
      <c r="C13" s="8">
        <f>SUM(C6:C12)</f>
        <v>597925</v>
      </c>
      <c r="D13" s="8">
        <f>SUM(D6:D12)</f>
        <v>169</v>
      </c>
      <c r="E13" s="22">
        <f t="shared" si="0"/>
        <v>28.264414433248316</v>
      </c>
      <c r="F13" s="9" t="s">
        <v>11</v>
      </c>
      <c r="G13" s="8">
        <f>SUM(G6:G12)</f>
        <v>415494.6666666666</v>
      </c>
      <c r="H13" s="8">
        <f>SUM(H6:H12)</f>
        <v>182430.33333333334</v>
      </c>
      <c r="I13" s="8">
        <f>G13+H13</f>
        <v>597925</v>
      </c>
      <c r="J13" s="8">
        <f>SUM(J6:J12)</f>
        <v>52</v>
      </c>
      <c r="K13" s="8">
        <f>SUM(K6:K12)</f>
        <v>117</v>
      </c>
      <c r="L13" s="8">
        <f>J13+K13</f>
        <v>169</v>
      </c>
      <c r="M13" s="21">
        <f t="shared" si="2"/>
        <v>12.515202762329883</v>
      </c>
      <c r="N13" s="21">
        <f t="shared" si="2"/>
        <v>64.13407127104227</v>
      </c>
      <c r="O13" s="21">
        <f t="shared" si="2"/>
        <v>28.264414433248316</v>
      </c>
      <c r="P13" s="9" t="s">
        <v>38</v>
      </c>
      <c r="Q13" s="75">
        <f>SUM(Q6:Q12)</f>
        <v>522.4612319037997</v>
      </c>
      <c r="R13" s="75">
        <f>SUM(R6:R12)</f>
        <v>983.2679601448908</v>
      </c>
      <c r="S13" s="75">
        <f t="shared" si="8"/>
        <v>1505.7291920486905</v>
      </c>
      <c r="T13" s="86">
        <f t="shared" si="4"/>
        <v>28.620007841430382</v>
      </c>
      <c r="U13" s="86">
        <f t="shared" si="4"/>
        <v>58.28553415062307</v>
      </c>
      <c r="V13" s="86">
        <f t="shared" si="4"/>
        <v>42.86779602671863</v>
      </c>
      <c r="W13" s="42" t="s">
        <v>63</v>
      </c>
    </row>
    <row r="14" spans="6:23" s="43" customFormat="1" ht="12" customHeight="1" thickBot="1">
      <c r="F14" s="44"/>
      <c r="G14" s="45"/>
      <c r="H14" s="45"/>
      <c r="I14" s="45"/>
      <c r="J14" s="45"/>
      <c r="K14" s="45"/>
      <c r="L14" s="45"/>
      <c r="M14" s="46"/>
      <c r="N14" s="46"/>
      <c r="O14" s="46"/>
      <c r="P14" s="44"/>
      <c r="Q14" s="45"/>
      <c r="R14" s="45"/>
      <c r="S14" s="45"/>
      <c r="T14" s="46"/>
      <c r="U14" s="46"/>
      <c r="V14" s="46"/>
      <c r="W14" s="44"/>
    </row>
    <row r="15" spans="6:29" ht="30" customHeight="1" thickBot="1">
      <c r="F15" s="44"/>
      <c r="G15" s="87" t="s">
        <v>49</v>
      </c>
      <c r="H15" s="15"/>
      <c r="I15" s="15"/>
      <c r="K15" s="18"/>
      <c r="L15" s="18"/>
      <c r="Y15" s="83" t="s">
        <v>23</v>
      </c>
      <c r="Z15" s="84" t="s">
        <v>0</v>
      </c>
      <c r="AA15" s="84" t="s">
        <v>15</v>
      </c>
      <c r="AB15" s="34" t="s">
        <v>16</v>
      </c>
      <c r="AC15" s="85" t="s">
        <v>55</v>
      </c>
    </row>
    <row r="16" spans="1:29" ht="26.25" customHeight="1">
      <c r="A16" s="117" t="s">
        <v>21</v>
      </c>
      <c r="B16" s="117" t="s">
        <v>20</v>
      </c>
      <c r="C16" s="117" t="s">
        <v>19</v>
      </c>
      <c r="D16" s="117" t="s">
        <v>18</v>
      </c>
      <c r="E16" s="117" t="s">
        <v>9</v>
      </c>
      <c r="F16" s="44"/>
      <c r="G16" s="114" t="s">
        <v>19</v>
      </c>
      <c r="H16" s="114"/>
      <c r="I16" s="114"/>
      <c r="J16" s="114" t="s">
        <v>32</v>
      </c>
      <c r="K16" s="114"/>
      <c r="L16" s="114"/>
      <c r="M16" s="114" t="s">
        <v>9</v>
      </c>
      <c r="N16" s="114"/>
      <c r="O16" s="114"/>
      <c r="Q16" s="115" t="s">
        <v>34</v>
      </c>
      <c r="R16" s="115"/>
      <c r="S16" s="115"/>
      <c r="T16" s="116" t="s">
        <v>35</v>
      </c>
      <c r="U16" s="116"/>
      <c r="V16" s="116"/>
      <c r="W16" s="112" t="s">
        <v>53</v>
      </c>
      <c r="X16" s="113"/>
      <c r="Y16" s="90" t="s">
        <v>14</v>
      </c>
      <c r="Z16" s="81">
        <f>O13</f>
        <v>28.264414433248316</v>
      </c>
      <c r="AA16" s="81">
        <f>O25</f>
        <v>27.47334871651063</v>
      </c>
      <c r="AB16" s="82">
        <f>Z16-AA16</f>
        <v>0.7910657167376876</v>
      </c>
      <c r="AC16" s="82">
        <f>Z16/AA16</f>
        <v>1.0287939313441714</v>
      </c>
    </row>
    <row r="17" spans="1:29" s="51" customFormat="1" ht="24.75" customHeight="1">
      <c r="A17" s="117"/>
      <c r="B17" s="117"/>
      <c r="C17" s="117"/>
      <c r="D17" s="117"/>
      <c r="E17" s="117"/>
      <c r="F17" s="93"/>
      <c r="G17" s="73" t="s">
        <v>30</v>
      </c>
      <c r="H17" s="73" t="s">
        <v>31</v>
      </c>
      <c r="I17" s="73" t="s">
        <v>33</v>
      </c>
      <c r="J17" s="73" t="s">
        <v>30</v>
      </c>
      <c r="K17" s="73" t="s">
        <v>31</v>
      </c>
      <c r="L17" s="73" t="s">
        <v>33</v>
      </c>
      <c r="M17" s="73" t="s">
        <v>30</v>
      </c>
      <c r="N17" s="73" t="s">
        <v>31</v>
      </c>
      <c r="O17" s="73" t="s">
        <v>33</v>
      </c>
      <c r="Q17" s="73" t="s">
        <v>30</v>
      </c>
      <c r="R17" s="73" t="s">
        <v>31</v>
      </c>
      <c r="S17" s="73" t="s">
        <v>33</v>
      </c>
      <c r="T17" s="92" t="s">
        <v>30</v>
      </c>
      <c r="U17" s="92" t="s">
        <v>31</v>
      </c>
      <c r="V17" s="92" t="s">
        <v>33</v>
      </c>
      <c r="W17" s="112"/>
      <c r="X17" s="113"/>
      <c r="Y17" s="91" t="s">
        <v>64</v>
      </c>
      <c r="Z17" s="81">
        <f>O13</f>
        <v>28.264414433248316</v>
      </c>
      <c r="AA17" s="78">
        <f>V25</f>
        <v>20.54877530347622</v>
      </c>
      <c r="AB17" s="79">
        <f>Z17-AA17</f>
        <v>7.7156391297720965</v>
      </c>
      <c r="AC17" s="79">
        <f>Z17/AA17</f>
        <v>1.3754792689989095</v>
      </c>
    </row>
    <row r="18" spans="1:22" ht="12.75">
      <c r="A18" s="4" t="s">
        <v>8</v>
      </c>
      <c r="B18" s="5" t="s">
        <v>1</v>
      </c>
      <c r="C18" s="6">
        <v>992534</v>
      </c>
      <c r="D18" s="6">
        <v>0</v>
      </c>
      <c r="E18" s="20">
        <f aca="true" t="shared" si="9" ref="E18:E25">D18*100000/C18</f>
        <v>0</v>
      </c>
      <c r="F18" s="44"/>
      <c r="G18" s="23">
        <f>C18*4/57</f>
        <v>69651.50877192983</v>
      </c>
      <c r="H18" s="23">
        <f aca="true" t="shared" si="10" ref="H18:H24">C18-G18</f>
        <v>922882.4912280701</v>
      </c>
      <c r="I18" s="24">
        <f>G18+H18</f>
        <v>992534</v>
      </c>
      <c r="J18" s="6">
        <v>0</v>
      </c>
      <c r="K18" s="6">
        <v>0</v>
      </c>
      <c r="L18" s="24">
        <f>J18+K18</f>
        <v>0</v>
      </c>
      <c r="M18" s="20">
        <f>J18*100000/G18</f>
        <v>0</v>
      </c>
      <c r="N18" s="20">
        <f>K18*100000/H18</f>
        <v>0</v>
      </c>
      <c r="O18" s="20">
        <f>L18*100000/I18</f>
        <v>0</v>
      </c>
      <c r="Q18" s="25">
        <f aca="true" t="shared" si="11" ref="Q18:S24">J18*G6/G18</f>
        <v>0</v>
      </c>
      <c r="R18" s="25">
        <f t="shared" si="11"/>
        <v>0</v>
      </c>
      <c r="S18" s="25">
        <f t="shared" si="11"/>
        <v>0</v>
      </c>
      <c r="T18" s="61">
        <f aca="true" t="shared" si="12" ref="T18:V25">Q18*100000/G6</f>
        <v>0</v>
      </c>
      <c r="U18" s="61">
        <f t="shared" si="12"/>
        <v>0</v>
      </c>
      <c r="V18" s="61">
        <f t="shared" si="12"/>
        <v>0</v>
      </c>
    </row>
    <row r="19" spans="1:22" ht="12.75">
      <c r="A19" s="4" t="s">
        <v>8</v>
      </c>
      <c r="B19" s="5" t="s">
        <v>2</v>
      </c>
      <c r="C19" s="6">
        <v>746750</v>
      </c>
      <c r="D19" s="6">
        <v>14</v>
      </c>
      <c r="E19" s="20">
        <f t="shared" si="9"/>
        <v>1.874790759959826</v>
      </c>
      <c r="G19" s="23">
        <f>C19*6/8</f>
        <v>560062.5</v>
      </c>
      <c r="H19" s="23">
        <f t="shared" si="10"/>
        <v>186687.5</v>
      </c>
      <c r="I19" s="24">
        <f aca="true" t="shared" si="13" ref="I19:I24">G19+H19</f>
        <v>746750</v>
      </c>
      <c r="J19" s="6">
        <v>9</v>
      </c>
      <c r="K19" s="6">
        <f aca="true" t="shared" si="14" ref="K19:K24">D19-J19</f>
        <v>5</v>
      </c>
      <c r="L19" s="24">
        <f aca="true" t="shared" si="15" ref="L19:L24">J19+K19</f>
        <v>14</v>
      </c>
      <c r="M19" s="20">
        <f aca="true" t="shared" si="16" ref="M19:M25">J19*100000/G19</f>
        <v>1.6069635085369935</v>
      </c>
      <c r="N19" s="20">
        <f aca="true" t="shared" si="17" ref="N19:N25">K19*100000/H19</f>
        <v>2.678272514228323</v>
      </c>
      <c r="O19" s="20">
        <f aca="true" t="shared" si="18" ref="O19:O25">L19*100000/I19</f>
        <v>1.874790759959826</v>
      </c>
      <c r="P19" s="19"/>
      <c r="Q19" s="25">
        <f t="shared" si="11"/>
        <v>1.5577797120857046</v>
      </c>
      <c r="R19" s="25">
        <f t="shared" si="11"/>
        <v>1.298149760071421</v>
      </c>
      <c r="S19" s="25">
        <f t="shared" si="11"/>
        <v>2.7261144961499832</v>
      </c>
      <c r="T19" s="61">
        <f t="shared" si="12"/>
        <v>1.6069635085369938</v>
      </c>
      <c r="U19" s="61">
        <f t="shared" si="12"/>
        <v>2.6782725142283232</v>
      </c>
      <c r="V19" s="61">
        <f t="shared" si="12"/>
        <v>1.8747907599598257</v>
      </c>
    </row>
    <row r="20" spans="1:22" ht="12.75">
      <c r="A20" s="4" t="s">
        <v>8</v>
      </c>
      <c r="B20" s="5" t="s">
        <v>3</v>
      </c>
      <c r="C20" s="6">
        <v>639214</v>
      </c>
      <c r="D20" s="6">
        <v>76</v>
      </c>
      <c r="E20" s="20">
        <f t="shared" si="9"/>
        <v>11.889601917354751</v>
      </c>
      <c r="G20" s="23">
        <f>C20*3/5</f>
        <v>383528.4</v>
      </c>
      <c r="H20" s="23">
        <f t="shared" si="10"/>
        <v>255685.59999999998</v>
      </c>
      <c r="I20" s="24">
        <f t="shared" si="13"/>
        <v>639214</v>
      </c>
      <c r="J20" s="6">
        <v>51</v>
      </c>
      <c r="K20" s="6">
        <f t="shared" si="14"/>
        <v>25</v>
      </c>
      <c r="L20" s="24">
        <f t="shared" si="15"/>
        <v>76</v>
      </c>
      <c r="M20" s="20">
        <f t="shared" si="16"/>
        <v>13.297581091778339</v>
      </c>
      <c r="N20" s="20">
        <f t="shared" si="17"/>
        <v>9.777633155719368</v>
      </c>
      <c r="O20" s="20">
        <f t="shared" si="18"/>
        <v>11.889601917354751</v>
      </c>
      <c r="P20" s="19"/>
      <c r="Q20" s="25">
        <f t="shared" si="11"/>
        <v>8.641167120870318</v>
      </c>
      <c r="R20" s="25">
        <f t="shared" si="11"/>
        <v>2.1179331178603724</v>
      </c>
      <c r="S20" s="25">
        <f t="shared" si="11"/>
        <v>10.30162668527285</v>
      </c>
      <c r="T20" s="61">
        <f t="shared" si="12"/>
        <v>13.297581091778339</v>
      </c>
      <c r="U20" s="61">
        <f t="shared" si="12"/>
        <v>9.777633155719368</v>
      </c>
      <c r="V20" s="61">
        <f t="shared" si="12"/>
        <v>11.889601917354751</v>
      </c>
    </row>
    <row r="21" spans="1:22" ht="12.75">
      <c r="A21" s="4" t="s">
        <v>8</v>
      </c>
      <c r="B21" s="5" t="s">
        <v>4</v>
      </c>
      <c r="C21" s="6">
        <v>423847</v>
      </c>
      <c r="D21" s="6">
        <v>195</v>
      </c>
      <c r="E21" s="20">
        <f t="shared" si="9"/>
        <v>46.007167680790474</v>
      </c>
      <c r="G21" s="23">
        <f>C21*3/4</f>
        <v>317885.25</v>
      </c>
      <c r="H21" s="23">
        <f t="shared" si="10"/>
        <v>105961.75</v>
      </c>
      <c r="I21" s="24">
        <f t="shared" si="13"/>
        <v>423847</v>
      </c>
      <c r="J21" s="6">
        <v>121</v>
      </c>
      <c r="K21" s="6">
        <f t="shared" si="14"/>
        <v>74</v>
      </c>
      <c r="L21" s="24">
        <f t="shared" si="15"/>
        <v>195</v>
      </c>
      <c r="M21" s="20">
        <f t="shared" si="16"/>
        <v>38.06404984188477</v>
      </c>
      <c r="N21" s="20">
        <f t="shared" si="17"/>
        <v>69.8365211975076</v>
      </c>
      <c r="O21" s="20">
        <f t="shared" si="18"/>
        <v>46.007167680790474</v>
      </c>
      <c r="P21" s="19"/>
      <c r="Q21" s="25">
        <f t="shared" si="11"/>
        <v>6.03829054666739</v>
      </c>
      <c r="R21" s="25">
        <f t="shared" si="11"/>
        <v>33.23554962049985</v>
      </c>
      <c r="S21" s="25">
        <f t="shared" si="11"/>
        <v>29.19338818016879</v>
      </c>
      <c r="T21" s="61">
        <f t="shared" si="12"/>
        <v>38.064049841884774</v>
      </c>
      <c r="U21" s="61">
        <f t="shared" si="12"/>
        <v>69.8365211975076</v>
      </c>
      <c r="V21" s="61">
        <f t="shared" si="12"/>
        <v>46.007167680790474</v>
      </c>
    </row>
    <row r="22" spans="1:22" ht="12.75" customHeight="1">
      <c r="A22" s="4" t="s">
        <v>8</v>
      </c>
      <c r="B22" s="5" t="s">
        <v>5</v>
      </c>
      <c r="C22" s="6">
        <v>328074</v>
      </c>
      <c r="D22" s="6">
        <v>266</v>
      </c>
      <c r="E22" s="20">
        <f t="shared" si="9"/>
        <v>81.07926870157343</v>
      </c>
      <c r="G22" s="23">
        <f>C22*7/10</f>
        <v>229651.8</v>
      </c>
      <c r="H22" s="23">
        <f t="shared" si="10"/>
        <v>98422.20000000001</v>
      </c>
      <c r="I22" s="24">
        <f t="shared" si="13"/>
        <v>328074</v>
      </c>
      <c r="J22" s="6">
        <v>191</v>
      </c>
      <c r="K22" s="6">
        <f t="shared" si="14"/>
        <v>75</v>
      </c>
      <c r="L22" s="24">
        <f t="shared" si="15"/>
        <v>266</v>
      </c>
      <c r="M22" s="20">
        <f t="shared" si="16"/>
        <v>83.16938948442817</v>
      </c>
      <c r="N22" s="20">
        <f t="shared" si="17"/>
        <v>76.2023202082457</v>
      </c>
      <c r="O22" s="20">
        <f t="shared" si="18"/>
        <v>81.07926870157343</v>
      </c>
      <c r="P22" s="19"/>
      <c r="Q22" s="25">
        <f t="shared" si="11"/>
        <v>27.399323671750015</v>
      </c>
      <c r="R22" s="25">
        <f t="shared" si="11"/>
        <v>6.2760230923511156</v>
      </c>
      <c r="S22" s="25">
        <f t="shared" si="11"/>
        <v>33.388442851307936</v>
      </c>
      <c r="T22" s="61">
        <f t="shared" si="12"/>
        <v>83.16938948442817</v>
      </c>
      <c r="U22" s="61">
        <f t="shared" si="12"/>
        <v>76.2023202082457</v>
      </c>
      <c r="V22" s="61">
        <f t="shared" si="12"/>
        <v>81.07926870157343</v>
      </c>
    </row>
    <row r="23" spans="1:22" ht="12.75">
      <c r="A23" s="4" t="s">
        <v>8</v>
      </c>
      <c r="B23" s="5" t="s">
        <v>6</v>
      </c>
      <c r="C23" s="6">
        <v>208108</v>
      </c>
      <c r="D23" s="6">
        <v>228</v>
      </c>
      <c r="E23" s="20">
        <f t="shared" si="9"/>
        <v>109.55849847194726</v>
      </c>
      <c r="G23" s="23">
        <f>C23*5/9</f>
        <v>115615.55555555556</v>
      </c>
      <c r="H23" s="23">
        <f t="shared" si="10"/>
        <v>92492.44444444444</v>
      </c>
      <c r="I23" s="24">
        <f t="shared" si="13"/>
        <v>208108</v>
      </c>
      <c r="J23" s="6">
        <v>137</v>
      </c>
      <c r="K23" s="6">
        <f t="shared" si="14"/>
        <v>91</v>
      </c>
      <c r="L23" s="24">
        <f t="shared" si="15"/>
        <v>228</v>
      </c>
      <c r="M23" s="20">
        <f t="shared" si="16"/>
        <v>118.49616545255347</v>
      </c>
      <c r="N23" s="20">
        <f t="shared" si="17"/>
        <v>98.38641474618949</v>
      </c>
      <c r="O23" s="20">
        <f t="shared" si="18"/>
        <v>109.55849847194726</v>
      </c>
      <c r="P23" s="19"/>
      <c r="Q23" s="25">
        <f t="shared" si="11"/>
        <v>19.394662386837606</v>
      </c>
      <c r="R23" s="25">
        <f t="shared" si="11"/>
        <v>8.051616228112326</v>
      </c>
      <c r="S23" s="25">
        <f t="shared" si="11"/>
        <v>26.89770695984777</v>
      </c>
      <c r="T23" s="61">
        <f t="shared" si="12"/>
        <v>118.4961654525535</v>
      </c>
      <c r="U23" s="61">
        <f t="shared" si="12"/>
        <v>98.38641474618949</v>
      </c>
      <c r="V23" s="61">
        <f t="shared" si="12"/>
        <v>109.55849847194726</v>
      </c>
    </row>
    <row r="24" spans="1:22" ht="12.75">
      <c r="A24" s="4" t="s">
        <v>8</v>
      </c>
      <c r="B24" s="5" t="s">
        <v>7</v>
      </c>
      <c r="C24" s="6">
        <v>173968</v>
      </c>
      <c r="D24" s="6">
        <v>186</v>
      </c>
      <c r="E24" s="20">
        <f t="shared" si="9"/>
        <v>106.91621447622552</v>
      </c>
      <c r="G24" s="23">
        <f>C24*6/7</f>
        <v>149115.42857142858</v>
      </c>
      <c r="H24" s="23">
        <f t="shared" si="10"/>
        <v>24852.57142857142</v>
      </c>
      <c r="I24" s="24">
        <f t="shared" si="13"/>
        <v>173968</v>
      </c>
      <c r="J24" s="6">
        <v>160</v>
      </c>
      <c r="K24" s="6">
        <f t="shared" si="14"/>
        <v>26</v>
      </c>
      <c r="L24" s="24">
        <f t="shared" si="15"/>
        <v>186</v>
      </c>
      <c r="M24" s="20">
        <f t="shared" si="16"/>
        <v>107.29942671449155</v>
      </c>
      <c r="N24" s="20">
        <f t="shared" si="17"/>
        <v>104.6169410466293</v>
      </c>
      <c r="O24" s="20">
        <f t="shared" si="18"/>
        <v>106.91621447622552</v>
      </c>
      <c r="P24" s="19"/>
      <c r="Q24" s="25">
        <f t="shared" si="11"/>
        <v>15.323967626230111</v>
      </c>
      <c r="R24" s="25">
        <f t="shared" si="11"/>
        <v>4.980289478524788</v>
      </c>
      <c r="S24" s="25">
        <f t="shared" si="11"/>
        <v>20.35898556056286</v>
      </c>
      <c r="T24" s="61">
        <f t="shared" si="12"/>
        <v>107.29942671449156</v>
      </c>
      <c r="U24" s="61">
        <f t="shared" si="12"/>
        <v>104.6169410466293</v>
      </c>
      <c r="V24" s="61">
        <f t="shared" si="12"/>
        <v>106.9162144762255</v>
      </c>
    </row>
    <row r="25" spans="3:23" ht="12.75">
      <c r="C25" s="8">
        <f>SUM(C18:C24)</f>
        <v>3512495</v>
      </c>
      <c r="D25" s="8">
        <f>SUM(D18:D24)</f>
        <v>965</v>
      </c>
      <c r="E25" s="22">
        <f t="shared" si="9"/>
        <v>27.47334871651063</v>
      </c>
      <c r="F25" s="9" t="s">
        <v>11</v>
      </c>
      <c r="G25" s="8">
        <f>SUM(G18:G24)</f>
        <v>1825510.442898914</v>
      </c>
      <c r="H25" s="8">
        <f>SUM(H18:H24)</f>
        <v>1686984.557101086</v>
      </c>
      <c r="I25" s="8">
        <f>G25+H25</f>
        <v>3512495</v>
      </c>
      <c r="J25" s="8">
        <f>SUM(J18:J24)</f>
        <v>669</v>
      </c>
      <c r="K25" s="8">
        <f>SUM(K18:K24)</f>
        <v>296</v>
      </c>
      <c r="L25" s="8">
        <f>J25+K25</f>
        <v>965</v>
      </c>
      <c r="M25" s="21">
        <f t="shared" si="16"/>
        <v>36.64728419398285</v>
      </c>
      <c r="N25" s="21">
        <f t="shared" si="17"/>
        <v>17.546100155691192</v>
      </c>
      <c r="O25" s="21">
        <f t="shared" si="18"/>
        <v>27.47334871651063</v>
      </c>
      <c r="P25" s="9" t="s">
        <v>38</v>
      </c>
      <c r="Q25" s="75">
        <f>SUM(Q19:Q24)</f>
        <v>78.35519106444114</v>
      </c>
      <c r="R25" s="75">
        <f>SUM(R19:R24)</f>
        <v>55.959561297419874</v>
      </c>
      <c r="S25" s="75">
        <f>SUM(S19:S24)</f>
        <v>122.86626473331019</v>
      </c>
      <c r="T25" s="86">
        <f t="shared" si="12"/>
        <v>18.8582904548573</v>
      </c>
      <c r="U25" s="86">
        <f t="shared" si="12"/>
        <v>30.67448284226483</v>
      </c>
      <c r="V25" s="86">
        <f t="shared" si="12"/>
        <v>20.54877530347622</v>
      </c>
      <c r="W25" s="42" t="s">
        <v>62</v>
      </c>
    </row>
    <row r="26" spans="8:18" ht="12.75">
      <c r="H26" s="15"/>
      <c r="I26" s="15"/>
      <c r="K26" s="18"/>
      <c r="L26" s="18"/>
      <c r="N26" s="18"/>
      <c r="P26" s="15"/>
      <c r="R26" s="18"/>
    </row>
    <row r="28" ht="12.75">
      <c r="Q28" s="47"/>
    </row>
    <row r="29" ht="12.75">
      <c r="Q29" s="47"/>
    </row>
  </sheetData>
  <sheetProtection/>
  <mergeCells count="22">
    <mergeCell ref="D4:D5"/>
    <mergeCell ref="E4:E5"/>
    <mergeCell ref="G4:I4"/>
    <mergeCell ref="J4:L4"/>
    <mergeCell ref="A16:A17"/>
    <mergeCell ref="B16:B17"/>
    <mergeCell ref="C16:C17"/>
    <mergeCell ref="D16:D17"/>
    <mergeCell ref="E16:E17"/>
    <mergeCell ref="A4:A5"/>
    <mergeCell ref="B4:B5"/>
    <mergeCell ref="C4:C5"/>
    <mergeCell ref="W16:X17"/>
    <mergeCell ref="W4:X5"/>
    <mergeCell ref="M4:O4"/>
    <mergeCell ref="G16:I16"/>
    <mergeCell ref="J16:L16"/>
    <mergeCell ref="M16:O16"/>
    <mergeCell ref="Q16:S16"/>
    <mergeCell ref="T16:V16"/>
    <mergeCell ref="Q4:S4"/>
    <mergeCell ref="T4:V4"/>
  </mergeCells>
  <printOptions/>
  <pageMargins left="0.7" right="0.7" top="0.75" bottom="0.75" header="0.3" footer="0.3"/>
  <pageSetup horizontalDpi="200" verticalDpi="200" orientation="portrait" r:id="rId2"/>
  <ignoredErrors>
    <ignoredError sqref="I13 I25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Galo</dc:creator>
  <cp:keywords/>
  <dc:description/>
  <cp:lastModifiedBy>Galo</cp:lastModifiedBy>
  <cp:lastPrinted>2013-12-11T17:23:58Z</cp:lastPrinted>
  <dcterms:created xsi:type="dcterms:W3CDTF">2003-09-03T09:24:43Z</dcterms:created>
  <dcterms:modified xsi:type="dcterms:W3CDTF">2020-04-06T16:30:42Z</dcterms:modified>
  <cp:category/>
  <cp:version/>
  <cp:contentType/>
  <cp:contentStatus/>
</cp:coreProperties>
</file>