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6090" windowHeight="4320" tabRatio="636" activeTab="0"/>
  </bookViews>
  <sheets>
    <sheet name="Ej Pali vs Halo" sheetId="1" r:id="rId1"/>
    <sheet name="La mitad de la mitad" sheetId="2" r:id="rId2"/>
    <sheet name="Ej teórico" sheetId="3" r:id="rId3"/>
    <sheet name="Ev pers-año" sheetId="4" r:id="rId4"/>
    <sheet name="Generalides" sheetId="5" r:id="rId5"/>
  </sheets>
  <definedNames/>
  <calcPr fullCalcOnLoad="1"/>
</workbook>
</file>

<file path=xl/sharedStrings.xml><?xml version="1.0" encoding="utf-8"?>
<sst xmlns="http://schemas.openxmlformats.org/spreadsheetml/2006/main" count="454" uniqueCount="295">
  <si>
    <t>Placebo</t>
  </si>
  <si>
    <t>Supervivencia</t>
  </si>
  <si>
    <t>Error Est S</t>
  </si>
  <si>
    <t>Nº sucesos</t>
  </si>
  <si>
    <t>CÁLCULOS DE GALO</t>
  </si>
  <si>
    <t>Superv (tasa)</t>
  </si>
  <si>
    <t>% Sobreviven</t>
  </si>
  <si>
    <t>Prob condic</t>
  </si>
  <si>
    <t>[ (1-Supervivencia) / N]</t>
  </si>
  <si>
    <t>El error estándar lo calculan los programas por el método de Greenwood,</t>
  </si>
  <si>
    <t>Tiempo (días)</t>
  </si>
  <si>
    <t>de supervivencia que los que siguen en el estudio.</t>
  </si>
  <si>
    <t>Pero no tieniéndolo, se puede calcular aproximadamente como el error estándar de las proporciones</t>
  </si>
  <si>
    <t>Censurados</t>
  </si>
  <si>
    <t>Empiezan</t>
  </si>
  <si>
    <t>Terminan</t>
  </si>
  <si>
    <t>Por ello, es importante usar los intervalos más cortos (más cantidad de filas) para el análisis numérico y las curvas.</t>
  </si>
  <si>
    <t>Los intervalos largos producen sesgos hacia supervivencias más grandes.</t>
  </si>
  <si>
    <t>Para comparar dos curvas de supervivencia de forma global se suele emplear la prueba denominada logaritmo-rango (log−rank).</t>
  </si>
  <si>
    <t>no se registre como "muerte", dado que no sabemos si el paciente sigue o no en la situación inicial (sobreviviendo). Debe haber</t>
  </si>
  <si>
    <t>Log-Rank Test</t>
  </si>
  <si>
    <t xml:space="preserve">Cada vez que sucede un evento se calcula el número observado de eventos en cada grupo y el número esperado en cada grupo si no existieran diferencias entre ellos (es decir si la Ho fuera cierta) </t>
  </si>
  <si>
    <t xml:space="preserve">•Modelo de riesgos proporcionales (Regresión de Cox) </t>
  </si>
  <si>
    <t>Función de riesgo (hazard rate)</t>
  </si>
  <si>
    <t>Test de Wilcoxon</t>
  </si>
  <si>
    <t xml:space="preserve">Conceptos de hazard y hazard ratio </t>
  </si>
  <si>
    <t xml:space="preserve">•Es una tasa más que una probabilidad </t>
  </si>
  <si>
    <t xml:space="preserve">Probabilidad (P) </t>
  </si>
  <si>
    <t>1/2 (Grupo A)</t>
  </si>
  <si>
    <t>½ día</t>
  </si>
  <si>
    <t>1/3 (Grupo B)</t>
  </si>
  <si>
    <t>Δt intervalo de tiempo</t>
  </si>
  <si>
    <t>P/Δt=Tasa (hazard)</t>
  </si>
  <si>
    <t>Ejemplo: función de riesgo sería 0,05, 0,07, 0,04, 0,03, 0,04, 0,06… en los 12 primeros meses. Y la tasa de riesgo ajusta los riesgos o probabilidad en 0,05/mes.</t>
  </si>
  <si>
    <t>Modelo de Cox</t>
  </si>
  <si>
    <t xml:space="preserve">•Promedia de manera ponderada las HR de los diversos momentos en los que se produce un evento, dando lugar a una HR global </t>
  </si>
  <si>
    <t xml:space="preserve">•La regresión de Cox asume que la relación de tasas instantáneas es constante en el tiempo (proportional hazards model) </t>
  </si>
  <si>
    <t xml:space="preserve">Las funciones de supervivencia se van separando progresivamente como resultado del mayor riesgo en uno de ellos, mientras que las funciones de riesgo son paralelas, con una cierta oscilación por las fluctuaciones del muestreo. </t>
  </si>
  <si>
    <t xml:space="preserve">Se asume que es constante en el tiempo </t>
  </si>
  <si>
    <t xml:space="preserve">Si a los 3 meses el hazard de un grupo es el doble que el el otro, en los otros momento del tiempo, también habrá una HR aproximadamente igual a 2 </t>
  </si>
  <si>
    <t>Pero el HR no es siempre constante.... Pues, por ejemplo, a veces se cruzan (como en el PROactive).</t>
  </si>
  <si>
    <t xml:space="preserve">En esta situación no sería correcto asumir un efecto constante del tratamiento. Ambos efectos se anularían mutuamente. La razón de riesgos ó HR cambia de una parte a la otra del seguimiento. </t>
  </si>
  <si>
    <t xml:space="preserve">•Permite estimar la influencia de más de una variable (no sólo el tratamiento) sobre la variable resultado </t>
  </si>
  <si>
    <t xml:space="preserve">•Eso permite cuantificar la diferencia debida al tratamiento ajustando las otras variables que pueden intervenir </t>
  </si>
  <si>
    <t xml:space="preserve">HR: 0.70 (0.53-0.91)   p = 0.008 </t>
  </si>
  <si>
    <t xml:space="preserve">HR: 0.68 (0.52-0.90)   p = 0.005 (*) </t>
  </si>
  <si>
    <t xml:space="preserve">(*) ajustado según siguientes variables: nº N+, edad, tamaño tumoral, grado histológico, Receptores hormonales y HER2 </t>
  </si>
  <si>
    <t xml:space="preserve">La regresión de Cox permite afirmar que el beneficio de TAC sobre FAC en SG es debido propiamente al tratamiento y no a las otras variables </t>
  </si>
  <si>
    <t xml:space="preserve">Al tratarse de un EC aleatorizado, no cabe esperar grandes diferencias entre los grupos en cuanto a estas variables, por lo que los resultados sin ajustar y ajustados no deberían diferir mucho </t>
  </si>
  <si>
    <t xml:space="preserve">Por ejemplo, régimen TAC vs FAC en oncología médica durante 66 meses. Obtenemos el HR. </t>
  </si>
  <si>
    <t xml:space="preserve">El régimen TAC reduce un 30% el riesgo de morir con respecto a FAC en cualquier momento del período de seguimiento </t>
  </si>
  <si>
    <t>¿Equivale HR a RR?</t>
  </si>
  <si>
    <t xml:space="preserve">¡PARECE LO MISMO PERO NO LO ES! </t>
  </si>
  <si>
    <t>La paradoja de los intervalos</t>
  </si>
  <si>
    <t>0 meses</t>
  </si>
  <si>
    <t>Muertes</t>
  </si>
  <si>
    <t>6 meses</t>
  </si>
  <si>
    <t>Muertes totales</t>
  </si>
  <si>
    <t>12 meses</t>
  </si>
  <si>
    <t>HR=0,5</t>
  </si>
  <si>
    <t>RR=0,5</t>
  </si>
  <si>
    <t>Fármaco B</t>
  </si>
  <si>
    <t xml:space="preserve">Ej: No es lo mismo reducir un 50% la mortalidad al cabo de un año que reducirla un 50% el primer semestre y un 50% el segundo semestre </t>
  </si>
  <si>
    <t xml:space="preserve">•El modelo de riesgos proporcionales de Cox permite disponer al investigador de un estimador del efecto de un tratamiento (HR), junto con su intervalo de confianza </t>
  </si>
  <si>
    <t xml:space="preserve">•La disponibilidad del HR (IC95%) permite evaluar tanto la significación estadística como la relevancia clínica </t>
  </si>
  <si>
    <t xml:space="preserve">•Se interpreta como un riesgo relativo pero…. </t>
  </si>
  <si>
    <t xml:space="preserve">•Se asemeja más a la razón de densidades de incidencia (razón de tasas) que a la razón de incidencias acumuladas (razón de proporciones o RR) </t>
  </si>
  <si>
    <t xml:space="preserve">•Un RR de 0,5 en un año significa que el riesgo de que un paciente muera antes de acabar el año es la mitad con el tratamiento que con el control </t>
  </si>
  <si>
    <t xml:space="preserve">•Un HR de 0,5 implica que, en cualquier momento del año, el riesgo de morir de un paciente es la mitad con el tratamiento que con el control </t>
  </si>
  <si>
    <t>Fármaco A</t>
  </si>
  <si>
    <t xml:space="preserve">No confundir Hazard Ratio con Median Ratio </t>
  </si>
  <si>
    <t xml:space="preserve">Median Ratio: Mediana Placebo / Mediana Tratamiento </t>
  </si>
  <si>
    <t>RAR y NNT</t>
  </si>
  <si>
    <t>¿Cómo calcularlos a partir de curvas de supervivencia?</t>
  </si>
  <si>
    <t>Hay tantos RAR y NNT como tiempos de seguimiento.</t>
  </si>
  <si>
    <t xml:space="preserve">–En un análisis de supervivencia, no podemos hablar de una única RAR (ó NNT). Este se puede calcular para cualquier instante de tiempo desde el inicio del tratamiento. </t>
  </si>
  <si>
    <t>COMPARACIÓN AJUSTADA</t>
  </si>
  <si>
    <t>Conclusiones del Análisis de supervivencia</t>
  </si>
  <si>
    <t>Sucesos/Empiezan</t>
  </si>
  <si>
    <t xml:space="preserve"> 1- %Eventos</t>
  </si>
  <si>
    <t xml:space="preserve">% con eventos </t>
  </si>
  <si>
    <t xml:space="preserve">Función de </t>
  </si>
  <si>
    <t>riesgo</t>
  </si>
  <si>
    <t>Función de riesgo</t>
  </si>
  <si>
    <t>Se informa así: 10, 10+, 10+, 10+, 10+, 25, 25+, 29, 29+, 39, 39+, 46, 47, 47+, 50, 51……</t>
  </si>
  <si>
    <t>Raíz de [ (1-Supervivencia) / N]</t>
  </si>
  <si>
    <t>Nota: La función de riesgo también se llama tasa de mortalidad, y se representa por lambda en cada tiempo</t>
  </si>
  <si>
    <t>e=</t>
  </si>
  <si>
    <t>La forma más correcta de calcular los intervalos de confianza es la siguiente:</t>
  </si>
  <si>
    <t>IC(95%) = S^(EXP(+-Z alfa/2 * EE)</t>
  </si>
  <si>
    <t>(ver cómo se hace en la pág 654 de Bioest Amigable)</t>
  </si>
  <si>
    <t>h (t) ó lambda (t)</t>
  </si>
  <si>
    <t>Debe interpretarse EXP como antilogaritmo, que también llaman exponente</t>
  </si>
  <si>
    <t>EE tiempo = Raíz {[1 / (ln St)^2] * [Sumatorio (ni - si) / ni *si]</t>
  </si>
  <si>
    <t>ni y si = nª sujetos a riesgo y el "si" es el de supervivientes en el tiempo "t"</t>
  </si>
  <si>
    <t>Los que están en riesgo</t>
  </si>
  <si>
    <t>UNA INTRODUCCIÓN A LAS CURVAS DE SUPERVIVENCIA</t>
  </si>
  <si>
    <t>Sin embargo habremos perdido la información posterior. Entonces debe hacerse una corrección para que el abandono del protocolo</t>
  </si>
  <si>
    <t>censura siempre que la falta de datos posteriores a un determinado punto en el tiempo se deba a factores distintos al tratamiento.</t>
  </si>
  <si>
    <t>El Error Estándar de la Supervivencia= Supervivencia x Raíz de [ (1-Supervivencia) / N]</t>
  </si>
  <si>
    <t>EE Superv = Superviv x Raíz de [ (1-Superviv) / N]</t>
  </si>
  <si>
    <t>Grupo de intervención</t>
  </si>
  <si>
    <r>
      <t>S</t>
    </r>
    <r>
      <rPr>
        <vertAlign val="subscript"/>
        <sz val="9"/>
        <rFont val="Calibri"/>
        <family val="2"/>
      </rPr>
      <t>i</t>
    </r>
    <r>
      <rPr>
        <sz val="9"/>
        <rFont val="Calibri"/>
        <family val="2"/>
      </rPr>
      <t xml:space="preserve"> = Supervivencia de cada tramo temporal</t>
    </r>
  </si>
  <si>
    <r>
      <t>EE</t>
    </r>
    <r>
      <rPr>
        <vertAlign val="subscript"/>
        <sz val="10"/>
        <rFont val="Calibri"/>
        <family val="2"/>
      </rPr>
      <t>t</t>
    </r>
  </si>
  <si>
    <r>
      <t xml:space="preserve">Z </t>
    </r>
    <r>
      <rPr>
        <vertAlign val="subscript"/>
        <sz val="9"/>
        <rFont val="Calibri"/>
        <family val="2"/>
      </rPr>
      <t>α/2</t>
    </r>
    <r>
      <rPr>
        <sz val="9"/>
        <rFont val="Calibri"/>
        <family val="2"/>
      </rPr>
      <t xml:space="preserve"> (0,05) * EE</t>
    </r>
    <r>
      <rPr>
        <vertAlign val="subscript"/>
        <sz val="9"/>
        <rFont val="Calibri"/>
        <family val="2"/>
      </rPr>
      <t>t</t>
    </r>
  </si>
  <si>
    <r>
      <t xml:space="preserve">EXP (+ Z </t>
    </r>
    <r>
      <rPr>
        <vertAlign val="subscript"/>
        <sz val="9"/>
        <rFont val="Calibri"/>
        <family val="2"/>
      </rPr>
      <t>α/2</t>
    </r>
    <r>
      <rPr>
        <sz val="9"/>
        <rFont val="Calibri"/>
        <family val="2"/>
      </rPr>
      <t xml:space="preserve"> (0,05) * EE</t>
    </r>
    <r>
      <rPr>
        <vertAlign val="subscript"/>
        <sz val="9"/>
        <rFont val="Calibri"/>
        <family val="2"/>
      </rPr>
      <t>t</t>
    </r>
    <r>
      <rPr>
        <sz val="9"/>
        <rFont val="Calibri"/>
        <family val="2"/>
      </rPr>
      <t>)</t>
    </r>
  </si>
  <si>
    <r>
      <t xml:space="preserve">EXP (- Z </t>
    </r>
    <r>
      <rPr>
        <vertAlign val="subscript"/>
        <sz val="9"/>
        <rFont val="Calibri"/>
        <family val="2"/>
      </rPr>
      <t>α/2</t>
    </r>
    <r>
      <rPr>
        <sz val="9"/>
        <rFont val="Calibri"/>
        <family val="2"/>
      </rPr>
      <t xml:space="preserve"> (0,05) * EE</t>
    </r>
    <r>
      <rPr>
        <vertAlign val="subscript"/>
        <sz val="9"/>
        <rFont val="Calibri"/>
        <family val="2"/>
      </rPr>
      <t>t</t>
    </r>
    <r>
      <rPr>
        <sz val="9"/>
        <rFont val="Calibri"/>
        <family val="2"/>
      </rPr>
      <t>)</t>
    </r>
  </si>
  <si>
    <r>
      <t>S</t>
    </r>
    <r>
      <rPr>
        <vertAlign val="subscript"/>
        <sz val="9"/>
        <rFont val="Calibri"/>
        <family val="2"/>
      </rPr>
      <t>t</t>
    </r>
    <r>
      <rPr>
        <vertAlign val="superscript"/>
        <sz val="9"/>
        <rFont val="Calibri"/>
        <family val="2"/>
      </rPr>
      <t>EXP (+  Z α/2 * EEt)</t>
    </r>
    <r>
      <rPr>
        <sz val="9"/>
        <rFont val="Calibri"/>
        <family val="2"/>
      </rPr>
      <t xml:space="preserve"> = Límite inferior del IC 95%</t>
    </r>
  </si>
  <si>
    <r>
      <t>S</t>
    </r>
    <r>
      <rPr>
        <vertAlign val="subscript"/>
        <sz val="9"/>
        <rFont val="Calibri"/>
        <family val="2"/>
      </rPr>
      <t>t</t>
    </r>
    <r>
      <rPr>
        <vertAlign val="superscript"/>
        <sz val="9"/>
        <rFont val="Calibri"/>
        <family val="2"/>
      </rPr>
      <t>EXP ( - Z α/2 * EEt)</t>
    </r>
    <r>
      <rPr>
        <sz val="9"/>
        <rFont val="Calibri"/>
        <family val="2"/>
      </rPr>
      <t xml:space="preserve"> = Límite inferior del IC 95%</t>
    </r>
  </si>
  <si>
    <t>Suma:</t>
  </si>
  <si>
    <t>Grupo de control</t>
  </si>
  <si>
    <t>Mes del evento</t>
  </si>
  <si>
    <t>Pacientes en riesgo</t>
  </si>
  <si>
    <t>Observados Pacientes con evento</t>
  </si>
  <si>
    <t>Esperados Pacientes con evento</t>
  </si>
  <si>
    <t>Tratamiento</t>
  </si>
  <si>
    <t>A</t>
  </si>
  <si>
    <t>B</t>
  </si>
  <si>
    <t>Total</t>
  </si>
  <si>
    <t>χ² cal=</t>
  </si>
  <si>
    <t>OR=</t>
  </si>
  <si>
    <t>20140521-ECA 2y, PalipPalmit vs HalopDecan, =33pcRecaída +Peso Prolac –Acatis.McEvoy</t>
  </si>
  <si>
    <t>McEvoy JP, Byerly M, Hamer RM, et al. Effectiveness of paliperidone palmitate vs haloperidol decanoate for maintenance treatment of schizophrenia: a randomized clinical trial. JAMA. 2014 May 21;311(19):1978-87.</t>
  </si>
  <si>
    <t>RR</t>
  </si>
  <si>
    <t>UNA INTRODUCCIÓN AL ANÁLISIS DE LA SUPERVIVENCIA DE KAPLAN Y MEIER Y SUS CURVAS</t>
  </si>
  <si>
    <t>Test de log-rank (test de Mantel-Haenszel) para comparar la probabilidad de supervivencia entre grupos. </t>
  </si>
  <si>
    <t>Intervalos de tiempo similares (meses)</t>
  </si>
  <si>
    <t>% eventos de cada intervalo / sujetos en riesgo</t>
  </si>
  <si>
    <t>años</t>
  </si>
  <si>
    <t>eventos</t>
  </si>
  <si>
    <t>personas</t>
  </si>
  <si>
    <t>personas-año</t>
  </si>
  <si>
    <t>Grupo intervención</t>
  </si>
  <si>
    <t>Grupo control</t>
  </si>
  <si>
    <t>eventos /100 personas-año</t>
  </si>
  <si>
    <t>HR</t>
  </si>
  <si>
    <t>DIFERENCIAS ENTRE EL RR Y EL HR</t>
  </si>
  <si>
    <r>
      <t xml:space="preserve">     </t>
    </r>
    <r>
      <rPr>
        <b/>
        <sz val="10"/>
        <rFont val="Calibri"/>
        <family val="2"/>
      </rPr>
      <t>Primera asunción de Kaplan-Meier:</t>
    </r>
    <r>
      <rPr>
        <sz val="10"/>
        <rFont val="Calibri"/>
        <family val="2"/>
      </rPr>
      <t xml:space="preserve"> Si un paciente de la cohorte decide retirarse del estudio, sabemos que ha sobrevivido hasta ese momento. Sin embargo habremos perdido la información posterior. Entonces debe hacerse una corrección para que el abandono del protocolo no se registre como “muerte”, dado que no sabemos si el paciente sigue o no en la situación inicial (sobreviviendo). Debe haber censura siempre que la falta de datos posteriores a un determinado punto en el tiempo se deba a factores distintos al tratamiento.</t>
    </r>
  </si>
  <si>
    <r>
      <t xml:space="preserve">     </t>
    </r>
    <r>
      <rPr>
        <b/>
        <sz val="10"/>
        <rFont val="Calibri"/>
        <family val="2"/>
      </rPr>
      <t>Tercera y última asunción:</t>
    </r>
    <r>
      <rPr>
        <sz val="10"/>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más grandes.</t>
    </r>
  </si>
  <si>
    <r>
      <t>[ln S</t>
    </r>
    <r>
      <rPr>
        <vertAlign val="subscript"/>
        <sz val="10"/>
        <rFont val="Calibri"/>
        <family val="2"/>
      </rPr>
      <t>t</t>
    </r>
    <r>
      <rPr>
        <sz val="10"/>
        <rFont val="Calibri"/>
        <family val="2"/>
      </rPr>
      <t>]</t>
    </r>
    <r>
      <rPr>
        <vertAlign val="superscript"/>
        <sz val="10"/>
        <rFont val="Calibri"/>
        <family val="2"/>
      </rPr>
      <t>2</t>
    </r>
  </si>
  <si>
    <r>
      <t>n</t>
    </r>
    <r>
      <rPr>
        <vertAlign val="subscript"/>
        <sz val="10"/>
        <rFont val="Calibri"/>
        <family val="2"/>
      </rPr>
      <t>i</t>
    </r>
    <r>
      <rPr>
        <sz val="10"/>
        <rFont val="Calibri"/>
        <family val="2"/>
      </rPr>
      <t xml:space="preserve"> - s</t>
    </r>
    <r>
      <rPr>
        <vertAlign val="subscript"/>
        <sz val="10"/>
        <rFont val="Calibri"/>
        <family val="2"/>
      </rPr>
      <t>i</t>
    </r>
  </si>
  <si>
    <r>
      <t>n</t>
    </r>
    <r>
      <rPr>
        <vertAlign val="subscript"/>
        <sz val="10"/>
        <rFont val="Calibri"/>
        <family val="2"/>
      </rPr>
      <t>i</t>
    </r>
    <r>
      <rPr>
        <sz val="10"/>
        <rFont val="Calibri"/>
        <family val="2"/>
      </rPr>
      <t xml:space="preserve"> * s</t>
    </r>
    <r>
      <rPr>
        <vertAlign val="subscript"/>
        <sz val="10"/>
        <rFont val="Calibri"/>
        <family val="2"/>
      </rPr>
      <t>i</t>
    </r>
  </si>
  <si>
    <r>
      <t>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 xml:space="preserve"> / n</t>
    </r>
    <r>
      <rPr>
        <vertAlign val="subscript"/>
        <sz val="10"/>
        <rFont val="Calibri"/>
        <family val="2"/>
      </rPr>
      <t>i</t>
    </r>
    <r>
      <rPr>
        <sz val="10"/>
        <rFont val="Calibri"/>
        <family val="2"/>
      </rPr>
      <t xml:space="preserve"> * s</t>
    </r>
    <r>
      <rPr>
        <vertAlign val="subscript"/>
        <sz val="10"/>
        <rFont val="Calibri"/>
        <family val="2"/>
      </rPr>
      <t>i</t>
    </r>
  </si>
  <si>
    <r>
      <t>Sumat (n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 xml:space="preserve"> / 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t>
    </r>
  </si>
  <si>
    <r>
      <t xml:space="preserve">Z </t>
    </r>
    <r>
      <rPr>
        <vertAlign val="subscript"/>
        <sz val="10"/>
        <rFont val="Calibri"/>
        <family val="2"/>
      </rPr>
      <t>α/2</t>
    </r>
    <r>
      <rPr>
        <sz val="10"/>
        <rFont val="Calibri"/>
        <family val="2"/>
      </rPr>
      <t xml:space="preserve"> (0,05)</t>
    </r>
  </si>
  <si>
    <t>g. l. = 1</t>
  </si>
  <si>
    <r>
      <t>Corresponde a</t>
    </r>
    <r>
      <rPr>
        <b/>
        <i/>
        <sz val="10"/>
        <rFont val="Calibri"/>
        <family val="2"/>
      </rPr>
      <t xml:space="preserve"> p</t>
    </r>
    <r>
      <rPr>
        <sz val="10"/>
        <rFont val="Calibri"/>
        <family val="2"/>
      </rPr>
      <t>=</t>
    </r>
  </si>
  <si>
    <t>CUANDO EL TIEMPO EN EL QUE SE PRODUCE EL EVENTO ES SIMILAR EN AMBOS GRUPOS</t>
  </si>
  <si>
    <t>% eventos</t>
  </si>
  <si>
    <t>Mismo tiempo en ambos</t>
  </si>
  <si>
    <t>CUANDO EL TIEMPO EN EL QUE SE PRODUCE EL EVENTO ES DISTINTO EN AMBOS GRUPOS: 1ª manera de resolverlo</t>
  </si>
  <si>
    <t>% eventos / tiempo</t>
  </si>
  <si>
    <t>Teniendo en cuenta el tiempo hasta el evento, HR = (2% / 2 años) / (2% / 1 año) = 1% / 2% = 0,5</t>
  </si>
  <si>
    <t>año 1º</t>
  </si>
  <si>
    <t>año 2º</t>
  </si>
  <si>
    <t>2% / 2 años</t>
  </si>
  <si>
    <t>1% / año</t>
  </si>
  <si>
    <t>2% / 1 año</t>
  </si>
  <si>
    <t>2% / año</t>
  </si>
  <si>
    <t>CUANDO EL TIEMPO EN EL QUE SE PRODUCE EL EVENTO ES DISTINTO EN AMBOS GRUPOS: 2ª manera de resolverlo (similar a la anterior)</t>
  </si>
  <si>
    <t>Teniendo en cuenta el tiempo hasta el evento, HR = [2 evento / 200 personas-año] / 2 evento / 100 personas-año] = 1% / 2% = 0,5</t>
  </si>
  <si>
    <t>2 eventos / 200 personas-año</t>
  </si>
  <si>
    <t>2 eventos / 100 personas-año</t>
  </si>
  <si>
    <t>El HR obtenido mediante el modelo de Cox, responde al mismo concepto de HR obtenido como Densidad de Eventos, pero aquél da más peso a las varianzas de los eventos más próximos al comienzo, por lo que el resultado puede no coincidir.</t>
  </si>
  <si>
    <r>
      <t xml:space="preserve">    En el análisis de la supervivencia, el estimador de Kaplan–Meier es un estimador no paramétrico de la función de supervivencia. Fue introducido por Edward L Kaplan y Paul Meier en 1958. La función de supervivencia es la probabilidad de que uno de los integrantes sobreviva más allá de un tiempo </t>
    </r>
    <r>
      <rPr>
        <b/>
        <i/>
        <sz val="10"/>
        <rFont val="Calibri"/>
        <family val="2"/>
      </rPr>
      <t>t</t>
    </r>
    <r>
      <rPr>
        <sz val="10"/>
        <rFont val="Calibri"/>
        <family val="2"/>
      </rPr>
      <t>.</t>
    </r>
  </si>
  <si>
    <r>
      <t>n</t>
    </r>
    <r>
      <rPr>
        <vertAlign val="subscript"/>
        <sz val="10"/>
        <rFont val="Calibri"/>
        <family val="2"/>
      </rPr>
      <t>i</t>
    </r>
    <r>
      <rPr>
        <sz val="10"/>
        <rFont val="Calibri"/>
        <family val="2"/>
      </rPr>
      <t xml:space="preserve"> = sujetos en riesgo (al comienzo del intervalo)</t>
    </r>
  </si>
  <si>
    <t>Eventos (al final del intervalo)</t>
  </si>
  <si>
    <r>
      <t>s</t>
    </r>
    <r>
      <rPr>
        <vertAlign val="subscript"/>
        <sz val="10"/>
        <rFont val="Calibri"/>
        <family val="2"/>
      </rPr>
      <t>i</t>
    </r>
    <r>
      <rPr>
        <sz val="10"/>
        <rFont val="Calibri"/>
        <family val="2"/>
      </rPr>
      <t xml:space="preserve"> = supervivientes (al final del intervalo)</t>
    </r>
  </si>
  <si>
    <t>Censurados (al final del intervalo)</t>
  </si>
  <si>
    <r>
      <t>S</t>
    </r>
    <r>
      <rPr>
        <vertAlign val="subscript"/>
        <sz val="9"/>
        <rFont val="Calibri"/>
        <family val="2"/>
      </rPr>
      <t>t</t>
    </r>
    <r>
      <rPr>
        <sz val="9"/>
        <rFont val="Calibri"/>
        <family val="2"/>
      </rPr>
      <t xml:space="preserve"> = condicionada a la S anterior (al final del ntervalo)</t>
    </r>
  </si>
  <si>
    <t>Meses</t>
  </si>
  <si>
    <t>% Supervivencia control</t>
  </si>
  <si>
    <t>% Supervivencia intervención</t>
  </si>
  <si>
    <t>1/2:1/2 = 1/día</t>
  </si>
  <si>
    <t>1/3:1/2 = 0,67/día</t>
  </si>
  <si>
    <r>
      <t>Primera asunción de K Meier:</t>
    </r>
    <r>
      <rPr>
        <sz val="10"/>
        <rFont val="Calibri"/>
        <family val="2"/>
      </rPr>
      <t xml:space="preserve"> Si un paciente de la cohorte decide retirarse del estudio, sabemos que ha sobrevivido hasta ese momento. </t>
    </r>
  </si>
  <si>
    <r>
      <t>La segunda asunción de K Meier:</t>
    </r>
    <r>
      <rPr>
        <sz val="10"/>
        <rFont val="Calibri"/>
        <family val="2"/>
      </rPr>
      <t xml:space="preserve"> Los sujetos censurados siguen teniendo la misma probabilidad</t>
    </r>
  </si>
  <si>
    <r>
      <t>El tercer y último supuesto del análisis de K Meier:</t>
    </r>
    <r>
      <rPr>
        <sz val="10"/>
        <rFont val="Calibri"/>
        <family val="2"/>
      </rPr>
      <t xml:space="preserve"> Los eventos (muerte o censura) suceden al final del intervalo.</t>
    </r>
  </si>
  <si>
    <r>
      <t>•</t>
    </r>
    <r>
      <rPr>
        <sz val="10"/>
        <color indexed="8"/>
        <rFont val="Calibri"/>
        <family val="2"/>
      </rPr>
      <t xml:space="preserve">En vez de considerar un solo punto determinado en el tiempo de seguimiento, tiene en cuenta la evolución completa de la curva de supervivencia de ambos grupos, es decir, es capaz de detectar diferencias </t>
    </r>
    <r>
      <rPr>
        <u val="single"/>
        <sz val="10"/>
        <color indexed="8"/>
        <rFont val="Calibri"/>
        <family val="2"/>
      </rPr>
      <t>“persistentes”</t>
    </r>
    <r>
      <rPr>
        <sz val="10"/>
        <color indexed="8"/>
        <rFont val="Calibri"/>
        <family val="2"/>
      </rPr>
      <t xml:space="preserve"> a lo largo del tiempo en la supervivencia </t>
    </r>
  </si>
  <si>
    <r>
      <t>•</t>
    </r>
    <r>
      <rPr>
        <sz val="10"/>
        <color indexed="8"/>
        <rFont val="Calibri"/>
        <family val="2"/>
      </rPr>
      <t xml:space="preserve">Tiene en cuenta </t>
    </r>
    <r>
      <rPr>
        <u val="single"/>
        <sz val="10"/>
        <color indexed="8"/>
        <rFont val="Calibri"/>
        <family val="2"/>
      </rPr>
      <t>todos los puntos</t>
    </r>
    <r>
      <rPr>
        <sz val="10"/>
        <color indexed="8"/>
        <rFont val="Calibri"/>
        <family val="2"/>
      </rPr>
      <t xml:space="preserve"> en el tiempo para comparar la supervivencia de ambos grupos. Otorga la misma ponderación a todos los tiempos de seguimiento. </t>
    </r>
  </si>
  <si>
    <r>
      <t>•</t>
    </r>
    <r>
      <rPr>
        <sz val="10"/>
        <color indexed="8"/>
        <rFont val="Calibri"/>
        <family val="2"/>
      </rPr>
      <t xml:space="preserve">También se le denomina </t>
    </r>
    <r>
      <rPr>
        <b/>
        <sz val="10"/>
        <color indexed="8"/>
        <rFont val="Calibri"/>
        <family val="2"/>
      </rPr>
      <t xml:space="preserve">Test de Mantel-Haenszel </t>
    </r>
  </si>
  <si>
    <r>
      <t>•</t>
    </r>
    <r>
      <rPr>
        <sz val="10"/>
        <color indexed="8"/>
        <rFont val="Calibri"/>
        <family val="2"/>
      </rPr>
      <t xml:space="preserve">Muy útil cuando el evento es poco frecuente o si las curvas son aproximadamente paralelas (no se cruzan) </t>
    </r>
  </si>
  <si>
    <r>
      <t>•</t>
    </r>
    <r>
      <rPr>
        <sz val="10"/>
        <rFont val="Calibri"/>
        <family val="2"/>
      </rPr>
      <t xml:space="preserve">Hazard Ratio </t>
    </r>
  </si>
  <si>
    <r>
      <t>•</t>
    </r>
    <r>
      <rPr>
        <i/>
        <sz val="10"/>
        <rFont val="Calibri"/>
        <family val="2"/>
      </rPr>
      <t xml:space="preserve">Tasa condicional de fallo/Fuerza de mortalidad </t>
    </r>
  </si>
  <si>
    <r>
      <t xml:space="preserve">•El término hazard corresponde a una </t>
    </r>
    <r>
      <rPr>
        <i/>
        <sz val="10"/>
        <rFont val="Calibri"/>
        <family val="2"/>
      </rPr>
      <t>tasa instantánea</t>
    </r>
    <r>
      <rPr>
        <sz val="10"/>
        <rFont val="Calibri"/>
        <family val="2"/>
      </rPr>
      <t xml:space="preserve">, que conceptualmente sólo requiere una duración de tiempo infinitesimal </t>
    </r>
  </si>
  <si>
    <r>
      <t xml:space="preserve">•Cuando el intervalo de tiempo es muy estrecho, la </t>
    </r>
    <r>
      <rPr>
        <i/>
        <sz val="10"/>
        <rFont val="Calibri"/>
        <family val="2"/>
      </rPr>
      <t xml:space="preserve">densidad de incidencia </t>
    </r>
    <r>
      <rPr>
        <sz val="10"/>
        <rFont val="Calibri"/>
        <family val="2"/>
      </rPr>
      <t xml:space="preserve">se reconoce como </t>
    </r>
    <r>
      <rPr>
        <i/>
        <sz val="10"/>
        <rFont val="Calibri"/>
        <family val="2"/>
      </rPr>
      <t xml:space="preserve">hazard rate, </t>
    </r>
    <r>
      <rPr>
        <sz val="10"/>
        <rFont val="Calibri"/>
        <family val="2"/>
      </rPr>
      <t xml:space="preserve">indicando la intención de estimar incidencia </t>
    </r>
    <r>
      <rPr>
        <i/>
        <sz val="10"/>
        <rFont val="Calibri"/>
        <family val="2"/>
      </rPr>
      <t xml:space="preserve">“instantánea” </t>
    </r>
  </si>
  <si>
    <r>
      <t>•Nos aporta un</t>
    </r>
    <r>
      <rPr>
        <b/>
        <sz val="10"/>
        <rFont val="Calibri"/>
        <family val="2"/>
      </rPr>
      <t xml:space="preserve"> HR (IC 95%) </t>
    </r>
    <r>
      <rPr>
        <sz val="10"/>
        <rFont val="Calibri"/>
        <family val="2"/>
      </rPr>
      <t>y una</t>
    </r>
    <r>
      <rPr>
        <b/>
        <sz val="10"/>
        <rFont val="Calibri"/>
        <family val="2"/>
      </rPr>
      <t xml:space="preserve"> p </t>
    </r>
  </si>
  <si>
    <r>
      <t>–RAR y NNT en un punto del tiempo de seguimiento</t>
    </r>
    <r>
      <rPr>
        <sz val="10"/>
        <color indexed="9"/>
        <rFont val="Calibri"/>
        <family val="2"/>
      </rPr>
      <t xml:space="preserve"> </t>
    </r>
  </si>
  <si>
    <r>
      <rPr>
        <b/>
        <sz val="10"/>
        <rFont val="Calibri"/>
        <family val="2"/>
      </rPr>
      <t xml:space="preserve">Censura informativa: </t>
    </r>
    <r>
      <rPr>
        <sz val="10"/>
        <rFont val="Calibri"/>
        <family val="2"/>
      </rPr>
      <t>La censura puede ser no informativa o informativa. Técnicamente, la censura se considera no informativa cuando las variables aleatorias asociadas a los tiempos de falla y de censura son independientes, y se considera informativa cuando las variables aleatorias asociadas a los tiempos de falla y censura no son independientes. Para ilustrar la censura informativa, considere, por ejemplo, una cohorte de pacientes que están en un grupo de tratamiento. Suponga, además, que algunos de estos sujetos se retiran del estudio antes de que termine, debido a que están experimentando efectos secundarios adversos que comprometen o deterioran su condición física. Esto significa que la censura está relacionada con algún factor asociado con el tiempo de supervivencia actual.</t>
    </r>
  </si>
  <si>
    <t xml:space="preserve">•Asume varios de los supuestos del método de Kaplan-Meier: el suceso es irreversible, debe de haber ocurrido una sóla vez y la censura debe ser NO informativa </t>
  </si>
  <si>
    <t>La curva A se convierte en una línea perpendicular al eje x cuyo valor es la tasa por el tiempo. Con la B se hace lo mismo, de modo que aprecen la tasa A y la tasa B como dos líneas paralelas. Forma de las funciones de supervivencia y riesgo cuando se asume que la razón de riesgo es constante</t>
  </si>
  <si>
    <t>Análisis según el modelo de riesgo proporcional, o regresión de Cox  (1972).</t>
  </si>
  <si>
    <t>Sobreviven</t>
  </si>
  <si>
    <t xml:space="preserve">62 días/20 días= 3,1  Se trata de un dato puntual </t>
  </si>
  <si>
    <t>El aumento de mediana de supervivencia no guarda relación con e HR.</t>
  </si>
  <si>
    <t>1) Es posible calcular el significado estadístico de la supervivencia, y el método más común es el de test Log-Rank. Con este método pueden observarse las diferencias entre la supervivencia de un tratamiento con respecto a un valor fijo, o entre dos o más tratamientos en un determinado período. La fórmula para calcularlo es compleja e implica álgebra matricial. No obstante, casi todos los paquetes estadísticos incluyen esta función. Por ejemplo, en el SPSS se introduce la tabla de vida como hoja de datos y se selecciona Analyse | Survival | Kaplan-Meier, y en Options se selecciona Log Survival.</t>
  </si>
  <si>
    <t>2) El método de Kaplan-Meier no es el único para analizar los datos de supervivencia. El grupo de Pilote y col describió un método de “sujetos anidados”, que es mejor que el de Kaplan Meier cuando los eventos de muerte son infrecuentes. Es importante revisar que los tres supuestos mencionados se cumplan. Gallivan y col describen un caso donde se esperaría que estos supuestos se cumplieran; sin embargo, el análisis subsiguiente demostró que el tiempo de ingreso al estudio era un efecto, por lo que no se cumplió el primer supuesto.</t>
  </si>
  <si>
    <t>Hazard (función de riesgo = probabilidad/tiempo): Es el riesgo o probabilidad de sufrir un evento en un intervalo de tiempo extremadamente pequeño dividido por la duración de ese intervalo de tiempo</t>
  </si>
  <si>
    <t>El Hazard Ratio (HR) no es más que una razón de hazards (razón entre dos funciones de riesgo). En nuestro caso HR= 1/0,67=1,5. La velocidad con la que ocurre el fenómeno es 1,5 veces superior en A que en el B. Pero esto es lo que ocurre cuado se les compara 0,5 días.</t>
  </si>
  <si>
    <t>La premisa de proporcionalidad de los riesgos no tiene por qué ser siempre correcta, y es obligación del investigador y del estadístico analizar hasta qué punto los datos permiten seguir empleándola.</t>
  </si>
  <si>
    <r>
      <t>•</t>
    </r>
    <r>
      <rPr>
        <sz val="10"/>
        <rFont val="Calibri"/>
        <family val="2"/>
      </rPr>
      <t xml:space="preserve">Debe basarse en el estudio de las funciones de supervivencia y riesgo </t>
    </r>
  </si>
  <si>
    <r>
      <t>•</t>
    </r>
    <r>
      <rPr>
        <sz val="10"/>
        <rFont val="Calibri"/>
        <family val="2"/>
      </rPr>
      <t xml:space="preserve">Sin embargo, si las curvas de supervivencia se cruzan (al principio hay mejor supervivencia en un grupo y luego en el otro), el log-rank test tiene problemas para detectar diferencias </t>
    </r>
  </si>
  <si>
    <r>
      <t>•</t>
    </r>
    <r>
      <rPr>
        <sz val="10"/>
        <rFont val="Calibri"/>
        <family val="2"/>
      </rPr>
      <t>En estos casos, es más útil el test de Wilcoxon generalizado, también llamado Test de Breslow (Gehan). Ver: 038-Dif Medias Grup Aparej, NoParamétr, Wilcoxon</t>
    </r>
  </si>
  <si>
    <r>
      <t>•</t>
    </r>
    <r>
      <rPr>
        <sz val="10"/>
        <rFont val="Calibri"/>
        <family val="2"/>
      </rPr>
      <t xml:space="preserve">Nos da el valor de la </t>
    </r>
    <r>
      <rPr>
        <b/>
        <sz val="10"/>
        <rFont val="Calibri"/>
        <family val="2"/>
      </rPr>
      <t xml:space="preserve">p </t>
    </r>
  </si>
  <si>
    <r>
      <t>•</t>
    </r>
    <r>
      <rPr>
        <sz val="10"/>
        <rFont val="Calibri"/>
        <family val="2"/>
      </rPr>
      <t xml:space="preserve">Permite detectar y establecer la supremacía de una población respecto a la otra, pero no nos proporciona un parámetro que nos resuma y/o cuantifique las diferencias entre ambas poblaciones </t>
    </r>
  </si>
  <si>
    <r>
      <t>•</t>
    </r>
    <r>
      <rPr>
        <sz val="10"/>
        <rFont val="Calibri"/>
        <family val="2"/>
      </rPr>
      <t>HR = 0,7 (0,53-0,91) =&gt; RRR 30%</t>
    </r>
  </si>
  <si>
    <t>Nº event Interv (%)</t>
  </si>
  <si>
    <t>Nº event Control (%)</t>
  </si>
  <si>
    <t>RR (IC 95%)</t>
  </si>
  <si>
    <t>RAR (IC 95%)</t>
  </si>
  <si>
    <t>NNT (IC 95%)</t>
  </si>
  <si>
    <t>Potencia</t>
  </si>
  <si>
    <t>0-6 meses</t>
  </si>
  <si>
    <t>30/100 (30%)</t>
  </si>
  <si>
    <t>60/100 (60%)</t>
  </si>
  <si>
    <t>0,5 (0,36-0,7)</t>
  </si>
  <si>
    <t>30% (43,71% a 17,84%)</t>
  </si>
  <si>
    <t>3 (6 a 2)</t>
  </si>
  <si>
    <t>6-12 meses</t>
  </si>
  <si>
    <t>21/70 (30%)</t>
  </si>
  <si>
    <t>24/40 (60%)</t>
  </si>
  <si>
    <t>0,5 (0,32-0,78)</t>
  </si>
  <si>
    <t>30% (49,25% a 13,39%)</t>
  </si>
  <si>
    <t>3 (7 a 2)</t>
  </si>
  <si>
    <t>0-12 meses</t>
  </si>
  <si>
    <t>51/100 (51%)</t>
  </si>
  <si>
    <t>84/100 (84%)</t>
  </si>
  <si>
    <t>0,61 (0,49-0,75)</t>
  </si>
  <si>
    <t>33% (45,75% a 21,69%)</t>
  </si>
  <si>
    <t>3 (5 a 2)</t>
  </si>
  <si>
    <t>42/100 (42%)</t>
  </si>
  <si>
    <t>0,5 (0,39-0,64)</t>
  </si>
  <si>
    <t>42% (54,92% a 31,07%)</t>
  </si>
  <si>
    <t>2 (3 a 2)</t>
  </si>
  <si>
    <t>100%</t>
  </si>
  <si>
    <r>
      <t>•</t>
    </r>
    <r>
      <rPr>
        <sz val="10"/>
        <rFont val="Calibri"/>
        <family val="2"/>
      </rPr>
      <t>RAR directamente de los datos crudos del ensayo. Probabilidad de supervivencia de cada grupo en un tiempo determinado  en curvas de Kaplan-Meier. RAR = St-Sc</t>
    </r>
  </si>
  <si>
    <r>
      <t>•</t>
    </r>
    <r>
      <rPr>
        <sz val="10"/>
        <rFont val="Calibri"/>
        <family val="2"/>
      </rPr>
      <t xml:space="preserve">NNT=1/ St- Sc </t>
    </r>
  </si>
  <si>
    <t xml:space="preserve">No tiene porque coincidir con el HR. En este caso HR = 1,5 </t>
  </si>
  <si>
    <r>
      <t xml:space="preserve">   </t>
    </r>
    <r>
      <rPr>
        <b/>
        <sz val="10"/>
        <rFont val="Calibri"/>
        <family val="2"/>
      </rPr>
      <t xml:space="preserve">  Segunda asunción: </t>
    </r>
    <r>
      <rPr>
        <sz val="10"/>
        <rFont val="Calibri"/>
        <family val="2"/>
      </rPr>
      <t>Los sujetos censurados siguen teniendo la misma probabilidad de supervivencia que los que siguen en el estudio. A esto se le denomina censura NO informativa, es decir que la censura no está relacionada con el tratamiento (como por ejemplo, los efectos adversos).</t>
    </r>
  </si>
  <si>
    <t>Funciones de riesgo</t>
  </si>
  <si>
    <r>
      <t>% Ev/t</t>
    </r>
    <r>
      <rPr>
        <b/>
        <vertAlign val="subscript"/>
        <sz val="9"/>
        <color indexed="12"/>
        <rFont val="Calibri"/>
        <family val="2"/>
      </rPr>
      <t>i</t>
    </r>
    <r>
      <rPr>
        <sz val="9"/>
        <rFont val="Calibri"/>
        <family val="2"/>
      </rPr>
      <t>, control</t>
    </r>
  </si>
  <si>
    <r>
      <t>% Ev/t</t>
    </r>
    <r>
      <rPr>
        <b/>
        <vertAlign val="subscript"/>
        <sz val="9"/>
        <color indexed="12"/>
        <rFont val="Calibri"/>
        <family val="2"/>
      </rPr>
      <t>i</t>
    </r>
    <r>
      <rPr>
        <sz val="9"/>
        <rFont val="Calibri"/>
        <family val="2"/>
      </rPr>
      <t>, interv</t>
    </r>
  </si>
  <si>
    <r>
      <t>HR</t>
    </r>
    <r>
      <rPr>
        <vertAlign val="subscript"/>
        <sz val="9"/>
        <color indexed="12"/>
        <rFont val="Calibri"/>
        <family val="2"/>
      </rPr>
      <t>i</t>
    </r>
  </si>
  <si>
    <r>
      <t>HR</t>
    </r>
    <r>
      <rPr>
        <b/>
        <vertAlign val="subscript"/>
        <sz val="9"/>
        <color indexed="12"/>
        <rFont val="Calibri"/>
        <family val="2"/>
      </rPr>
      <t>i</t>
    </r>
  </si>
  <si>
    <t>nº Ev (%), Interv</t>
  </si>
  <si>
    <t>nº Ev (%), contr</t>
  </si>
  <si>
    <t>Control</t>
  </si>
  <si>
    <t>Intervención</t>
  </si>
  <si>
    <t>Nº Eventos acumulados</t>
  </si>
  <si>
    <t>570/1000 (57%)</t>
  </si>
  <si>
    <t>832/1000 (83,2%)</t>
  </si>
  <si>
    <t>0,69 (0,64-0,73)</t>
  </si>
  <si>
    <t>4 (3 a 4)</t>
  </si>
  <si>
    <t>% RA interv</t>
  </si>
  <si>
    <t>% RA control</t>
  </si>
  <si>
    <t>HR (IC 95%)</t>
  </si>
  <si>
    <t>83,22%</t>
  </si>
  <si>
    <t>UN EJEMPLO DE PROBABILDAD CONDICIONADA: Supervivencia condicionada a la supervivencia anterior</t>
  </si>
  <si>
    <t>tiempo (años)</t>
  </si>
  <si>
    <t>Supervivencia de cada tramo temporal</t>
  </si>
  <si>
    <t>Supervivencia condicionada a la anterior</t>
  </si>
  <si>
    <r>
      <t xml:space="preserve"> </t>
    </r>
    <r>
      <rPr>
        <b/>
        <i/>
        <sz val="10"/>
        <rFont val="Calibri"/>
        <family val="2"/>
      </rPr>
      <t>t</t>
    </r>
    <r>
      <rPr>
        <b/>
        <i/>
        <vertAlign val="subscript"/>
        <sz val="10"/>
        <rFont val="Calibri"/>
        <family val="2"/>
      </rPr>
      <t>i</t>
    </r>
  </si>
  <si>
    <r>
      <t>S</t>
    </r>
    <r>
      <rPr>
        <b/>
        <i/>
        <vertAlign val="subscript"/>
        <sz val="10"/>
        <rFont val="Calibri"/>
        <family val="2"/>
      </rPr>
      <t>t i</t>
    </r>
  </si>
  <si>
    <r>
      <t>S</t>
    </r>
    <r>
      <rPr>
        <b/>
        <i/>
        <vertAlign val="subscript"/>
        <sz val="10"/>
        <rFont val="Calibri"/>
        <family val="2"/>
      </rPr>
      <t>t 0-i</t>
    </r>
  </si>
  <si>
    <t>20200313-Metod, Por qué testar si los riesgos son proporcionales Cox. Stensrud</t>
  </si>
  <si>
    <t>Stensrud MJ, Hernán MA. Why Test for Proportional Hazards? JAMA. 2020 Mar 13. doi: 10.1001/jama.2020.1267. [Epub ahead of print]</t>
  </si>
  <si>
    <t>McEvoy JP, Byerly M, Hamer RM, et al. Effectiveness of paliperidone palmitate vs haloperidol decanoate for maintenance treatment of schizophrenia: a randomized clinical trial. JAMA. 2014 May 21;311(19):1978-87</t>
  </si>
  <si>
    <t>Ponderado</t>
  </si>
  <si>
    <t>Sin tener en cuenta el tiempo hasta el evento, RR = [2 / 100 personas]] / [2 / 100 personas] = 2% / 2% = 1</t>
  </si>
  <si>
    <t>dividiendo</t>
  </si>
  <si>
    <r>
      <t>S</t>
    </r>
    <r>
      <rPr>
        <vertAlign val="subscript"/>
        <sz val="10"/>
        <rFont val="Calibri"/>
        <family val="2"/>
      </rPr>
      <t>i</t>
    </r>
    <r>
      <rPr>
        <sz val="10"/>
        <rFont val="Calibri"/>
        <family val="2"/>
      </rPr>
      <t xml:space="preserve"> = S</t>
    </r>
    <r>
      <rPr>
        <vertAlign val="subscript"/>
        <sz val="10"/>
        <rFont val="Calibri"/>
        <family val="2"/>
      </rPr>
      <t>c</t>
    </r>
    <r>
      <rPr>
        <vertAlign val="superscript"/>
        <sz val="10"/>
        <rFont val="Calibri"/>
        <family val="2"/>
      </rPr>
      <t>HR</t>
    </r>
  </si>
  <si>
    <r>
      <t xml:space="preserve">Log </t>
    </r>
    <r>
      <rPr>
        <vertAlign val="subscript"/>
        <sz val="10"/>
        <rFont val="Calibri"/>
        <family val="2"/>
      </rPr>
      <t>Sc</t>
    </r>
    <r>
      <rPr>
        <sz val="10"/>
        <rFont val="Calibri"/>
        <family val="2"/>
      </rPr>
      <t xml:space="preserve"> Si = HR</t>
    </r>
  </si>
  <si>
    <r>
      <t>En excel procédase así: HR = LOG(S</t>
    </r>
    <r>
      <rPr>
        <vertAlign val="subscript"/>
        <sz val="10"/>
        <rFont val="Calibri"/>
        <family val="2"/>
      </rPr>
      <t>i</t>
    </r>
    <r>
      <rPr>
        <sz val="10"/>
        <rFont val="Calibri"/>
        <family val="2"/>
      </rPr>
      <t>;S</t>
    </r>
    <r>
      <rPr>
        <vertAlign val="subscript"/>
        <sz val="10"/>
        <rFont val="Calibri"/>
        <family val="2"/>
      </rPr>
      <t>c</t>
    </r>
    <r>
      <rPr>
        <sz val="10"/>
        <rFont val="Calibri"/>
        <family val="2"/>
      </rPr>
      <t>)</t>
    </r>
  </si>
  <si>
    <t>56,95%</t>
  </si>
  <si>
    <t>Obtenido</t>
  </si>
  <si>
    <t>exponencialmente</t>
  </si>
  <si>
    <t>0,47 (0,4-0,56)</t>
  </si>
  <si>
    <t>4 (3 a 5)</t>
  </si>
  <si>
    <r>
      <rPr>
        <sz val="11"/>
        <color indexed="17"/>
        <rFont val="Calibri"/>
        <family val="2"/>
      </rPr>
      <t xml:space="preserve">El cuadro entero </t>
    </r>
    <r>
      <rPr>
        <sz val="11"/>
        <rFont val="Calibri"/>
        <family val="2"/>
      </rPr>
      <t>=</t>
    </r>
    <r>
      <rPr>
        <sz val="11"/>
        <color indexed="17"/>
        <rFont val="Calibri"/>
        <family val="2"/>
      </rPr>
      <t xml:space="preserve"> 1</t>
    </r>
  </si>
  <si>
    <r>
      <rPr>
        <i/>
        <sz val="11"/>
        <color indexed="17"/>
        <rFont val="Calibri"/>
        <family val="2"/>
      </rPr>
      <t>S</t>
    </r>
    <r>
      <rPr>
        <i/>
        <vertAlign val="subscript"/>
        <sz val="11"/>
        <color indexed="17"/>
        <rFont val="Calibri"/>
        <family val="2"/>
      </rPr>
      <t>t 0</t>
    </r>
    <r>
      <rPr>
        <sz val="11"/>
        <color indexed="17"/>
        <rFont val="Calibri"/>
        <family val="2"/>
      </rPr>
      <t xml:space="preserve"> = </t>
    </r>
    <r>
      <rPr>
        <i/>
        <sz val="11"/>
        <color indexed="17"/>
        <rFont val="Calibri"/>
        <family val="2"/>
      </rPr>
      <t>S</t>
    </r>
    <r>
      <rPr>
        <i/>
        <vertAlign val="subscript"/>
        <sz val="11"/>
        <color indexed="17"/>
        <rFont val="Calibri"/>
        <family val="2"/>
      </rPr>
      <t>o</t>
    </r>
    <r>
      <rPr>
        <sz val="11"/>
        <color indexed="17"/>
        <rFont val="Calibri"/>
        <family val="2"/>
      </rPr>
      <t xml:space="preserve"> = 1</t>
    </r>
  </si>
  <si>
    <r>
      <rPr>
        <sz val="11"/>
        <color indexed="14"/>
        <rFont val="Calibri"/>
        <family val="2"/>
      </rPr>
      <t xml:space="preserve">La mitad de </t>
    </r>
    <r>
      <rPr>
        <sz val="11"/>
        <rFont val="Calibri"/>
        <family val="2"/>
      </rPr>
      <t>(</t>
    </r>
    <r>
      <rPr>
        <sz val="11"/>
        <color indexed="17"/>
        <rFont val="Calibri"/>
        <family val="2"/>
      </rPr>
      <t>el cuadro entero</t>
    </r>
    <r>
      <rPr>
        <sz val="11"/>
        <rFont val="Calibri"/>
        <family val="2"/>
      </rPr>
      <t xml:space="preserve">) = </t>
    </r>
    <r>
      <rPr>
        <sz val="11"/>
        <color indexed="14"/>
        <rFont val="Calibri"/>
        <family val="2"/>
      </rPr>
      <t xml:space="preserve">0,5 </t>
    </r>
    <r>
      <rPr>
        <sz val="11"/>
        <rFont val="Calibri"/>
        <family val="2"/>
      </rPr>
      <t>X</t>
    </r>
    <r>
      <rPr>
        <sz val="11"/>
        <color indexed="17"/>
        <rFont val="Calibri"/>
        <family val="2"/>
      </rPr>
      <t xml:space="preserve"> 1</t>
    </r>
  </si>
  <si>
    <r>
      <rPr>
        <i/>
        <sz val="11"/>
        <rFont val="Calibri"/>
        <family val="2"/>
      </rPr>
      <t>S</t>
    </r>
    <r>
      <rPr>
        <i/>
        <vertAlign val="subscript"/>
        <sz val="11"/>
        <rFont val="Calibri"/>
        <family val="2"/>
      </rPr>
      <t>t 0-1</t>
    </r>
    <r>
      <rPr>
        <sz val="11"/>
        <rFont val="Calibri"/>
        <family val="2"/>
      </rPr>
      <t xml:space="preserve"> = </t>
    </r>
    <r>
      <rPr>
        <i/>
        <sz val="11"/>
        <color indexed="14"/>
        <rFont val="Calibri"/>
        <family val="2"/>
      </rPr>
      <t>S</t>
    </r>
    <r>
      <rPr>
        <i/>
        <vertAlign val="subscript"/>
        <sz val="11"/>
        <color indexed="14"/>
        <rFont val="Calibri"/>
        <family val="2"/>
      </rPr>
      <t>t entre 0 y 1</t>
    </r>
    <r>
      <rPr>
        <sz val="11"/>
        <rFont val="Calibri"/>
        <family val="2"/>
      </rPr>
      <t xml:space="preserve"> x </t>
    </r>
    <r>
      <rPr>
        <i/>
        <sz val="11"/>
        <color indexed="17"/>
        <rFont val="Calibri"/>
        <family val="2"/>
      </rPr>
      <t>S</t>
    </r>
    <r>
      <rPr>
        <i/>
        <vertAlign val="subscript"/>
        <sz val="11"/>
        <color indexed="17"/>
        <rFont val="Calibri"/>
        <family val="2"/>
      </rPr>
      <t>t 0</t>
    </r>
    <r>
      <rPr>
        <sz val="11"/>
        <color indexed="17"/>
        <rFont val="Calibri"/>
        <family val="2"/>
      </rPr>
      <t xml:space="preserve"> </t>
    </r>
    <r>
      <rPr>
        <sz val="11"/>
        <rFont val="Calibri"/>
        <family val="2"/>
      </rPr>
      <t xml:space="preserve">= 0,5 x </t>
    </r>
    <r>
      <rPr>
        <sz val="11"/>
        <color indexed="17"/>
        <rFont val="Calibri"/>
        <family val="2"/>
      </rPr>
      <t>1</t>
    </r>
  </si>
  <si>
    <r>
      <rPr>
        <sz val="11"/>
        <color indexed="60"/>
        <rFont val="Calibri"/>
        <family val="2"/>
      </rPr>
      <t>La mitad de</t>
    </r>
    <r>
      <rPr>
        <sz val="11"/>
        <rFont val="Calibri"/>
        <family val="2"/>
      </rPr>
      <t xml:space="preserve"> [</t>
    </r>
    <r>
      <rPr>
        <sz val="11"/>
        <color indexed="14"/>
        <rFont val="Calibri"/>
        <family val="2"/>
      </rPr>
      <t>la mitad de</t>
    </r>
    <r>
      <rPr>
        <sz val="11"/>
        <rFont val="Calibri"/>
        <family val="2"/>
      </rPr>
      <t xml:space="preserve"> (</t>
    </r>
    <r>
      <rPr>
        <sz val="11"/>
        <color indexed="17"/>
        <rFont val="Calibri"/>
        <family val="2"/>
      </rPr>
      <t>el cuadro entero</t>
    </r>
    <r>
      <rPr>
        <sz val="11"/>
        <rFont val="Calibri"/>
        <family val="2"/>
      </rPr>
      <t xml:space="preserve">)] = </t>
    </r>
    <r>
      <rPr>
        <sz val="11"/>
        <color indexed="60"/>
        <rFont val="Calibri"/>
        <family val="2"/>
      </rPr>
      <t>0,5</t>
    </r>
    <r>
      <rPr>
        <sz val="11"/>
        <rFont val="Calibri"/>
        <family val="2"/>
      </rPr>
      <t xml:space="preserve"> x </t>
    </r>
    <r>
      <rPr>
        <sz val="11"/>
        <color indexed="14"/>
        <rFont val="Calibri"/>
        <family val="2"/>
      </rPr>
      <t xml:space="preserve">0,5 </t>
    </r>
    <r>
      <rPr>
        <sz val="11"/>
        <rFont val="Calibri"/>
        <family val="2"/>
      </rPr>
      <t xml:space="preserve">x </t>
    </r>
    <r>
      <rPr>
        <sz val="11"/>
        <color indexed="17"/>
        <rFont val="Calibri"/>
        <family val="2"/>
      </rPr>
      <t>1</t>
    </r>
  </si>
  <si>
    <r>
      <rPr>
        <i/>
        <sz val="11"/>
        <rFont val="Calibri"/>
        <family val="2"/>
      </rPr>
      <t>S</t>
    </r>
    <r>
      <rPr>
        <i/>
        <vertAlign val="subscript"/>
        <sz val="11"/>
        <rFont val="Calibri"/>
        <family val="2"/>
      </rPr>
      <t>t 0-2</t>
    </r>
    <r>
      <rPr>
        <sz val="11"/>
        <rFont val="Calibri"/>
        <family val="2"/>
      </rPr>
      <t xml:space="preserve"> = </t>
    </r>
    <r>
      <rPr>
        <i/>
        <sz val="11"/>
        <color indexed="60"/>
        <rFont val="Calibri"/>
        <family val="2"/>
      </rPr>
      <t>S</t>
    </r>
    <r>
      <rPr>
        <i/>
        <vertAlign val="subscript"/>
        <sz val="11"/>
        <color indexed="60"/>
        <rFont val="Calibri"/>
        <family val="2"/>
      </rPr>
      <t>t entre 1 y 2</t>
    </r>
    <r>
      <rPr>
        <sz val="11"/>
        <rFont val="Calibri"/>
        <family val="2"/>
      </rPr>
      <t xml:space="preserve"> x</t>
    </r>
    <r>
      <rPr>
        <sz val="11"/>
        <color indexed="14"/>
        <rFont val="Calibri"/>
        <family val="2"/>
      </rPr>
      <t xml:space="preserve"> </t>
    </r>
    <r>
      <rPr>
        <i/>
        <sz val="11"/>
        <color indexed="14"/>
        <rFont val="Calibri"/>
        <family val="2"/>
      </rPr>
      <t>S</t>
    </r>
    <r>
      <rPr>
        <i/>
        <vertAlign val="subscript"/>
        <sz val="11"/>
        <color indexed="14"/>
        <rFont val="Calibri"/>
        <family val="2"/>
      </rPr>
      <t>t entre 0 y 1</t>
    </r>
    <r>
      <rPr>
        <sz val="11"/>
        <rFont val="Calibri"/>
        <family val="2"/>
      </rPr>
      <t xml:space="preserve"> x</t>
    </r>
    <r>
      <rPr>
        <sz val="11"/>
        <color indexed="17"/>
        <rFont val="Calibri"/>
        <family val="2"/>
      </rPr>
      <t xml:space="preserve"> </t>
    </r>
    <r>
      <rPr>
        <i/>
        <sz val="11"/>
        <color indexed="17"/>
        <rFont val="Calibri"/>
        <family val="2"/>
      </rPr>
      <t>S</t>
    </r>
    <r>
      <rPr>
        <i/>
        <vertAlign val="subscript"/>
        <sz val="11"/>
        <color indexed="17"/>
        <rFont val="Calibri"/>
        <family val="2"/>
      </rPr>
      <t xml:space="preserve"> t 0</t>
    </r>
    <r>
      <rPr>
        <vertAlign val="subscript"/>
        <sz val="11"/>
        <rFont val="Calibri"/>
        <family val="2"/>
      </rPr>
      <t xml:space="preserve"> </t>
    </r>
    <r>
      <rPr>
        <sz val="11"/>
        <rFont val="Calibri"/>
        <family val="2"/>
      </rPr>
      <t xml:space="preserve">= </t>
    </r>
    <r>
      <rPr>
        <sz val="11"/>
        <color indexed="60"/>
        <rFont val="Calibri"/>
        <family val="2"/>
      </rPr>
      <t xml:space="preserve">0,5 </t>
    </r>
    <r>
      <rPr>
        <sz val="11"/>
        <rFont val="Calibri"/>
        <family val="2"/>
      </rPr>
      <t xml:space="preserve">x </t>
    </r>
    <r>
      <rPr>
        <sz val="11"/>
        <color indexed="14"/>
        <rFont val="Calibri"/>
        <family val="2"/>
      </rPr>
      <t>0,5</t>
    </r>
    <r>
      <rPr>
        <sz val="11"/>
        <rFont val="Calibri"/>
        <family val="2"/>
      </rPr>
      <t xml:space="preserve"> x </t>
    </r>
    <r>
      <rPr>
        <sz val="11"/>
        <color indexed="17"/>
        <rFont val="Calibri"/>
        <family val="2"/>
      </rPr>
      <t xml:space="preserve">1 </t>
    </r>
    <r>
      <rPr>
        <sz val="11"/>
        <rFont val="Calibri"/>
        <family val="2"/>
      </rPr>
      <t>= 0,25</t>
    </r>
  </si>
  <si>
    <r>
      <rPr>
        <sz val="11"/>
        <color indexed="30"/>
        <rFont val="Calibri"/>
        <family val="2"/>
      </rPr>
      <t>La mitad de</t>
    </r>
    <r>
      <rPr>
        <sz val="11"/>
        <color indexed="12"/>
        <rFont val="Calibri"/>
        <family val="2"/>
      </rPr>
      <t xml:space="preserve"> </t>
    </r>
    <r>
      <rPr>
        <sz val="11"/>
        <rFont val="Calibri"/>
        <family val="2"/>
      </rPr>
      <t>(</t>
    </r>
    <r>
      <rPr>
        <sz val="11"/>
        <color indexed="60"/>
        <rFont val="Calibri"/>
        <family val="2"/>
      </rPr>
      <t>la mitad de</t>
    </r>
    <r>
      <rPr>
        <sz val="11"/>
        <rFont val="Calibri"/>
        <family val="2"/>
      </rPr>
      <t xml:space="preserve"> [</t>
    </r>
    <r>
      <rPr>
        <sz val="11"/>
        <color indexed="14"/>
        <rFont val="Calibri"/>
        <family val="2"/>
      </rPr>
      <t>la mitad de</t>
    </r>
    <r>
      <rPr>
        <sz val="11"/>
        <rFont val="Calibri"/>
        <family val="2"/>
      </rPr>
      <t xml:space="preserve"> (</t>
    </r>
    <r>
      <rPr>
        <sz val="11"/>
        <color indexed="17"/>
        <rFont val="Calibri"/>
        <family val="2"/>
      </rPr>
      <t>el cuadro entero</t>
    </r>
    <r>
      <rPr>
        <sz val="11"/>
        <rFont val="Calibri"/>
        <family val="2"/>
      </rPr>
      <t>)]) =</t>
    </r>
    <r>
      <rPr>
        <sz val="11"/>
        <color indexed="17"/>
        <rFont val="Calibri"/>
        <family val="2"/>
      </rPr>
      <t xml:space="preserve"> </t>
    </r>
    <r>
      <rPr>
        <sz val="11"/>
        <color indexed="30"/>
        <rFont val="Calibri"/>
        <family val="2"/>
      </rPr>
      <t xml:space="preserve">0,5 </t>
    </r>
    <r>
      <rPr>
        <sz val="11"/>
        <rFont val="Calibri"/>
        <family val="2"/>
      </rPr>
      <t xml:space="preserve">x </t>
    </r>
    <r>
      <rPr>
        <sz val="11"/>
        <color indexed="60"/>
        <rFont val="Calibri"/>
        <family val="2"/>
      </rPr>
      <t xml:space="preserve">0,5 </t>
    </r>
    <r>
      <rPr>
        <sz val="11"/>
        <rFont val="Calibri"/>
        <family val="2"/>
      </rPr>
      <t>x</t>
    </r>
    <r>
      <rPr>
        <sz val="11"/>
        <color indexed="14"/>
        <rFont val="Calibri"/>
        <family val="2"/>
      </rPr>
      <t xml:space="preserve"> 0,5 </t>
    </r>
    <r>
      <rPr>
        <sz val="11"/>
        <color indexed="12"/>
        <rFont val="Calibri"/>
        <family val="2"/>
      </rPr>
      <t xml:space="preserve">x </t>
    </r>
    <r>
      <rPr>
        <sz val="11"/>
        <color indexed="17"/>
        <rFont val="Calibri"/>
        <family val="2"/>
      </rPr>
      <t>1</t>
    </r>
  </si>
  <si>
    <r>
      <rPr>
        <i/>
        <sz val="11"/>
        <rFont val="Calibri"/>
        <family val="2"/>
      </rPr>
      <t>S</t>
    </r>
    <r>
      <rPr>
        <i/>
        <vertAlign val="subscript"/>
        <sz val="11"/>
        <rFont val="Calibri"/>
        <family val="2"/>
      </rPr>
      <t>t 0-3</t>
    </r>
    <r>
      <rPr>
        <sz val="11"/>
        <rFont val="Calibri"/>
        <family val="2"/>
      </rPr>
      <t xml:space="preserve"> = </t>
    </r>
    <r>
      <rPr>
        <i/>
        <sz val="11"/>
        <color indexed="30"/>
        <rFont val="Calibri"/>
        <family val="2"/>
      </rPr>
      <t>S</t>
    </r>
    <r>
      <rPr>
        <i/>
        <vertAlign val="subscript"/>
        <sz val="11"/>
        <color indexed="30"/>
        <rFont val="Calibri"/>
        <family val="2"/>
      </rPr>
      <t>t entre 2 y 3</t>
    </r>
    <r>
      <rPr>
        <sz val="11"/>
        <rFont val="Calibri"/>
        <family val="2"/>
      </rPr>
      <t xml:space="preserve"> x </t>
    </r>
    <r>
      <rPr>
        <i/>
        <sz val="11"/>
        <color indexed="60"/>
        <rFont val="Calibri"/>
        <family val="2"/>
      </rPr>
      <t>S</t>
    </r>
    <r>
      <rPr>
        <i/>
        <vertAlign val="subscript"/>
        <sz val="11"/>
        <color indexed="60"/>
        <rFont val="Calibri"/>
        <family val="2"/>
      </rPr>
      <t>t entre 1 y 2</t>
    </r>
    <r>
      <rPr>
        <sz val="11"/>
        <rFont val="Calibri"/>
        <family val="2"/>
      </rPr>
      <t xml:space="preserve"> x </t>
    </r>
    <r>
      <rPr>
        <i/>
        <sz val="11"/>
        <color indexed="14"/>
        <rFont val="Calibri"/>
        <family val="2"/>
      </rPr>
      <t>S</t>
    </r>
    <r>
      <rPr>
        <i/>
        <vertAlign val="subscript"/>
        <sz val="11"/>
        <color indexed="14"/>
        <rFont val="Calibri"/>
        <family val="2"/>
      </rPr>
      <t>t entre 0 y 1</t>
    </r>
    <r>
      <rPr>
        <sz val="11"/>
        <rFont val="Calibri"/>
        <family val="2"/>
      </rPr>
      <t xml:space="preserve"> x</t>
    </r>
    <r>
      <rPr>
        <sz val="11"/>
        <color indexed="17"/>
        <rFont val="Calibri"/>
        <family val="2"/>
      </rPr>
      <t xml:space="preserve"> </t>
    </r>
    <r>
      <rPr>
        <i/>
        <sz val="11"/>
        <color indexed="17"/>
        <rFont val="Calibri"/>
        <family val="2"/>
      </rPr>
      <t>S</t>
    </r>
    <r>
      <rPr>
        <i/>
        <vertAlign val="subscript"/>
        <sz val="11"/>
        <color indexed="17"/>
        <rFont val="Calibri"/>
        <family val="2"/>
      </rPr>
      <t>t 0</t>
    </r>
    <r>
      <rPr>
        <sz val="11"/>
        <rFont val="Calibri"/>
        <family val="2"/>
      </rPr>
      <t xml:space="preserve"> =</t>
    </r>
    <r>
      <rPr>
        <sz val="11"/>
        <color indexed="30"/>
        <rFont val="Calibri"/>
        <family val="2"/>
      </rPr>
      <t xml:space="preserve"> 0,5</t>
    </r>
    <r>
      <rPr>
        <sz val="11"/>
        <rFont val="Calibri"/>
        <family val="2"/>
      </rPr>
      <t xml:space="preserve"> x </t>
    </r>
    <r>
      <rPr>
        <sz val="11"/>
        <color indexed="60"/>
        <rFont val="Calibri"/>
        <family val="2"/>
      </rPr>
      <t xml:space="preserve">0,5 </t>
    </r>
    <r>
      <rPr>
        <sz val="11"/>
        <rFont val="Calibri"/>
        <family val="2"/>
      </rPr>
      <t xml:space="preserve">x </t>
    </r>
    <r>
      <rPr>
        <sz val="11"/>
        <color indexed="14"/>
        <rFont val="Calibri"/>
        <family val="2"/>
      </rPr>
      <t xml:space="preserve">0,5 </t>
    </r>
    <r>
      <rPr>
        <sz val="11"/>
        <rFont val="Calibri"/>
        <family val="2"/>
      </rPr>
      <t xml:space="preserve">x </t>
    </r>
    <r>
      <rPr>
        <sz val="11"/>
        <color indexed="17"/>
        <rFont val="Calibri"/>
        <family val="2"/>
      </rPr>
      <t>1</t>
    </r>
    <r>
      <rPr>
        <sz val="11"/>
        <rFont val="Calibri"/>
        <family val="2"/>
      </rPr>
      <t xml:space="preserve"> = 0,125</t>
    </r>
  </si>
  <si>
    <r>
      <rPr>
        <sz val="11"/>
        <color indexed="36"/>
        <rFont val="Calibri"/>
        <family val="2"/>
      </rPr>
      <t xml:space="preserve">La mitad de </t>
    </r>
    <r>
      <rPr>
        <sz val="11"/>
        <rFont val="Calibri"/>
        <family val="2"/>
      </rPr>
      <t>[</t>
    </r>
    <r>
      <rPr>
        <sz val="11"/>
        <color indexed="30"/>
        <rFont val="Calibri"/>
        <family val="2"/>
      </rPr>
      <t>la  mitad de</t>
    </r>
    <r>
      <rPr>
        <sz val="11"/>
        <color indexed="12"/>
        <rFont val="Calibri"/>
        <family val="2"/>
      </rPr>
      <t xml:space="preserve"> </t>
    </r>
    <r>
      <rPr>
        <sz val="11"/>
        <rFont val="Calibri"/>
        <family val="2"/>
      </rPr>
      <t>(</t>
    </r>
    <r>
      <rPr>
        <sz val="11"/>
        <color indexed="60"/>
        <rFont val="Calibri"/>
        <family val="2"/>
      </rPr>
      <t>la mitad de</t>
    </r>
    <r>
      <rPr>
        <sz val="11"/>
        <rFont val="Calibri"/>
        <family val="2"/>
      </rPr>
      <t xml:space="preserve"> [</t>
    </r>
    <r>
      <rPr>
        <sz val="11"/>
        <color indexed="14"/>
        <rFont val="Calibri"/>
        <family val="2"/>
      </rPr>
      <t xml:space="preserve">la mitad de </t>
    </r>
    <r>
      <rPr>
        <sz val="11"/>
        <rFont val="Calibri"/>
        <family val="2"/>
      </rPr>
      <t>(</t>
    </r>
    <r>
      <rPr>
        <sz val="11"/>
        <color indexed="17"/>
        <rFont val="Calibri"/>
        <family val="2"/>
      </rPr>
      <t>el cuadro entero</t>
    </r>
    <r>
      <rPr>
        <sz val="11"/>
        <rFont val="Calibri"/>
        <family val="2"/>
      </rPr>
      <t>)])] =</t>
    </r>
    <r>
      <rPr>
        <sz val="11"/>
        <color indexed="17"/>
        <rFont val="Calibri"/>
        <family val="2"/>
      </rPr>
      <t xml:space="preserve"> </t>
    </r>
    <r>
      <rPr>
        <sz val="11"/>
        <color indexed="36"/>
        <rFont val="Calibri"/>
        <family val="2"/>
      </rPr>
      <t xml:space="preserve">0,5 </t>
    </r>
    <r>
      <rPr>
        <sz val="11"/>
        <rFont val="Calibri"/>
        <family val="2"/>
      </rPr>
      <t>x</t>
    </r>
    <r>
      <rPr>
        <sz val="11"/>
        <color indexed="30"/>
        <rFont val="Calibri"/>
        <family val="2"/>
      </rPr>
      <t xml:space="preserve"> 0,5</t>
    </r>
    <r>
      <rPr>
        <sz val="11"/>
        <rFont val="Calibri"/>
        <family val="2"/>
      </rPr>
      <t xml:space="preserve"> x </t>
    </r>
    <r>
      <rPr>
        <sz val="11"/>
        <color indexed="60"/>
        <rFont val="Calibri"/>
        <family val="2"/>
      </rPr>
      <t>0,5</t>
    </r>
    <r>
      <rPr>
        <sz val="11"/>
        <rFont val="Calibri"/>
        <family val="2"/>
      </rPr>
      <t xml:space="preserve"> x </t>
    </r>
    <r>
      <rPr>
        <sz val="11"/>
        <color indexed="14"/>
        <rFont val="Calibri"/>
        <family val="2"/>
      </rPr>
      <t xml:space="preserve">0,5 </t>
    </r>
    <r>
      <rPr>
        <sz val="11"/>
        <color indexed="60"/>
        <rFont val="Calibri"/>
        <family val="2"/>
      </rPr>
      <t>x</t>
    </r>
    <r>
      <rPr>
        <sz val="11"/>
        <color indexed="17"/>
        <rFont val="Calibri"/>
        <family val="2"/>
      </rPr>
      <t xml:space="preserve"> 1</t>
    </r>
  </si>
  <si>
    <r>
      <rPr>
        <i/>
        <sz val="11"/>
        <rFont val="Calibri"/>
        <family val="2"/>
      </rPr>
      <t>S</t>
    </r>
    <r>
      <rPr>
        <i/>
        <vertAlign val="subscript"/>
        <sz val="11"/>
        <rFont val="Calibri"/>
        <family val="2"/>
      </rPr>
      <t>t 0-4</t>
    </r>
    <r>
      <rPr>
        <sz val="11"/>
        <rFont val="Calibri"/>
        <family val="2"/>
      </rPr>
      <t xml:space="preserve"> = </t>
    </r>
    <r>
      <rPr>
        <i/>
        <sz val="11"/>
        <color indexed="36"/>
        <rFont val="Calibri"/>
        <family val="2"/>
      </rPr>
      <t>S</t>
    </r>
    <r>
      <rPr>
        <i/>
        <vertAlign val="subscript"/>
        <sz val="11"/>
        <color indexed="36"/>
        <rFont val="Calibri"/>
        <family val="2"/>
      </rPr>
      <t>t entre 3 y 4</t>
    </r>
    <r>
      <rPr>
        <sz val="11"/>
        <color indexed="36"/>
        <rFont val="Calibri"/>
        <family val="2"/>
      </rPr>
      <t xml:space="preserve"> </t>
    </r>
    <r>
      <rPr>
        <sz val="11"/>
        <rFont val="Calibri"/>
        <family val="2"/>
      </rPr>
      <t xml:space="preserve">X </t>
    </r>
    <r>
      <rPr>
        <i/>
        <sz val="11"/>
        <color indexed="30"/>
        <rFont val="Calibri"/>
        <family val="2"/>
      </rPr>
      <t>S</t>
    </r>
    <r>
      <rPr>
        <i/>
        <vertAlign val="subscript"/>
        <sz val="11"/>
        <color indexed="30"/>
        <rFont val="Calibri"/>
        <family val="2"/>
      </rPr>
      <t>t entre 2 y 3</t>
    </r>
    <r>
      <rPr>
        <sz val="11"/>
        <rFont val="Calibri"/>
        <family val="2"/>
      </rPr>
      <t xml:space="preserve"> x </t>
    </r>
    <r>
      <rPr>
        <i/>
        <sz val="11"/>
        <color indexed="60"/>
        <rFont val="Calibri"/>
        <family val="2"/>
      </rPr>
      <t>S</t>
    </r>
    <r>
      <rPr>
        <i/>
        <vertAlign val="subscript"/>
        <sz val="11"/>
        <color indexed="60"/>
        <rFont val="Calibri"/>
        <family val="2"/>
      </rPr>
      <t>t entre 1 y 2</t>
    </r>
    <r>
      <rPr>
        <sz val="11"/>
        <color indexed="60"/>
        <rFont val="Calibri"/>
        <family val="2"/>
      </rPr>
      <t xml:space="preserve"> </t>
    </r>
    <r>
      <rPr>
        <sz val="11"/>
        <rFont val="Calibri"/>
        <family val="2"/>
      </rPr>
      <t xml:space="preserve">x </t>
    </r>
    <r>
      <rPr>
        <i/>
        <sz val="11"/>
        <color indexed="14"/>
        <rFont val="Calibri"/>
        <family val="2"/>
      </rPr>
      <t>S</t>
    </r>
    <r>
      <rPr>
        <i/>
        <vertAlign val="subscript"/>
        <sz val="11"/>
        <color indexed="14"/>
        <rFont val="Calibri"/>
        <family val="2"/>
      </rPr>
      <t>t entre 0 y 1</t>
    </r>
    <r>
      <rPr>
        <sz val="11"/>
        <rFont val="Calibri"/>
        <family val="2"/>
      </rPr>
      <t xml:space="preserve"> x</t>
    </r>
    <r>
      <rPr>
        <sz val="11"/>
        <color indexed="17"/>
        <rFont val="Calibri"/>
        <family val="2"/>
      </rPr>
      <t xml:space="preserve"> </t>
    </r>
    <r>
      <rPr>
        <i/>
        <sz val="11"/>
        <color indexed="17"/>
        <rFont val="Calibri"/>
        <family val="2"/>
      </rPr>
      <t>S</t>
    </r>
    <r>
      <rPr>
        <i/>
        <vertAlign val="subscript"/>
        <sz val="11"/>
        <color indexed="17"/>
        <rFont val="Calibri"/>
        <family val="2"/>
      </rPr>
      <t>t 0</t>
    </r>
    <r>
      <rPr>
        <sz val="11"/>
        <color indexed="17"/>
        <rFont val="Calibri"/>
        <family val="2"/>
      </rPr>
      <t xml:space="preserve"> </t>
    </r>
    <r>
      <rPr>
        <sz val="11"/>
        <rFont val="Calibri"/>
        <family val="2"/>
      </rPr>
      <t xml:space="preserve">= </t>
    </r>
    <r>
      <rPr>
        <sz val="11"/>
        <color indexed="36"/>
        <rFont val="Calibri"/>
        <family val="2"/>
      </rPr>
      <t>0,5</t>
    </r>
    <r>
      <rPr>
        <sz val="11"/>
        <rFont val="Calibri"/>
        <family val="2"/>
      </rPr>
      <t xml:space="preserve"> x 0</t>
    </r>
    <r>
      <rPr>
        <sz val="11"/>
        <color indexed="30"/>
        <rFont val="Calibri"/>
        <family val="2"/>
      </rPr>
      <t xml:space="preserve">,5 </t>
    </r>
    <r>
      <rPr>
        <sz val="11"/>
        <rFont val="Calibri"/>
        <family val="2"/>
      </rPr>
      <t>x 0</t>
    </r>
    <r>
      <rPr>
        <sz val="11"/>
        <color indexed="60"/>
        <rFont val="Calibri"/>
        <family val="2"/>
      </rPr>
      <t xml:space="preserve">,5 </t>
    </r>
    <r>
      <rPr>
        <sz val="11"/>
        <rFont val="Calibri"/>
        <family val="2"/>
      </rPr>
      <t xml:space="preserve">x </t>
    </r>
    <r>
      <rPr>
        <sz val="11"/>
        <color indexed="14"/>
        <rFont val="Calibri"/>
        <family val="2"/>
      </rPr>
      <t xml:space="preserve">0,5 </t>
    </r>
    <r>
      <rPr>
        <sz val="11"/>
        <rFont val="Calibri"/>
        <family val="2"/>
      </rPr>
      <t xml:space="preserve">x </t>
    </r>
    <r>
      <rPr>
        <sz val="11"/>
        <color indexed="17"/>
        <rFont val="Calibri"/>
        <family val="2"/>
      </rPr>
      <t xml:space="preserve">1 </t>
    </r>
    <r>
      <rPr>
        <sz val="11"/>
        <rFont val="Calibri"/>
        <family val="2"/>
      </rPr>
      <t>= 0,0625</t>
    </r>
  </si>
  <si>
    <t>20140521-ECA 2y, PalipPalmit vs HalopDecan, =33pcRecaída +Peso Prolac –Acatis. McEvoy</t>
  </si>
  <si>
    <t>En los siguientes meses de seguimiento</t>
  </si>
  <si>
    <t>ABC de los cuadrados, en meses</t>
  </si>
  <si>
    <t>ABC de los triángulos en meses</t>
  </si>
  <si>
    <t>ABC en cada intervalo, en meses</t>
  </si>
  <si>
    <t>ABC acumulada, en meses</t>
  </si>
  <si>
    <t>PtSLEv, meses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</si>
</sst>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 _€_-;\-* #,##0.0\ _€_-;_-* &quot;-&quot;??\ _€_-;_-@_-"/>
    <numFmt numFmtId="169" formatCode="_-* #,##0\ _€_-;\-* #,##0\ _€_-;_-* &quot;-&quot;??\ _€_-;_-@_-"/>
    <numFmt numFmtId="170" formatCode="0.0%"/>
    <numFmt numFmtId="171" formatCode="0.000%"/>
    <numFmt numFmtId="172" formatCode="_-* #,##0.0\ _€_-;\-* #,##0.0\ _€_-;_-* &quot;-&quot;?\ _€_-;_-@_-"/>
    <numFmt numFmtId="173" formatCode="_-* #,##0.000\ _€_-;\-* #,##0.000\ _€_-;_-* &quot;-&quot;??\ _€_-;_-@_-"/>
    <numFmt numFmtId="174" formatCode="_-* #,##0.0000\ _€_-;\-* #,##0.0000\ _€_-;_-* &quot;-&quot;??\ _€_-;_-@_-"/>
    <numFmt numFmtId="175" formatCode="_-* #,##0.0000\ _€_-;\-* #,##0.0000\ _€_-;_-* &quot;-&quot;????\ _€_-;_-@_-"/>
    <numFmt numFmtId="176" formatCode="_-* #,##0.00000\ _€_-;\-* #,##0.00000\ _€_-;_-* &quot;-&quot;??\ _€_-;_-@_-"/>
    <numFmt numFmtId="177" formatCode="0.0000000000"/>
    <numFmt numFmtId="178" formatCode="0.000000000"/>
    <numFmt numFmtId="179" formatCode="0.00000000"/>
    <numFmt numFmtId="180" formatCode="0.0000000"/>
    <numFmt numFmtId="181" formatCode="0.000000"/>
    <numFmt numFmtId="182" formatCode="0.00000"/>
    <numFmt numFmtId="183" formatCode="_-* #,##0.00000\ _€_-;\-* #,##0.00000\ _€_-;_-* &quot;-&quot;?????\ _€_-;_-@_-"/>
    <numFmt numFmtId="184" formatCode="_-* #,##0.000000\ _€_-;\-* #,##0.000000\ _€_-;_-* &quot;-&quot;??\ _€_-;_-@_-"/>
    <numFmt numFmtId="185" formatCode="_-* #,##0.0000000\ _€_-;\-* #,##0.0000000\ _€_-;_-* &quot;-&quot;??\ _€_-;_-@_-"/>
    <numFmt numFmtId="186" formatCode="0.0000"/>
    <numFmt numFmtId="187" formatCode="0.000"/>
    <numFmt numFmtId="188" formatCode="_-* #,##0.000\ _€_-;\-* #,##0.000\ _€_-;_-* &quot;-&quot;???\ _€_-;_-@_-"/>
    <numFmt numFmtId="189" formatCode="0.00000000000"/>
    <numFmt numFmtId="190" formatCode="0.0"/>
    <numFmt numFmtId="191" formatCode="[$-C0A]dddd\,\ dd&quot; de &quot;mmmm&quot; de &quot;yyyy"/>
    <numFmt numFmtId="192" formatCode="0.0000%"/>
    <numFmt numFmtId="193" formatCode="0.00000%"/>
    <numFmt numFmtId="194" formatCode="_-* #,##0.0000\ _€_-;\-* #,##0.0000\ _€_-;_-* &quot;-&quot;?\ _€_-;_-@_-"/>
    <numFmt numFmtId="195" formatCode="[$-C0A]dddd\,\ d&quot; de &quot;mmmm&quot; de &quot;yyyy"/>
  </numFmts>
  <fonts count="122">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vertAlign val="subscript"/>
      <sz val="9"/>
      <name val="Calibri"/>
      <family val="2"/>
    </font>
    <font>
      <sz val="9"/>
      <name val="Calibri"/>
      <family val="2"/>
    </font>
    <font>
      <vertAlign val="subscript"/>
      <sz val="10"/>
      <name val="Calibri"/>
      <family val="2"/>
    </font>
    <font>
      <vertAlign val="superscript"/>
      <sz val="10"/>
      <name val="Calibri"/>
      <family val="2"/>
    </font>
    <font>
      <vertAlign val="superscript"/>
      <sz val="9"/>
      <name val="Calibri"/>
      <family val="2"/>
    </font>
    <font>
      <b/>
      <sz val="9"/>
      <name val="Calibri"/>
      <family val="2"/>
    </font>
    <font>
      <b/>
      <i/>
      <sz val="10"/>
      <name val="Calibri"/>
      <family val="2"/>
    </font>
    <font>
      <b/>
      <sz val="12"/>
      <name val="Calibri"/>
      <family val="2"/>
    </font>
    <font>
      <sz val="10"/>
      <color indexed="8"/>
      <name val="Calibri"/>
      <family val="2"/>
    </font>
    <font>
      <u val="single"/>
      <sz val="10"/>
      <color indexed="8"/>
      <name val="Calibri"/>
      <family val="2"/>
    </font>
    <font>
      <b/>
      <sz val="10"/>
      <color indexed="8"/>
      <name val="Calibri"/>
      <family val="2"/>
    </font>
    <font>
      <i/>
      <sz val="10"/>
      <name val="Calibri"/>
      <family val="2"/>
    </font>
    <font>
      <sz val="10"/>
      <color indexed="9"/>
      <name val="Calibri"/>
      <family val="2"/>
    </font>
    <font>
      <b/>
      <vertAlign val="subscript"/>
      <sz val="9"/>
      <color indexed="12"/>
      <name val="Calibri"/>
      <family val="2"/>
    </font>
    <font>
      <vertAlign val="subscript"/>
      <sz val="9"/>
      <color indexed="12"/>
      <name val="Calibri"/>
      <family val="2"/>
    </font>
    <font>
      <b/>
      <i/>
      <vertAlign val="subscript"/>
      <sz val="10"/>
      <name val="Calibri"/>
      <family val="2"/>
    </font>
    <font>
      <sz val="11"/>
      <color indexed="17"/>
      <name val="Calibri"/>
      <family val="2"/>
    </font>
    <font>
      <sz val="11"/>
      <color indexed="60"/>
      <name val="Calibri"/>
      <family val="2"/>
    </font>
    <font>
      <sz val="11"/>
      <name val="Calibri"/>
      <family val="2"/>
    </font>
    <font>
      <i/>
      <sz val="11"/>
      <color indexed="17"/>
      <name val="Calibri"/>
      <family val="2"/>
    </font>
    <font>
      <i/>
      <vertAlign val="subscript"/>
      <sz val="11"/>
      <color indexed="17"/>
      <name val="Calibri"/>
      <family val="2"/>
    </font>
    <font>
      <sz val="11"/>
      <color indexed="14"/>
      <name val="Calibri"/>
      <family val="2"/>
    </font>
    <font>
      <i/>
      <sz val="11"/>
      <name val="Calibri"/>
      <family val="2"/>
    </font>
    <font>
      <i/>
      <vertAlign val="subscript"/>
      <sz val="11"/>
      <name val="Calibri"/>
      <family val="2"/>
    </font>
    <font>
      <i/>
      <sz val="11"/>
      <color indexed="14"/>
      <name val="Calibri"/>
      <family val="2"/>
    </font>
    <font>
      <i/>
      <vertAlign val="subscript"/>
      <sz val="11"/>
      <color indexed="14"/>
      <name val="Calibri"/>
      <family val="2"/>
    </font>
    <font>
      <i/>
      <sz val="11"/>
      <color indexed="60"/>
      <name val="Calibri"/>
      <family val="2"/>
    </font>
    <font>
      <i/>
      <vertAlign val="subscript"/>
      <sz val="11"/>
      <color indexed="60"/>
      <name val="Calibri"/>
      <family val="2"/>
    </font>
    <font>
      <vertAlign val="subscript"/>
      <sz val="11"/>
      <name val="Calibri"/>
      <family val="2"/>
    </font>
    <font>
      <sz val="11"/>
      <color indexed="30"/>
      <name val="Calibri"/>
      <family val="2"/>
    </font>
    <font>
      <sz val="11"/>
      <color indexed="12"/>
      <name val="Calibri"/>
      <family val="2"/>
    </font>
    <font>
      <i/>
      <sz val="11"/>
      <color indexed="30"/>
      <name val="Calibri"/>
      <family val="2"/>
    </font>
    <font>
      <i/>
      <vertAlign val="subscript"/>
      <sz val="11"/>
      <color indexed="30"/>
      <name val="Calibri"/>
      <family val="2"/>
    </font>
    <font>
      <sz val="11"/>
      <color indexed="36"/>
      <name val="Calibri"/>
      <family val="2"/>
    </font>
    <font>
      <i/>
      <sz val="11"/>
      <color indexed="36"/>
      <name val="Calibri"/>
      <family val="2"/>
    </font>
    <font>
      <i/>
      <vertAlign val="subscript"/>
      <sz val="11"/>
      <color indexed="36"/>
      <name val="Calibri"/>
      <family val="2"/>
    </font>
    <font>
      <sz val="9"/>
      <color indexed="8"/>
      <name val="Calibri"/>
      <family val="2"/>
    </font>
    <font>
      <sz val="9"/>
      <color indexed="30"/>
      <name val="Calibri"/>
      <family val="2"/>
    </font>
    <font>
      <sz val="9"/>
      <color indexed="60"/>
      <name val="Calibri"/>
      <family val="2"/>
    </font>
    <font>
      <b/>
      <sz val="9"/>
      <color indexed="63"/>
      <name val="Calibri"/>
      <family val="2"/>
    </font>
    <font>
      <sz val="9"/>
      <color indexed="63"/>
      <name val="Calibri"/>
      <family val="2"/>
    </font>
    <font>
      <sz val="10"/>
      <color indexed="63"/>
      <name val="Calibri"/>
      <family val="2"/>
    </font>
    <font>
      <sz val="8"/>
      <color indexed="8"/>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52"/>
      <name val="Calibri"/>
      <family val="2"/>
    </font>
    <font>
      <sz val="10"/>
      <color indexed="12"/>
      <name val="Calibri"/>
      <family val="2"/>
    </font>
    <font>
      <sz val="10"/>
      <color indexed="61"/>
      <name val="Calibri"/>
      <family val="2"/>
    </font>
    <font>
      <b/>
      <sz val="10"/>
      <color indexed="17"/>
      <name val="Calibri"/>
      <family val="2"/>
    </font>
    <font>
      <b/>
      <sz val="10"/>
      <color indexed="12"/>
      <name val="Calibri"/>
      <family val="2"/>
    </font>
    <font>
      <sz val="9"/>
      <color indexed="12"/>
      <name val="Calibri"/>
      <family val="2"/>
    </font>
    <font>
      <b/>
      <u val="single"/>
      <sz val="11"/>
      <name val="Calibri"/>
      <family val="2"/>
    </font>
    <font>
      <b/>
      <u val="single"/>
      <sz val="10"/>
      <name val="Calibri"/>
      <family val="2"/>
    </font>
    <font>
      <b/>
      <sz val="14"/>
      <name val="Calibri"/>
      <family val="2"/>
    </font>
    <font>
      <sz val="14"/>
      <name val="Calibri"/>
      <family val="2"/>
    </font>
    <font>
      <sz val="10"/>
      <color indexed="14"/>
      <name val="Calibri"/>
      <family val="2"/>
    </font>
    <font>
      <b/>
      <sz val="10"/>
      <color indexed="57"/>
      <name val="Calibri"/>
      <family val="2"/>
    </font>
    <font>
      <sz val="10"/>
      <color indexed="17"/>
      <name val="Calibri"/>
      <family val="2"/>
    </font>
    <font>
      <b/>
      <sz val="10"/>
      <color indexed="10"/>
      <name val="Calibri"/>
      <family val="2"/>
    </font>
    <font>
      <sz val="28"/>
      <color indexed="8"/>
      <name val="Calibri"/>
      <family val="2"/>
    </font>
    <font>
      <sz val="10"/>
      <color indexed="10"/>
      <name val="Calibri"/>
      <family val="2"/>
    </font>
    <font>
      <sz val="24"/>
      <color indexed="8"/>
      <name val="Calibri"/>
      <family val="2"/>
    </font>
    <font>
      <sz val="10"/>
      <color indexed="36"/>
      <name val="Calibri"/>
      <family val="2"/>
    </font>
    <font>
      <sz val="8"/>
      <name val="Calibri"/>
      <family val="2"/>
    </font>
    <font>
      <sz val="10"/>
      <color indexed="60"/>
      <name val="Calibri"/>
      <family val="2"/>
    </font>
    <font>
      <b/>
      <sz val="7"/>
      <name val="Calibri"/>
      <family val="2"/>
    </font>
    <font>
      <sz val="10"/>
      <color indexed="30"/>
      <name val="Calibri"/>
      <family val="2"/>
    </font>
    <font>
      <b/>
      <sz val="11"/>
      <color indexed="60"/>
      <name val="Calibri"/>
      <family val="2"/>
    </font>
    <font>
      <sz val="8.25"/>
      <color indexed="8"/>
      <name val="Calibri"/>
      <family val="2"/>
    </font>
    <font>
      <sz val="14"/>
      <color indexed="8"/>
      <name val="Calibri"/>
      <family val="2"/>
    </font>
    <font>
      <sz val="14"/>
      <color indexed="63"/>
      <name val="Calibri"/>
      <family val="2"/>
    </font>
    <font>
      <sz val="12"/>
      <color indexed="8"/>
      <name val="Calibri"/>
      <family val="2"/>
    </font>
    <font>
      <sz val="12"/>
      <color indexed="17"/>
      <name val="Calibri"/>
      <family val="2"/>
    </font>
    <font>
      <sz val="12"/>
      <color indexed="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FF"/>
      <name val="Calibri"/>
      <family val="2"/>
    </font>
    <font>
      <b/>
      <sz val="10"/>
      <color rgb="FF0000FF"/>
      <name val="Calibri"/>
      <family val="2"/>
    </font>
    <font>
      <sz val="9"/>
      <color rgb="FF0000FF"/>
      <name val="Calibri"/>
      <family val="2"/>
    </font>
    <font>
      <sz val="10"/>
      <color rgb="FF7030A0"/>
      <name val="Calibri"/>
      <family val="2"/>
    </font>
    <font>
      <sz val="10"/>
      <color rgb="FF993300"/>
      <name val="Calibri"/>
      <family val="2"/>
    </font>
    <font>
      <sz val="10"/>
      <color rgb="FF009900"/>
      <name val="Calibri"/>
      <family val="2"/>
    </font>
    <font>
      <sz val="10"/>
      <color rgb="FF00B050"/>
      <name val="Calibri"/>
      <family val="2"/>
    </font>
    <font>
      <sz val="10"/>
      <color rgb="FFFF0066"/>
      <name val="Calibri"/>
      <family val="2"/>
    </font>
    <font>
      <sz val="10"/>
      <color theme="5" tint="-0.4999699890613556"/>
      <name val="Calibri"/>
      <family val="2"/>
    </font>
    <font>
      <sz val="10"/>
      <color rgb="FF0070C0"/>
      <name val="Calibri"/>
      <family val="2"/>
    </font>
    <font>
      <sz val="11"/>
      <color rgb="FF009900"/>
      <name val="Calibri"/>
      <family val="2"/>
    </font>
    <font>
      <sz val="11"/>
      <color rgb="FF00B05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
      <patternFill patternType="solid">
        <fgColor indexed="9"/>
        <bgColor indexed="64"/>
      </patternFill>
    </fill>
    <fill>
      <patternFill patternType="solid">
        <fgColor rgb="FFFFCC66"/>
        <bgColor indexed="64"/>
      </patternFill>
    </fill>
    <fill>
      <patternFill patternType="solid">
        <fgColor theme="2"/>
        <bgColor indexed="64"/>
      </patternFill>
    </fill>
    <fill>
      <patternFill patternType="solid">
        <fgColor indexed="43"/>
        <bgColor indexed="64"/>
      </patternFill>
    </fill>
    <fill>
      <patternFill patternType="solid">
        <fgColor indexed="41"/>
        <bgColor indexed="64"/>
      </patternFill>
    </fill>
    <fill>
      <patternFill patternType="solid">
        <fgColor rgb="FFCCFF99"/>
        <bgColor indexed="64"/>
      </patternFill>
    </fill>
    <fill>
      <patternFill patternType="solid">
        <fgColor rgb="FFEAEAEA"/>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indexed="21"/>
      </left>
      <right style="thin">
        <color indexed="21"/>
      </right>
      <top style="thin">
        <color indexed="21"/>
      </top>
      <bottom style="thin">
        <color indexed="21"/>
      </bottom>
    </border>
    <border>
      <left style="thin">
        <color indexed="21"/>
      </left>
      <right style="thin">
        <color indexed="21"/>
      </right>
      <top style="thin">
        <color indexed="21"/>
      </top>
      <bottom>
        <color indexed="63"/>
      </bottom>
    </border>
    <border>
      <left>
        <color indexed="63"/>
      </left>
      <right style="thin">
        <color indexed="21"/>
      </right>
      <top style="thin">
        <color indexed="21"/>
      </top>
      <bottom style="thin">
        <color indexed="21"/>
      </bottom>
    </border>
    <border>
      <left>
        <color indexed="63"/>
      </left>
      <right>
        <color indexed="63"/>
      </right>
      <top style="thin"/>
      <bottom style="thin"/>
    </border>
    <border>
      <left style="medium"/>
      <right style="medium"/>
      <top style="medium"/>
      <bottom style="thin"/>
    </border>
    <border>
      <left style="medium"/>
      <right style="medium"/>
      <top style="thin"/>
      <bottom/>
    </border>
    <border>
      <left style="medium"/>
      <right style="medium"/>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color indexed="63"/>
      </top>
      <bottom style="thin">
        <color indexed="2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5" fillId="20" borderId="0" applyNumberFormat="0" applyBorder="0" applyAlignment="0" applyProtection="0"/>
    <xf numFmtId="0" fontId="96" fillId="21" borderId="1"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0" applyNumberFormat="0" applyFill="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10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104" fillId="21" borderId="6"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7" applyNumberFormat="0" applyFill="0" applyAlignment="0" applyProtection="0"/>
    <xf numFmtId="0" fontId="100" fillId="0" borderId="8" applyNumberFormat="0" applyFill="0" applyAlignment="0" applyProtection="0"/>
    <xf numFmtId="0" fontId="109" fillId="0" borderId="9" applyNumberFormat="0" applyFill="0" applyAlignment="0" applyProtection="0"/>
  </cellStyleXfs>
  <cellXfs count="298">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64" fillId="0" borderId="0" xfId="0" applyFont="1" applyAlignment="1">
      <alignment/>
    </xf>
    <xf numFmtId="0" fontId="4" fillId="0" borderId="0" xfId="0" applyFont="1" applyBorder="1" applyAlignment="1">
      <alignment horizontal="center"/>
    </xf>
    <xf numFmtId="0" fontId="65" fillId="0" borderId="0" xfId="0" applyFont="1" applyBorder="1" applyAlignment="1">
      <alignment horizontal="center"/>
    </xf>
    <xf numFmtId="0" fontId="66" fillId="0" borderId="0" xfId="0" applyFont="1" applyAlignment="1">
      <alignment/>
    </xf>
    <xf numFmtId="0" fontId="4"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33" borderId="10" xfId="0" applyFont="1" applyFill="1" applyBorder="1" applyAlignment="1">
      <alignment horizontal="center" vertical="center" wrapText="1"/>
    </xf>
    <xf numFmtId="1" fontId="4" fillId="34" borderId="10" xfId="49" applyNumberFormat="1" applyFont="1" applyFill="1" applyBorder="1" applyAlignment="1">
      <alignment horizontal="center"/>
    </xf>
    <xf numFmtId="10" fontId="4" fillId="0" borderId="10" xfId="55" applyNumberFormat="1" applyFont="1" applyBorder="1" applyAlignment="1">
      <alignment horizontal="center"/>
    </xf>
    <xf numFmtId="2" fontId="4" fillId="0" borderId="10" xfId="49" applyNumberFormat="1" applyFont="1" applyBorder="1" applyAlignment="1">
      <alignment horizontal="center"/>
    </xf>
    <xf numFmtId="1" fontId="4" fillId="0" borderId="10" xfId="0" applyNumberFormat="1" applyFont="1" applyBorder="1" applyAlignment="1">
      <alignment horizontal="center"/>
    </xf>
    <xf numFmtId="187" fontId="4" fillId="0" borderId="10" xfId="0" applyNumberFormat="1" applyFont="1" applyBorder="1" applyAlignment="1">
      <alignment horizontal="center"/>
    </xf>
    <xf numFmtId="2" fontId="4" fillId="0" borderId="10" xfId="0" applyNumberFormat="1" applyFont="1" applyBorder="1" applyAlignment="1">
      <alignment horizontal="center"/>
    </xf>
    <xf numFmtId="43" fontId="4" fillId="0" borderId="10" xfId="49" applyFont="1" applyFill="1" applyBorder="1" applyAlignment="1">
      <alignment horizontal="center"/>
    </xf>
    <xf numFmtId="2" fontId="4" fillId="0" borderId="10" xfId="55" applyNumberFormat="1" applyFont="1" applyBorder="1" applyAlignment="1">
      <alignment horizontal="center"/>
    </xf>
    <xf numFmtId="9" fontId="4" fillId="33" borderId="10" xfId="55" applyFont="1" applyFill="1" applyBorder="1" applyAlignment="1">
      <alignment horizontal="center"/>
    </xf>
    <xf numFmtId="174" fontId="4" fillId="0" borderId="0" xfId="0" applyNumberFormat="1" applyFont="1" applyBorder="1" applyAlignment="1">
      <alignment/>
    </xf>
    <xf numFmtId="1" fontId="4" fillId="0" borderId="0" xfId="0" applyNumberFormat="1" applyFont="1" applyAlignment="1">
      <alignment horizontal="center"/>
    </xf>
    <xf numFmtId="1" fontId="5" fillId="0" borderId="0" xfId="0" applyNumberFormat="1" applyFont="1" applyAlignment="1">
      <alignment horizontal="center"/>
    </xf>
    <xf numFmtId="43" fontId="4" fillId="0" borderId="0" xfId="49" applyFont="1" applyAlignment="1">
      <alignment/>
    </xf>
    <xf numFmtId="43" fontId="4" fillId="0" borderId="0" xfId="49" applyFont="1" applyBorder="1" applyAlignment="1">
      <alignment/>
    </xf>
    <xf numFmtId="1" fontId="4" fillId="0" borderId="0" xfId="0" applyNumberFormat="1" applyFont="1" applyBorder="1" applyAlignment="1">
      <alignment horizontal="center"/>
    </xf>
    <xf numFmtId="1" fontId="4" fillId="0" borderId="0" xfId="49" applyNumberFormat="1" applyFont="1" applyBorder="1" applyAlignment="1">
      <alignment horizontal="center"/>
    </xf>
    <xf numFmtId="0" fontId="4" fillId="0" borderId="10" xfId="0" applyFont="1" applyBorder="1" applyAlignment="1">
      <alignment horizontal="right"/>
    </xf>
    <xf numFmtId="169" fontId="4" fillId="0" borderId="0" xfId="0" applyNumberFormat="1" applyFont="1" applyAlignment="1">
      <alignment/>
    </xf>
    <xf numFmtId="169" fontId="5" fillId="0" borderId="0" xfId="0" applyNumberFormat="1" applyFont="1" applyAlignment="1">
      <alignment/>
    </xf>
    <xf numFmtId="0" fontId="67" fillId="0" borderId="0" xfId="0" applyFont="1" applyAlignment="1">
      <alignment/>
    </xf>
    <xf numFmtId="169" fontId="5" fillId="0" borderId="0" xfId="0" applyNumberFormat="1" applyFont="1" applyBorder="1" applyAlignment="1">
      <alignment/>
    </xf>
    <xf numFmtId="0" fontId="7" fillId="0" borderId="0" xfId="0" applyFont="1" applyAlignment="1">
      <alignment/>
    </xf>
    <xf numFmtId="2" fontId="4" fillId="0" borderId="0" xfId="49" applyNumberFormat="1" applyFont="1" applyAlignment="1">
      <alignment/>
    </xf>
    <xf numFmtId="10" fontId="4" fillId="0" borderId="0" xfId="49" applyNumberFormat="1" applyFont="1" applyBorder="1" applyAlignment="1">
      <alignment/>
    </xf>
    <xf numFmtId="0" fontId="4" fillId="0" borderId="0" xfId="0" applyFont="1" applyAlignment="1">
      <alignment/>
    </xf>
    <xf numFmtId="43" fontId="4" fillId="0" borderId="0" xfId="0" applyNumberFormat="1" applyFont="1" applyFill="1" applyBorder="1" applyAlignment="1">
      <alignment/>
    </xf>
    <xf numFmtId="10" fontId="4" fillId="0" borderId="10" xfId="55" applyNumberFormat="1" applyFont="1" applyFill="1" applyBorder="1" applyAlignment="1">
      <alignment horizontal="center"/>
    </xf>
    <xf numFmtId="0" fontId="4" fillId="33" borderId="10" xfId="0" applyFont="1" applyFill="1" applyBorder="1" applyAlignment="1">
      <alignment horizontal="center" vertical="center" wrapText="1"/>
    </xf>
    <xf numFmtId="1" fontId="4" fillId="33" borderId="10" xfId="49" applyNumberFormat="1" applyFont="1" applyFill="1" applyBorder="1" applyAlignment="1">
      <alignment horizontal="center"/>
    </xf>
    <xf numFmtId="1" fontId="4" fillId="33" borderId="10" xfId="0" applyNumberFormat="1" applyFont="1" applyFill="1" applyBorder="1" applyAlignment="1">
      <alignment horizontal="center"/>
    </xf>
    <xf numFmtId="170" fontId="4" fillId="0" borderId="10" xfId="55" applyNumberFormat="1" applyFont="1" applyFill="1" applyBorder="1" applyAlignment="1">
      <alignment horizontal="center"/>
    </xf>
    <xf numFmtId="170" fontId="4" fillId="33" borderId="10" xfId="55" applyNumberFormat="1" applyFont="1" applyFill="1" applyBorder="1" applyAlignment="1">
      <alignment horizontal="center"/>
    </xf>
    <xf numFmtId="0" fontId="110" fillId="0" borderId="0" xfId="0" applyFont="1" applyBorder="1" applyAlignment="1">
      <alignment/>
    </xf>
    <xf numFmtId="0" fontId="111" fillId="0" borderId="0" xfId="0" applyFont="1" applyAlignment="1">
      <alignment/>
    </xf>
    <xf numFmtId="0" fontId="112" fillId="0" borderId="0" xfId="0" applyFont="1" applyAlignment="1">
      <alignment/>
    </xf>
    <xf numFmtId="0" fontId="4" fillId="0" borderId="0" xfId="0" applyFont="1" applyBorder="1" applyAlignment="1">
      <alignment horizontal="left" vertical="center" wrapText="1"/>
    </xf>
    <xf numFmtId="0" fontId="4" fillId="0" borderId="0" xfId="0" applyFont="1" applyAlignment="1">
      <alignment horizontal="center"/>
    </xf>
    <xf numFmtId="0" fontId="4" fillId="0" borderId="0" xfId="0" applyFont="1" applyFill="1" applyAlignment="1">
      <alignment/>
    </xf>
    <xf numFmtId="169" fontId="4" fillId="0" borderId="0" xfId="49" applyNumberFormat="1" applyFont="1" applyAlignment="1">
      <alignment horizontal="center" vertical="center"/>
    </xf>
    <xf numFmtId="190" fontId="4" fillId="0" borderId="0" xfId="0" applyNumberFormat="1" applyFont="1" applyAlignment="1">
      <alignment horizontal="center"/>
    </xf>
    <xf numFmtId="169" fontId="4" fillId="0" borderId="0" xfId="0" applyNumberFormat="1" applyFont="1" applyAlignment="1">
      <alignment horizontal="center"/>
    </xf>
    <xf numFmtId="10" fontId="4" fillId="0" borderId="0" xfId="0" applyNumberFormat="1" applyFont="1" applyAlignment="1">
      <alignment horizontal="center"/>
    </xf>
    <xf numFmtId="0" fontId="4" fillId="0" borderId="10" xfId="0" applyFont="1" applyBorder="1" applyAlignment="1">
      <alignment horizontal="center" vertical="center"/>
    </xf>
    <xf numFmtId="170" fontId="4" fillId="0" borderId="10" xfId="55" applyNumberFormat="1" applyFont="1" applyBorder="1" applyAlignment="1">
      <alignment horizontal="center" vertical="center"/>
    </xf>
    <xf numFmtId="0" fontId="5" fillId="0" borderId="10" xfId="0" applyFont="1" applyBorder="1" applyAlignment="1">
      <alignment horizontal="center" vertical="center" wrapText="1"/>
    </xf>
    <xf numFmtId="0" fontId="70" fillId="0" borderId="0" xfId="0" applyFont="1" applyAlignment="1">
      <alignment/>
    </xf>
    <xf numFmtId="0" fontId="4" fillId="0" borderId="10" xfId="0" applyFont="1" applyBorder="1" applyAlignment="1">
      <alignment horizontal="right" vertical="center"/>
    </xf>
    <xf numFmtId="0" fontId="71" fillId="0" borderId="0" xfId="0" applyFont="1" applyAlignment="1">
      <alignment vertical="center"/>
    </xf>
    <xf numFmtId="1" fontId="4" fillId="5" borderId="10" xfId="49" applyNumberFormat="1" applyFont="1" applyFill="1" applyBorder="1" applyAlignment="1">
      <alignment horizontal="center"/>
    </xf>
    <xf numFmtId="1" fontId="5" fillId="0" borderId="10" xfId="49" applyNumberFormat="1" applyFont="1" applyFill="1" applyBorder="1" applyAlignment="1">
      <alignment horizontal="center"/>
    </xf>
    <xf numFmtId="0" fontId="4" fillId="35" borderId="13" xfId="0" applyFont="1" applyFill="1" applyBorder="1" applyAlignment="1">
      <alignment wrapText="1"/>
    </xf>
    <xf numFmtId="0" fontId="5" fillId="35" borderId="13" xfId="0" applyFont="1" applyFill="1" applyBorder="1" applyAlignment="1">
      <alignment wrapText="1"/>
    </xf>
    <xf numFmtId="0" fontId="5" fillId="35" borderId="13" xfId="0" applyFont="1" applyFill="1" applyBorder="1" applyAlignment="1">
      <alignment horizontal="center" wrapText="1"/>
    </xf>
    <xf numFmtId="0" fontId="5" fillId="35" borderId="14" xfId="0" applyFont="1" applyFill="1" applyBorder="1" applyAlignment="1">
      <alignment horizontal="center" wrapText="1"/>
    </xf>
    <xf numFmtId="0" fontId="4" fillId="5" borderId="13" xfId="0" applyFont="1" applyFill="1" applyBorder="1" applyAlignment="1">
      <alignment horizontal="center" wrapText="1"/>
    </xf>
    <xf numFmtId="1" fontId="4" fillId="34" borderId="13" xfId="0" applyNumberFormat="1" applyFont="1" applyFill="1" applyBorder="1" applyAlignment="1">
      <alignment horizontal="center" wrapText="1"/>
    </xf>
    <xf numFmtId="1" fontId="4" fillId="0" borderId="13" xfId="0" applyNumberFormat="1" applyFont="1" applyFill="1" applyBorder="1" applyAlignment="1">
      <alignment horizontal="center" wrapText="1"/>
    </xf>
    <xf numFmtId="190" fontId="4" fillId="33" borderId="10" xfId="49" applyNumberFormat="1" applyFont="1" applyFill="1" applyBorder="1" applyAlignment="1">
      <alignment horizontal="center"/>
    </xf>
    <xf numFmtId="1" fontId="4" fillId="35" borderId="15" xfId="0" applyNumberFormat="1" applyFont="1" applyFill="1" applyBorder="1" applyAlignment="1">
      <alignment horizontal="center" wrapText="1"/>
    </xf>
    <xf numFmtId="0" fontId="4" fillId="35" borderId="13" xfId="0" applyFont="1" applyFill="1" applyBorder="1" applyAlignment="1">
      <alignment horizontal="center" wrapText="1"/>
    </xf>
    <xf numFmtId="1" fontId="4" fillId="35" borderId="13" xfId="0" applyNumberFormat="1" applyFont="1" applyFill="1" applyBorder="1" applyAlignment="1">
      <alignment horizontal="center" wrapText="1"/>
    </xf>
    <xf numFmtId="1" fontId="5" fillId="35" borderId="13" xfId="0" applyNumberFormat="1" applyFont="1" applyFill="1" applyBorder="1" applyAlignment="1">
      <alignment horizontal="center" wrapText="1"/>
    </xf>
    <xf numFmtId="190" fontId="5" fillId="35" borderId="13" xfId="49" applyNumberFormat="1" applyFont="1" applyFill="1" applyBorder="1" applyAlignment="1">
      <alignment horizontal="center" wrapText="1"/>
    </xf>
    <xf numFmtId="1" fontId="5" fillId="35" borderId="15" xfId="0" applyNumberFormat="1" applyFont="1" applyFill="1" applyBorder="1" applyAlignment="1">
      <alignment horizontal="center" wrapText="1"/>
    </xf>
    <xf numFmtId="2" fontId="4" fillId="0" borderId="0" xfId="0" applyNumberFormat="1" applyFont="1" applyAlignment="1">
      <alignment/>
    </xf>
    <xf numFmtId="0" fontId="5" fillId="0" borderId="12" xfId="0" applyFont="1" applyBorder="1" applyAlignment="1">
      <alignment horizontal="right"/>
    </xf>
    <xf numFmtId="173" fontId="4" fillId="0" borderId="16" xfId="0" applyNumberFormat="1" applyFont="1" applyBorder="1" applyAlignment="1">
      <alignment/>
    </xf>
    <xf numFmtId="0" fontId="4" fillId="0" borderId="16" xfId="0" applyFont="1" applyBorder="1" applyAlignment="1">
      <alignment/>
    </xf>
    <xf numFmtId="174" fontId="4" fillId="0" borderId="16" xfId="0" applyNumberFormat="1" applyFont="1" applyBorder="1" applyAlignment="1">
      <alignment/>
    </xf>
    <xf numFmtId="174" fontId="4" fillId="0" borderId="11" xfId="49" applyNumberFormat="1" applyFont="1" applyFill="1" applyBorder="1" applyAlignment="1">
      <alignment horizontal="center"/>
    </xf>
    <xf numFmtId="0" fontId="4" fillId="0" borderId="10" xfId="0" applyFont="1" applyBorder="1" applyAlignment="1">
      <alignment horizontal="center"/>
    </xf>
    <xf numFmtId="0" fontId="4" fillId="0" borderId="11" xfId="0" applyFont="1" applyFill="1" applyBorder="1" applyAlignment="1">
      <alignment horizontal="right"/>
    </xf>
    <xf numFmtId="43" fontId="4" fillId="33" borderId="10" xfId="49" applyFont="1" applyFill="1" applyBorder="1" applyAlignment="1">
      <alignment horizontal="center"/>
    </xf>
    <xf numFmtId="173" fontId="4" fillId="0" borderId="0" xfId="49" applyNumberFormat="1" applyFont="1" applyAlignment="1">
      <alignment/>
    </xf>
    <xf numFmtId="0" fontId="4" fillId="0" borderId="0" xfId="0" applyFont="1" applyBorder="1" applyAlignment="1">
      <alignment/>
    </xf>
    <xf numFmtId="0" fontId="5" fillId="0" borderId="10" xfId="0" applyFont="1" applyBorder="1" applyAlignment="1">
      <alignment horizontal="right"/>
    </xf>
    <xf numFmtId="190" fontId="4" fillId="0" borderId="17" xfId="0" applyNumberFormat="1" applyFont="1" applyBorder="1" applyAlignment="1">
      <alignment horizontal="center" vertical="center" wrapText="1"/>
    </xf>
    <xf numFmtId="0" fontId="4" fillId="34" borderId="10" xfId="0" applyFont="1" applyFill="1" applyBorder="1" applyAlignment="1">
      <alignment horizontal="center" vertical="center"/>
    </xf>
    <xf numFmtId="169" fontId="72" fillId="0" borderId="18" xfId="0" applyNumberFormat="1" applyFont="1" applyBorder="1" applyAlignment="1">
      <alignment horizontal="center" vertical="center"/>
    </xf>
    <xf numFmtId="9" fontId="4" fillId="36" borderId="10" xfId="0" applyNumberFormat="1" applyFont="1" applyFill="1" applyBorder="1" applyAlignment="1">
      <alignment horizontal="center" vertical="center"/>
    </xf>
    <xf numFmtId="2" fontId="73" fillId="33" borderId="19" xfId="49" applyNumberFormat="1" applyFont="1" applyFill="1" applyBorder="1" applyAlignment="1">
      <alignment horizontal="center" vertical="center"/>
    </xf>
    <xf numFmtId="0" fontId="4" fillId="36" borderId="10" xfId="0" applyFont="1" applyFill="1" applyBorder="1" applyAlignment="1">
      <alignment horizontal="center" vertical="center"/>
    </xf>
    <xf numFmtId="0" fontId="4" fillId="0" borderId="0" xfId="0" applyFont="1" applyAlignment="1">
      <alignment horizontal="center" vertical="center"/>
    </xf>
    <xf numFmtId="1" fontId="4" fillId="0" borderId="10" xfId="49" applyNumberFormat="1" applyFont="1" applyBorder="1" applyAlignment="1">
      <alignment horizontal="center" vertical="center"/>
    </xf>
    <xf numFmtId="0" fontId="4" fillId="0" borderId="0" xfId="0" applyFont="1" applyBorder="1" applyAlignment="1">
      <alignment horizontal="center" vertical="center"/>
    </xf>
    <xf numFmtId="0" fontId="74" fillId="0" borderId="0" xfId="0" applyFont="1" applyAlignment="1">
      <alignment horizontal="right"/>
    </xf>
    <xf numFmtId="0" fontId="74" fillId="0" borderId="0" xfId="0" applyFont="1" applyAlignment="1">
      <alignment/>
    </xf>
    <xf numFmtId="186" fontId="74" fillId="0" borderId="0" xfId="0" applyNumberFormat="1" applyFont="1" applyAlignment="1">
      <alignment/>
    </xf>
    <xf numFmtId="0" fontId="4" fillId="0" borderId="20" xfId="0" applyFont="1" applyBorder="1" applyAlignment="1">
      <alignment/>
    </xf>
    <xf numFmtId="0" fontId="4" fillId="0" borderId="16" xfId="0" applyFont="1" applyBorder="1" applyAlignment="1">
      <alignment/>
    </xf>
    <xf numFmtId="0" fontId="4" fillId="0" borderId="11" xfId="0" applyFont="1" applyBorder="1" applyAlignment="1">
      <alignment/>
    </xf>
    <xf numFmtId="186" fontId="4" fillId="0" borderId="0" xfId="0" applyNumberFormat="1" applyFont="1" applyAlignment="1">
      <alignment/>
    </xf>
    <xf numFmtId="0" fontId="4" fillId="0" borderId="21" xfId="0" applyFont="1" applyBorder="1" applyAlignment="1">
      <alignment horizontal="center"/>
    </xf>
    <xf numFmtId="0" fontId="65" fillId="0" borderId="21" xfId="0" applyFont="1" applyBorder="1" applyAlignment="1">
      <alignment horizontal="center"/>
    </xf>
    <xf numFmtId="0" fontId="4" fillId="0" borderId="22" xfId="0" applyFont="1" applyBorder="1" applyAlignment="1">
      <alignment horizontal="center"/>
    </xf>
    <xf numFmtId="0" fontId="65" fillId="0" borderId="22" xfId="0" applyFont="1" applyBorder="1" applyAlignment="1">
      <alignment horizontal="center"/>
    </xf>
    <xf numFmtId="0" fontId="66" fillId="0" borderId="10" xfId="0" applyFont="1" applyBorder="1" applyAlignment="1">
      <alignment horizontal="center"/>
    </xf>
    <xf numFmtId="0" fontId="4" fillId="0" borderId="12" xfId="0" applyFont="1" applyBorder="1" applyAlignment="1">
      <alignment horizontal="center"/>
    </xf>
    <xf numFmtId="0" fontId="65" fillId="0" borderId="11" xfId="0" applyFont="1" applyBorder="1" applyAlignment="1">
      <alignment horizontal="center"/>
    </xf>
    <xf numFmtId="0" fontId="75" fillId="0" borderId="10" xfId="0" applyFont="1" applyBorder="1" applyAlignment="1">
      <alignment horizontal="center"/>
    </xf>
    <xf numFmtId="0" fontId="4" fillId="0" borderId="23" xfId="0" applyFont="1" applyBorder="1" applyAlignment="1">
      <alignment/>
    </xf>
    <xf numFmtId="0" fontId="65" fillId="0" borderId="23" xfId="0" applyFont="1" applyBorder="1" applyAlignment="1">
      <alignment horizontal="center"/>
    </xf>
    <xf numFmtId="1" fontId="4" fillId="0" borderId="10" xfId="49" applyNumberFormat="1" applyFont="1" applyBorder="1" applyAlignment="1">
      <alignment horizontal="center"/>
    </xf>
    <xf numFmtId="169" fontId="66" fillId="0" borderId="10" xfId="49" applyNumberFormat="1" applyFont="1" applyBorder="1" applyAlignment="1">
      <alignment/>
    </xf>
    <xf numFmtId="169" fontId="4" fillId="0" borderId="10" xfId="49" applyNumberFormat="1" applyFont="1" applyBorder="1" applyAlignment="1">
      <alignment/>
    </xf>
    <xf numFmtId="169" fontId="4" fillId="0" borderId="10" xfId="0" applyNumberFormat="1" applyFont="1" applyBorder="1" applyAlignment="1">
      <alignment/>
    </xf>
    <xf numFmtId="10" fontId="65" fillId="0" borderId="10" xfId="55" applyNumberFormat="1" applyFont="1" applyBorder="1" applyAlignment="1">
      <alignment/>
    </xf>
    <xf numFmtId="174" fontId="76" fillId="0" borderId="10" xfId="49" applyNumberFormat="1" applyFont="1" applyBorder="1" applyAlignment="1">
      <alignment/>
    </xf>
    <xf numFmtId="10" fontId="4" fillId="0" borderId="24" xfId="55" applyNumberFormat="1" applyFont="1" applyBorder="1" applyAlignment="1">
      <alignment/>
    </xf>
    <xf numFmtId="170" fontId="4" fillId="0" borderId="24" xfId="55" applyNumberFormat="1" applyFont="1" applyBorder="1" applyAlignment="1">
      <alignment/>
    </xf>
    <xf numFmtId="10" fontId="65" fillId="0" borderId="24" xfId="55" applyNumberFormat="1" applyFont="1" applyBorder="1" applyAlignment="1">
      <alignment/>
    </xf>
    <xf numFmtId="174" fontId="4" fillId="0" borderId="10" xfId="0" applyNumberFormat="1" applyFont="1" applyBorder="1" applyAlignment="1">
      <alignment/>
    </xf>
    <xf numFmtId="176" fontId="4" fillId="0" borderId="10" xfId="0" applyNumberFormat="1" applyFont="1" applyBorder="1" applyAlignment="1">
      <alignment/>
    </xf>
    <xf numFmtId="174" fontId="76" fillId="0" borderId="10" xfId="0" applyNumberFormat="1" applyFont="1" applyBorder="1" applyAlignment="1">
      <alignment/>
    </xf>
    <xf numFmtId="170" fontId="4" fillId="0" borderId="0" xfId="0" applyNumberFormat="1" applyFont="1" applyAlignment="1">
      <alignment/>
    </xf>
    <xf numFmtId="170" fontId="4" fillId="0" borderId="0" xfId="55" applyNumberFormat="1" applyFont="1" applyAlignment="1">
      <alignment/>
    </xf>
    <xf numFmtId="170" fontId="65" fillId="0" borderId="24" xfId="55" applyNumberFormat="1" applyFont="1" applyBorder="1" applyAlignment="1">
      <alignment/>
    </xf>
    <xf numFmtId="43" fontId="4" fillId="0" borderId="0" xfId="0" applyNumberFormat="1" applyFont="1" applyAlignment="1">
      <alignment/>
    </xf>
    <xf numFmtId="0" fontId="14" fillId="0" borderId="0" xfId="0" applyFont="1" applyAlignment="1">
      <alignment/>
    </xf>
    <xf numFmtId="0" fontId="16" fillId="0" borderId="0" xfId="0" applyFont="1" applyAlignment="1">
      <alignment/>
    </xf>
    <xf numFmtId="0" fontId="4" fillId="0" borderId="0" xfId="0" applyFont="1" applyAlignment="1">
      <alignment/>
    </xf>
    <xf numFmtId="0" fontId="5" fillId="0" borderId="0" xfId="0" applyFont="1" applyAlignment="1">
      <alignment/>
    </xf>
    <xf numFmtId="0" fontId="14" fillId="0" borderId="10" xfId="0" applyFont="1" applyFill="1" applyBorder="1" applyAlignment="1">
      <alignment horizontal="center" vertical="center" wrapText="1"/>
    </xf>
    <xf numFmtId="12" fontId="4" fillId="0" borderId="0" xfId="49" applyNumberFormat="1" applyFont="1" applyAlignment="1">
      <alignment/>
    </xf>
    <xf numFmtId="0" fontId="77" fillId="0" borderId="0" xfId="0" applyFont="1" applyAlignment="1">
      <alignment/>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4" fillId="0" borderId="0" xfId="0" applyFont="1" applyAlignment="1">
      <alignment horizontal="left"/>
    </xf>
    <xf numFmtId="0" fontId="16" fillId="0" borderId="0" xfId="0" applyFont="1" applyAlignment="1">
      <alignment/>
    </xf>
    <xf numFmtId="0" fontId="78" fillId="0" borderId="0" xfId="0" applyFont="1" applyAlignment="1">
      <alignment/>
    </xf>
    <xf numFmtId="0" fontId="14" fillId="0" borderId="0" xfId="0" applyFont="1" applyAlignment="1">
      <alignment/>
    </xf>
    <xf numFmtId="0" fontId="79" fillId="0" borderId="0" xfId="0" applyFont="1" applyAlignment="1">
      <alignment/>
    </xf>
    <xf numFmtId="0" fontId="80" fillId="0" borderId="0" xfId="0" applyFont="1" applyAlignment="1">
      <alignment/>
    </xf>
    <xf numFmtId="0" fontId="4" fillId="37" borderId="25" xfId="0" applyFont="1" applyFill="1" applyBorder="1" applyAlignment="1">
      <alignment horizontal="center"/>
    </xf>
    <xf numFmtId="0" fontId="4" fillId="37" borderId="26" xfId="0" applyFont="1" applyFill="1" applyBorder="1" applyAlignment="1">
      <alignment horizontal="center"/>
    </xf>
    <xf numFmtId="0" fontId="4" fillId="37" borderId="24" xfId="0" applyFont="1" applyFill="1" applyBorder="1" applyAlignment="1">
      <alignment horizontal="center"/>
    </xf>
    <xf numFmtId="0" fontId="4" fillId="0" borderId="12" xfId="0" applyFont="1" applyBorder="1" applyAlignment="1">
      <alignment/>
    </xf>
    <xf numFmtId="9" fontId="4" fillId="0" borderId="0" xfId="55" applyFont="1" applyAlignment="1">
      <alignment/>
    </xf>
    <xf numFmtId="0" fontId="5" fillId="0" borderId="0" xfId="0" applyFont="1" applyAlignment="1">
      <alignment wrapText="1"/>
    </xf>
    <xf numFmtId="0" fontId="4" fillId="0" borderId="0" xfId="0" applyFont="1" applyAlignment="1">
      <alignment wrapText="1"/>
    </xf>
    <xf numFmtId="0" fontId="5" fillId="0" borderId="0" xfId="0" applyFont="1" applyAlignment="1">
      <alignment horizontal="left" wrapText="1"/>
    </xf>
    <xf numFmtId="0" fontId="16" fillId="0" borderId="10" xfId="0" applyFont="1" applyFill="1" applyBorder="1" applyAlignment="1">
      <alignment horizontal="center" vertical="center" wrapText="1"/>
    </xf>
    <xf numFmtId="0" fontId="14" fillId="0" borderId="0" xfId="0" applyFont="1" applyAlignment="1">
      <alignment horizontal="left" wrapText="1"/>
    </xf>
    <xf numFmtId="0" fontId="4" fillId="0" borderId="27" xfId="0" applyFont="1" applyFill="1" applyBorder="1" applyAlignment="1">
      <alignment horizontal="center" vertical="top" wrapText="1"/>
    </xf>
    <xf numFmtId="0" fontId="4" fillId="38" borderId="28"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38" borderId="30" xfId="0" applyFont="1" applyFill="1" applyBorder="1" applyAlignment="1">
      <alignment horizontal="center" vertical="top" wrapText="1"/>
    </xf>
    <xf numFmtId="0" fontId="4" fillId="0" borderId="31" xfId="0" applyFont="1" applyBorder="1" applyAlignment="1">
      <alignment horizontal="center"/>
    </xf>
    <xf numFmtId="0" fontId="4" fillId="0" borderId="12" xfId="0" applyFont="1" applyFill="1" applyBorder="1" applyAlignment="1">
      <alignment vertical="top" wrapText="1"/>
    </xf>
    <xf numFmtId="0" fontId="4" fillId="0" borderId="12" xfId="0" applyFont="1" applyFill="1" applyBorder="1" applyAlignment="1">
      <alignment vertical="top" wrapText="1"/>
    </xf>
    <xf numFmtId="0" fontId="4" fillId="38" borderId="32" xfId="0" applyFont="1" applyFill="1" applyBorder="1" applyAlignment="1">
      <alignment horizontal="center" vertical="top" wrapText="1"/>
    </xf>
    <xf numFmtId="0" fontId="4" fillId="38" borderId="33" xfId="0" applyFont="1" applyFill="1" applyBorder="1" applyAlignment="1">
      <alignment horizontal="center" vertical="top" wrapText="1"/>
    </xf>
    <xf numFmtId="0" fontId="4" fillId="38" borderId="34"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38" borderId="36"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38" borderId="30" xfId="0" applyFont="1" applyFill="1" applyBorder="1" applyAlignment="1">
      <alignment horizontal="center" vertical="top" wrapText="1"/>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Border="1" applyAlignment="1">
      <alignment horizontal="left" vertical="center"/>
    </xf>
    <xf numFmtId="0" fontId="5" fillId="0" borderId="10" xfId="0" applyFont="1" applyBorder="1" applyAlignment="1">
      <alignment horizontal="left" vertical="center"/>
    </xf>
    <xf numFmtId="0" fontId="4" fillId="0" borderId="10" xfId="0" applyFont="1" applyBorder="1" applyAlignment="1">
      <alignment horizontal="left" vertical="center"/>
    </xf>
    <xf numFmtId="10" fontId="4" fillId="0" borderId="10" xfId="0" applyNumberFormat="1" applyFont="1" applyBorder="1" applyAlignment="1">
      <alignment horizontal="center" vertical="center"/>
    </xf>
    <xf numFmtId="0" fontId="113" fillId="0" borderId="10" xfId="0" applyFont="1" applyBorder="1" applyAlignment="1">
      <alignment horizontal="center" vertical="center"/>
    </xf>
    <xf numFmtId="0" fontId="4" fillId="0" borderId="0" xfId="0" applyFont="1" applyAlignment="1">
      <alignment horizontal="left" vertical="center"/>
    </xf>
    <xf numFmtId="0" fontId="82" fillId="0" borderId="10" xfId="0" applyFont="1" applyFill="1" applyBorder="1" applyAlignment="1">
      <alignment horizontal="center" vertical="center" wrapText="1"/>
    </xf>
    <xf numFmtId="0" fontId="82" fillId="0" borderId="11" xfId="0" applyFont="1" applyFill="1" applyBorder="1" applyAlignment="1">
      <alignment horizontal="center" vertical="center" wrapText="1"/>
    </xf>
    <xf numFmtId="173" fontId="4" fillId="33" borderId="10" xfId="49" applyNumberFormat="1" applyFont="1" applyFill="1" applyBorder="1" applyAlignment="1">
      <alignment horizontal="center"/>
    </xf>
    <xf numFmtId="0" fontId="7" fillId="0" borderId="10" xfId="0" applyFont="1" applyFill="1" applyBorder="1" applyAlignment="1">
      <alignment horizontal="center" wrapText="1"/>
    </xf>
    <xf numFmtId="2" fontId="4" fillId="0" borderId="10" xfId="49" applyNumberFormat="1" applyFont="1" applyFill="1" applyBorder="1" applyAlignment="1">
      <alignment horizontal="center"/>
    </xf>
    <xf numFmtId="0" fontId="82" fillId="0" borderId="0" xfId="0" applyFont="1" applyBorder="1" applyAlignment="1">
      <alignment horizontal="center" vertical="center"/>
    </xf>
    <xf numFmtId="10" fontId="110" fillId="0" borderId="10" xfId="55" applyNumberFormat="1" applyFont="1" applyFill="1" applyBorder="1" applyAlignment="1">
      <alignment horizontal="center"/>
    </xf>
    <xf numFmtId="10" fontId="114" fillId="0" borderId="10" xfId="55" applyNumberFormat="1" applyFont="1" applyFill="1" applyBorder="1" applyAlignment="1">
      <alignment horizontal="center"/>
    </xf>
    <xf numFmtId="3" fontId="4" fillId="0" borderId="10" xfId="49" applyNumberFormat="1" applyFont="1" applyFill="1" applyBorder="1" applyAlignment="1">
      <alignment horizontal="center"/>
    </xf>
    <xf numFmtId="170" fontId="4" fillId="0" borderId="12" xfId="55" applyNumberFormat="1" applyFont="1" applyBorder="1" applyAlignment="1">
      <alignment horizontal="center"/>
    </xf>
    <xf numFmtId="2" fontId="4" fillId="0" borderId="10" xfId="49" applyNumberFormat="1" applyFont="1" applyBorder="1" applyAlignment="1">
      <alignment horizontal="center" vertical="center"/>
    </xf>
    <xf numFmtId="0" fontId="82" fillId="0" borderId="10" xfId="0" applyFont="1" applyBorder="1" applyAlignment="1">
      <alignment horizontal="center" vertical="center"/>
    </xf>
    <xf numFmtId="0" fontId="84" fillId="39" borderId="10" xfId="0" applyFont="1" applyFill="1" applyBorder="1" applyAlignment="1">
      <alignment horizontal="center" vertical="center" wrapText="1"/>
    </xf>
    <xf numFmtId="10" fontId="82" fillId="0" borderId="10" xfId="0" applyNumberFormat="1" applyFont="1" applyBorder="1" applyAlignment="1">
      <alignment horizontal="center" vertical="center"/>
    </xf>
    <xf numFmtId="0" fontId="84" fillId="40" borderId="10" xfId="0" applyFont="1" applyFill="1" applyBorder="1" applyAlignment="1">
      <alignment horizontal="center" vertical="center" wrapText="1"/>
    </xf>
    <xf numFmtId="49" fontId="84" fillId="41" borderId="10" xfId="0" applyNumberFormat="1" applyFont="1" applyFill="1" applyBorder="1" applyAlignment="1">
      <alignment horizontal="center" vertical="center" wrapText="1"/>
    </xf>
    <xf numFmtId="0" fontId="115" fillId="0" borderId="0" xfId="0" applyFont="1" applyAlignment="1">
      <alignment/>
    </xf>
    <xf numFmtId="0" fontId="5" fillId="0" borderId="3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9" xfId="0" applyFont="1" applyBorder="1" applyAlignment="1">
      <alignment horizontal="center" vertical="center" wrapText="1"/>
    </xf>
    <xf numFmtId="0" fontId="4" fillId="0" borderId="41" xfId="0" applyFont="1" applyBorder="1" applyAlignment="1">
      <alignment horizontal="center"/>
    </xf>
    <xf numFmtId="0" fontId="4" fillId="33" borderId="42" xfId="0" applyFont="1" applyFill="1" applyBorder="1" applyAlignment="1">
      <alignment/>
    </xf>
    <xf numFmtId="0" fontId="4" fillId="33" borderId="43" xfId="0" applyFont="1" applyFill="1" applyBorder="1" applyAlignment="1">
      <alignment/>
    </xf>
    <xf numFmtId="0" fontId="4" fillId="33" borderId="44" xfId="0" applyFont="1" applyFill="1" applyBorder="1" applyAlignment="1">
      <alignment/>
    </xf>
    <xf numFmtId="0" fontId="4" fillId="0" borderId="45" xfId="0" applyFont="1" applyBorder="1" applyAlignment="1">
      <alignment horizontal="center"/>
    </xf>
    <xf numFmtId="0" fontId="4" fillId="33" borderId="46" xfId="0" applyFont="1" applyFill="1" applyBorder="1" applyAlignment="1">
      <alignment/>
    </xf>
    <xf numFmtId="0" fontId="4" fillId="33" borderId="0" xfId="0" applyFont="1" applyFill="1" applyBorder="1" applyAlignment="1">
      <alignment/>
    </xf>
    <xf numFmtId="0" fontId="4" fillId="33" borderId="47" xfId="0" applyFont="1" applyFill="1" applyBorder="1" applyAlignment="1">
      <alignment/>
    </xf>
    <xf numFmtId="0" fontId="4" fillId="0" borderId="48" xfId="0" applyFont="1" applyBorder="1" applyAlignment="1">
      <alignment horizontal="center"/>
    </xf>
    <xf numFmtId="0" fontId="4" fillId="33" borderId="49" xfId="0" applyFont="1" applyFill="1" applyBorder="1" applyAlignment="1">
      <alignment/>
    </xf>
    <xf numFmtId="0" fontId="4" fillId="33" borderId="50" xfId="0" applyFont="1" applyFill="1" applyBorder="1" applyAlignment="1">
      <alignment/>
    </xf>
    <xf numFmtId="0" fontId="4" fillId="33" borderId="51" xfId="0" applyFont="1" applyFill="1" applyBorder="1" applyAlignment="1">
      <alignment/>
    </xf>
    <xf numFmtId="0" fontId="4" fillId="0" borderId="42" xfId="0" applyFont="1" applyBorder="1" applyAlignment="1">
      <alignment/>
    </xf>
    <xf numFmtId="0" fontId="4" fillId="0" borderId="43" xfId="0" applyFont="1" applyBorder="1" applyAlignment="1">
      <alignment/>
    </xf>
    <xf numFmtId="0" fontId="4" fillId="0" borderId="46" xfId="0" applyFont="1" applyBorder="1" applyAlignment="1">
      <alignment/>
    </xf>
    <xf numFmtId="0" fontId="4" fillId="0" borderId="49" xfId="0" applyFont="1" applyBorder="1" applyAlignment="1">
      <alignment/>
    </xf>
    <xf numFmtId="0" fontId="4" fillId="0" borderId="50" xfId="0" applyFont="1" applyBorder="1" applyAlignment="1">
      <alignment/>
    </xf>
    <xf numFmtId="0" fontId="4" fillId="0" borderId="44" xfId="0" applyFont="1" applyBorder="1" applyAlignment="1">
      <alignment/>
    </xf>
    <xf numFmtId="0" fontId="4" fillId="0" borderId="47" xfId="0" applyFont="1" applyBorder="1" applyAlignment="1">
      <alignment/>
    </xf>
    <xf numFmtId="0" fontId="4" fillId="0" borderId="51" xfId="0" applyFont="1" applyBorder="1" applyAlignment="1">
      <alignment/>
    </xf>
    <xf numFmtId="0" fontId="4" fillId="33" borderId="52" xfId="0" applyFont="1" applyFill="1" applyBorder="1" applyAlignment="1">
      <alignment/>
    </xf>
    <xf numFmtId="0" fontId="4" fillId="33" borderId="53" xfId="0" applyFont="1" applyFill="1" applyBorder="1" applyAlignment="1">
      <alignment/>
    </xf>
    <xf numFmtId="0" fontId="4" fillId="33" borderId="19" xfId="0" applyFont="1" applyFill="1" applyBorder="1" applyAlignment="1">
      <alignment/>
    </xf>
    <xf numFmtId="0" fontId="4" fillId="0" borderId="52" xfId="0" applyFont="1" applyBorder="1" applyAlignment="1">
      <alignment/>
    </xf>
    <xf numFmtId="0" fontId="4" fillId="0" borderId="53" xfId="0" applyFont="1" applyBorder="1" applyAlignment="1">
      <alignment/>
    </xf>
    <xf numFmtId="9" fontId="4" fillId="0" borderId="54" xfId="55" applyFont="1" applyBorder="1" applyAlignment="1">
      <alignment horizontal="center"/>
    </xf>
    <xf numFmtId="9" fontId="4" fillId="0" borderId="55" xfId="55" applyFont="1" applyBorder="1" applyAlignment="1">
      <alignment horizontal="center"/>
    </xf>
    <xf numFmtId="9" fontId="4" fillId="0" borderId="56" xfId="55" applyFont="1" applyBorder="1" applyAlignment="1">
      <alignment horizontal="center"/>
    </xf>
    <xf numFmtId="9" fontId="116" fillId="0" borderId="32" xfId="55" applyFont="1" applyBorder="1" applyAlignment="1">
      <alignment horizontal="center"/>
    </xf>
    <xf numFmtId="9" fontId="117" fillId="0" borderId="33" xfId="55" applyFont="1" applyBorder="1" applyAlignment="1">
      <alignment horizontal="center"/>
    </xf>
    <xf numFmtId="9" fontId="118" fillId="0" borderId="33" xfId="55" applyFont="1" applyBorder="1" applyAlignment="1">
      <alignment horizontal="center"/>
    </xf>
    <xf numFmtId="9" fontId="119" fillId="0" borderId="33" xfId="55" applyFont="1" applyBorder="1" applyAlignment="1">
      <alignment horizontal="center"/>
    </xf>
    <xf numFmtId="9" fontId="113" fillId="0" borderId="34" xfId="55" applyFont="1" applyBorder="1" applyAlignment="1">
      <alignment horizontal="center"/>
    </xf>
    <xf numFmtId="0" fontId="110" fillId="0" borderId="0" xfId="0" applyFont="1" applyAlignment="1">
      <alignment/>
    </xf>
    <xf numFmtId="2" fontId="4" fillId="0" borderId="25" xfId="49" applyNumberFormat="1" applyFont="1" applyFill="1" applyBorder="1" applyAlignment="1">
      <alignment horizontal="center"/>
    </xf>
    <xf numFmtId="0" fontId="5" fillId="0" borderId="31" xfId="0" applyFont="1" applyBorder="1" applyAlignment="1">
      <alignment horizontal="center" vertical="center"/>
    </xf>
    <xf numFmtId="0" fontId="4" fillId="0" borderId="0" xfId="0" applyFont="1" applyFill="1" applyAlignment="1">
      <alignment horizontal="left" vertical="center"/>
    </xf>
    <xf numFmtId="170" fontId="4" fillId="0" borderId="10" xfId="55" applyNumberFormat="1" applyFont="1" applyBorder="1" applyAlignment="1">
      <alignment horizontal="center"/>
    </xf>
    <xf numFmtId="0" fontId="4" fillId="0" borderId="0" xfId="0" applyFont="1" applyFill="1" applyAlignment="1">
      <alignment vertical="center"/>
    </xf>
    <xf numFmtId="168" fontId="4" fillId="0" borderId="0" xfId="49" applyNumberFormat="1" applyFont="1" applyAlignment="1">
      <alignment/>
    </xf>
    <xf numFmtId="2" fontId="5" fillId="0" borderId="31" xfId="0" applyNumberFormat="1" applyFont="1" applyBorder="1" applyAlignment="1">
      <alignment horizontal="center" vertical="center"/>
    </xf>
    <xf numFmtId="0" fontId="4" fillId="0" borderId="0" xfId="0" applyFont="1" applyAlignment="1">
      <alignment horizontal="center"/>
    </xf>
    <xf numFmtId="0" fontId="4" fillId="0" borderId="0" xfId="0" applyFont="1" applyFill="1" applyAlignment="1">
      <alignment horizontal="right" vertical="center"/>
    </xf>
    <xf numFmtId="0" fontId="5" fillId="0" borderId="38" xfId="0" applyFont="1" applyBorder="1" applyAlignment="1">
      <alignment horizontal="center" vertical="center"/>
    </xf>
    <xf numFmtId="2" fontId="4" fillId="0" borderId="24" xfId="49" applyNumberFormat="1" applyFont="1" applyFill="1" applyBorder="1" applyAlignment="1">
      <alignment horizontal="center"/>
    </xf>
    <xf numFmtId="0" fontId="11" fillId="0" borderId="31" xfId="0" applyFont="1" applyFill="1" applyBorder="1" applyAlignment="1">
      <alignment horizontal="center" vertical="center" wrapText="1"/>
    </xf>
    <xf numFmtId="0" fontId="13" fillId="0" borderId="0" xfId="0" applyFont="1" applyAlignment="1">
      <alignment/>
    </xf>
    <xf numFmtId="0" fontId="120" fillId="0" borderId="0" xfId="0" applyFont="1" applyAlignment="1">
      <alignment/>
    </xf>
    <xf numFmtId="0" fontId="121" fillId="0" borderId="0" xfId="0" applyFont="1" applyAlignment="1">
      <alignment/>
    </xf>
    <xf numFmtId="0" fontId="24" fillId="0" borderId="0" xfId="0" applyFont="1" applyAlignment="1">
      <alignment/>
    </xf>
    <xf numFmtId="0" fontId="24" fillId="0" borderId="0" xfId="0" applyFont="1" applyAlignment="1">
      <alignment vertical="center"/>
    </xf>
    <xf numFmtId="0" fontId="24" fillId="0" borderId="42"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44" xfId="0" applyFont="1" applyBorder="1" applyAlignment="1">
      <alignment horizontal="center" vertical="center" wrapText="1"/>
    </xf>
    <xf numFmtId="0" fontId="4" fillId="0" borderId="10" xfId="0" applyFont="1" applyBorder="1" applyAlignment="1">
      <alignment horizontal="center" wrapText="1"/>
    </xf>
    <xf numFmtId="0" fontId="4" fillId="37" borderId="26" xfId="0" applyFont="1" applyFill="1" applyBorder="1" applyAlignment="1">
      <alignment horizontal="center" vertical="center"/>
    </xf>
    <xf numFmtId="0" fontId="4" fillId="37" borderId="25" xfId="0" applyFont="1" applyFill="1" applyBorder="1" applyAlignment="1">
      <alignment horizontal="center" vertical="center" wrapText="1"/>
    </xf>
    <xf numFmtId="0" fontId="4" fillId="37" borderId="24" xfId="0" applyFont="1" applyFill="1" applyBorder="1" applyAlignment="1">
      <alignment horizontal="center" vertical="center"/>
    </xf>
    <xf numFmtId="0" fontId="4" fillId="0" borderId="10" xfId="0" applyFont="1" applyBorder="1" applyAlignment="1">
      <alignment/>
    </xf>
    <xf numFmtId="2" fontId="4" fillId="0" borderId="10" xfId="0" applyNumberFormat="1" applyFont="1" applyBorder="1" applyAlignment="1">
      <alignment horizontal="center" vertical="center"/>
    </xf>
    <xf numFmtId="190" fontId="4" fillId="33" borderId="10" xfId="0" applyNumberFormat="1" applyFont="1" applyFill="1" applyBorder="1" applyAlignment="1">
      <alignment horizontal="center"/>
    </xf>
    <xf numFmtId="9" fontId="4" fillId="0" borderId="10" xfId="55" applyFont="1" applyFill="1" applyBorder="1" applyAlignment="1">
      <alignment horizontal="center"/>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xf>
    <xf numFmtId="170" fontId="7" fillId="0" borderId="11" xfId="0" applyNumberFormat="1" applyFont="1" applyFill="1" applyBorder="1" applyAlignment="1">
      <alignment horizontal="center" vertical="center" wrapText="1"/>
    </xf>
    <xf numFmtId="187" fontId="4" fillId="0" borderId="10"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10" xfId="55" applyNumberFormat="1" applyFont="1" applyFill="1" applyBorder="1" applyAlignment="1">
      <alignment horizontal="center"/>
    </xf>
    <xf numFmtId="0" fontId="4" fillId="0" borderId="10" xfId="0" applyFont="1" applyBorder="1" applyAlignment="1">
      <alignment horizontal="left" vertical="center" wrapText="1"/>
    </xf>
    <xf numFmtId="0" fontId="13" fillId="0" borderId="57" xfId="0" applyFont="1" applyFill="1" applyBorder="1" applyAlignment="1">
      <alignment wrapText="1"/>
    </xf>
    <xf numFmtId="0" fontId="13" fillId="0" borderId="58" xfId="0" applyFont="1" applyFill="1" applyBorder="1" applyAlignment="1">
      <alignment wrapText="1"/>
    </xf>
    <xf numFmtId="0" fontId="13" fillId="0" borderId="15" xfId="0" applyFont="1" applyFill="1" applyBorder="1" applyAlignment="1">
      <alignment wrapText="1"/>
    </xf>
    <xf numFmtId="0" fontId="5" fillId="35" borderId="14" xfId="0" applyFont="1" applyFill="1" applyBorder="1" applyAlignment="1">
      <alignment horizontal="center" vertical="center" wrapText="1"/>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57" xfId="0" applyFont="1" applyFill="1" applyBorder="1" applyAlignment="1">
      <alignment horizontal="center" wrapText="1"/>
    </xf>
    <xf numFmtId="0" fontId="5" fillId="35" borderId="58" xfId="0" applyFont="1" applyFill="1" applyBorder="1" applyAlignment="1">
      <alignment horizontal="center" wrapText="1"/>
    </xf>
    <xf numFmtId="0" fontId="5" fillId="35" borderId="15" xfId="0" applyFont="1" applyFill="1" applyBorder="1" applyAlignment="1">
      <alignment horizontal="center" wrapText="1"/>
    </xf>
    <xf numFmtId="0" fontId="11" fillId="35" borderId="57" xfId="0" applyFont="1" applyFill="1" applyBorder="1" applyAlignment="1">
      <alignment horizontal="center" wrapText="1"/>
    </xf>
    <xf numFmtId="0" fontId="11" fillId="35" borderId="58" xfId="0" applyFont="1" applyFill="1" applyBorder="1" applyAlignment="1">
      <alignment horizontal="center" wrapText="1"/>
    </xf>
    <xf numFmtId="0" fontId="11" fillId="35" borderId="15" xfId="0" applyFont="1" applyFill="1" applyBorder="1" applyAlignment="1">
      <alignment horizont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5" xfId="0" applyFont="1" applyBorder="1" applyAlignment="1">
      <alignment horizontal="center" wrapText="1"/>
    </xf>
    <xf numFmtId="0" fontId="4" fillId="0" borderId="24" xfId="0" applyFont="1" applyBorder="1" applyAlignment="1">
      <alignment horizontal="center" wrapText="1"/>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14" fillId="0" borderId="0" xfId="0" applyFont="1" applyAlignment="1">
      <alignment horizontal="left" wrapText="1"/>
    </xf>
    <xf numFmtId="0" fontId="4" fillId="0" borderId="0" xfId="0" applyFont="1" applyAlignment="1">
      <alignment horizontal="left" wrapText="1"/>
    </xf>
    <xf numFmtId="0" fontId="14" fillId="0" borderId="0" xfId="0" applyFont="1" applyAlignment="1">
      <alignment horizontal="left" vertical="center" wrapText="1"/>
    </xf>
    <xf numFmtId="0" fontId="4" fillId="0" borderId="0" xfId="0" applyFont="1" applyAlignment="1">
      <alignment horizontal="left" vertical="center" wrapText="1"/>
    </xf>
    <xf numFmtId="2" fontId="4" fillId="0" borderId="10" xfId="0" applyNumberFormat="1" applyFont="1" applyBorder="1" applyAlignment="1">
      <alignment/>
    </xf>
    <xf numFmtId="0" fontId="4" fillId="0" borderId="10" xfId="0" applyFont="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993300"/>
                </a:solidFill>
              </a:rPr>
              <a:t>Gráfico...: </a:t>
            </a:r>
            <a:r>
              <a:rPr lang="en-US" cap="none" sz="1100" b="0" i="0" u="none" baseline="0">
                <a:solidFill>
                  <a:srgbClr val="000000"/>
                </a:solidFill>
              </a:rPr>
              <a:t>Funciones de supervivencia</a:t>
            </a:r>
          </a:p>
        </c:rich>
      </c:tx>
      <c:layout>
        <c:manualLayout>
          <c:xMode val="factor"/>
          <c:yMode val="factor"/>
          <c:x val="-0.002"/>
          <c:y val="-0.0105"/>
        </c:manualLayout>
      </c:layout>
      <c:spPr>
        <a:noFill/>
        <a:ln>
          <a:noFill/>
        </a:ln>
      </c:spPr>
    </c:title>
    <c:plotArea>
      <c:layout>
        <c:manualLayout>
          <c:xMode val="edge"/>
          <c:yMode val="edge"/>
          <c:x val="0.07775"/>
          <c:y val="0.09775"/>
          <c:w val="0.89725"/>
          <c:h val="0.7015"/>
        </c:manualLayout>
      </c:layout>
      <c:lineChart>
        <c:grouping val="standard"/>
        <c:varyColors val="0"/>
        <c:ser>
          <c:idx val="0"/>
          <c:order val="0"/>
          <c:tx>
            <c:strRef>
              <c:f>'Ej Pali vs Halo'!$N$37</c:f>
              <c:strCache>
                <c:ptCount val="1"/>
                <c:pt idx="0">
                  <c:v>% Supervivencia control</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 Pali vs Halo'!$M$38:$M$46</c:f>
              <c:numCache/>
            </c:numRef>
          </c:cat>
          <c:val>
            <c:numRef>
              <c:f>'Ej Pali vs Halo'!$N$38:$N$46</c:f>
              <c:numCache/>
            </c:numRef>
          </c:val>
          <c:smooth val="0"/>
        </c:ser>
        <c:ser>
          <c:idx val="1"/>
          <c:order val="1"/>
          <c:tx>
            <c:strRef>
              <c:f>'Ej Pali vs Halo'!$O$37</c:f>
              <c:strCache>
                <c:ptCount val="1"/>
                <c:pt idx="0">
                  <c:v>% Supervivencia intervención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'Ej Pali vs Halo'!$M$38:$M$46</c:f>
              <c:numCache/>
            </c:numRef>
          </c:cat>
          <c:val>
            <c:numRef>
              <c:f>'Ej Pali vs Halo'!$O$38:$O$46</c:f>
              <c:numCache/>
            </c:numRef>
          </c:val>
          <c:smooth val="0"/>
        </c:ser>
        <c:marker val="1"/>
        <c:axId val="27092026"/>
        <c:axId val="42501643"/>
      </c:lineChart>
      <c:catAx>
        <c:axId val="27092026"/>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62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42501643"/>
        <c:crosses val="autoZero"/>
        <c:auto val="1"/>
        <c:lblOffset val="100"/>
        <c:tickLblSkip val="1"/>
        <c:noMultiLvlLbl val="0"/>
      </c:catAx>
      <c:valAx>
        <c:axId val="42501643"/>
        <c:scaling>
          <c:orientation val="minMax"/>
          <c:max val="1"/>
        </c:scaling>
        <c:axPos val="l"/>
        <c:title>
          <c:tx>
            <c:rich>
              <a:bodyPr vert="horz" rot="-5400000" anchor="ctr"/>
              <a:lstStyle/>
              <a:p>
                <a:pPr algn="ctr">
                  <a:defRPr/>
                </a:pPr>
                <a:r>
                  <a:rPr lang="en-US" cap="none" sz="1000" b="0" i="0" u="none" baseline="0">
                    <a:solidFill>
                      <a:srgbClr val="000000"/>
                    </a:solidFill>
                  </a:rPr>
                  <a:t>% de Supervivencia al evento</a:t>
                </a:r>
              </a:p>
            </c:rich>
          </c:tx>
          <c:layout>
            <c:manualLayout>
              <c:xMode val="factor"/>
              <c:yMode val="factor"/>
              <c:x val="-0.019"/>
              <c:y val="-0.0015"/>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000000"/>
                </a:solidFill>
              </a:defRPr>
            </a:pPr>
          </a:p>
        </c:txPr>
        <c:crossAx val="27092026"/>
        <c:crossesAt val="1"/>
        <c:crossBetween val="between"/>
        <c:dispUnits/>
      </c:valAx>
      <c:spPr>
        <a:noFill/>
        <a:ln>
          <a:noFill/>
        </a:ln>
      </c:spPr>
    </c:plotArea>
    <c:legend>
      <c:legendPos val="b"/>
      <c:layout>
        <c:manualLayout>
          <c:xMode val="edge"/>
          <c:yMode val="edge"/>
          <c:x val="0.1125"/>
          <c:y val="0.909"/>
          <c:w val="0.77075"/>
          <c:h val="0.07"/>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Funciones de riesgo = hazards (probabilidades en cada unidad de tiempo)</a:t>
            </a:r>
          </a:p>
        </c:rich>
      </c:tx>
      <c:layout>
        <c:manualLayout>
          <c:xMode val="factor"/>
          <c:yMode val="factor"/>
          <c:x val="-0.002"/>
          <c:y val="-0.01075"/>
        </c:manualLayout>
      </c:layout>
      <c:spPr>
        <a:noFill/>
        <a:ln>
          <a:noFill/>
        </a:ln>
      </c:spPr>
    </c:title>
    <c:plotArea>
      <c:layout>
        <c:manualLayout>
          <c:xMode val="edge"/>
          <c:yMode val="edge"/>
          <c:x val="0.0635"/>
          <c:y val="0.2015"/>
          <c:w val="0.91175"/>
          <c:h val="0.60025"/>
        </c:manualLayout>
      </c:layout>
      <c:lineChart>
        <c:grouping val="standard"/>
        <c:varyColors val="0"/>
        <c:ser>
          <c:idx val="0"/>
          <c:order val="0"/>
          <c:tx>
            <c:strRef>
              <c:f>'Ej Pali vs Halo'!$N$57</c:f>
              <c:strCache>
                <c:ptCount val="1"/>
                <c:pt idx="0">
                  <c:v>% Ev/ti, control</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0066CC"/>
                    </a:solidFill>
                  </a:defRPr>
                </a:pPr>
              </a:p>
            </c:txPr>
            <c:showLegendKey val="0"/>
            <c:showVal val="1"/>
            <c:showBubbleSize val="0"/>
            <c:showCatName val="0"/>
            <c:showSerName val="0"/>
            <c:showLeaderLines val="1"/>
            <c:showPercent val="0"/>
          </c:dLbls>
          <c:cat>
            <c:numRef>
              <c:f>'Ej Pali vs Halo'!$M$58:$M$65</c:f>
              <c:numCache/>
            </c:numRef>
          </c:cat>
          <c:val>
            <c:numRef>
              <c:f>'Ej Pali vs Halo'!$N$58:$N$65</c:f>
              <c:numCache/>
            </c:numRef>
          </c:val>
          <c:smooth val="0"/>
        </c:ser>
        <c:ser>
          <c:idx val="1"/>
          <c:order val="1"/>
          <c:tx>
            <c:strRef>
              <c:f>'Ej Pali vs Halo'!$O$57</c:f>
              <c:strCache>
                <c:ptCount val="1"/>
                <c:pt idx="0">
                  <c:v>% Ev/ti, interv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900" b="0" i="0" u="none" baseline="0">
                    <a:solidFill>
                      <a:srgbClr val="993300"/>
                    </a:solidFill>
                  </a:defRPr>
                </a:pPr>
              </a:p>
            </c:txPr>
            <c:showLegendKey val="0"/>
            <c:showVal val="1"/>
            <c:showBubbleSize val="0"/>
            <c:showCatName val="0"/>
            <c:showSerName val="0"/>
            <c:showLeaderLines val="1"/>
            <c:showPercent val="0"/>
          </c:dLbls>
          <c:cat>
            <c:numRef>
              <c:f>'Ej Pali vs Halo'!$M$58:$M$65</c:f>
              <c:numCache/>
            </c:numRef>
          </c:cat>
          <c:val>
            <c:numRef>
              <c:f>'Ej Pali vs Halo'!$O$58:$O$65</c:f>
              <c:numCache/>
            </c:numRef>
          </c:val>
          <c:smooth val="0"/>
        </c:ser>
        <c:marker val="1"/>
        <c:axId val="46970468"/>
        <c:axId val="20081029"/>
      </c:lineChart>
      <c:catAx>
        <c:axId val="46970468"/>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115"/>
              <c:y val="0.0007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20081029"/>
        <c:crosses val="autoZero"/>
        <c:auto val="1"/>
        <c:lblOffset val="100"/>
        <c:tickLblSkip val="1"/>
        <c:noMultiLvlLbl val="0"/>
      </c:catAx>
      <c:valAx>
        <c:axId val="20081029"/>
        <c:scaling>
          <c:orientation val="minMax"/>
        </c:scaling>
        <c:axPos val="l"/>
        <c:title>
          <c:tx>
            <c:rich>
              <a:bodyPr vert="horz" rot="-5400000" anchor="ctr"/>
              <a:lstStyle/>
              <a:p>
                <a:pPr algn="ctr">
                  <a:defRPr/>
                </a:pPr>
                <a:r>
                  <a:rPr lang="en-US" cap="none" sz="1000" b="0" i="0" u="none" baseline="0">
                    <a:solidFill>
                      <a:srgbClr val="000000"/>
                    </a:solidFill>
                  </a:rPr>
                  <a:t>Funciones de riesgo (hazards)</a:t>
                </a:r>
              </a:p>
            </c:rich>
          </c:tx>
          <c:layout>
            <c:manualLayout>
              <c:xMode val="factor"/>
              <c:yMode val="factor"/>
              <c:x val="-0.01975"/>
              <c:y val="0.002"/>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46970468"/>
        <c:crossesAt val="1"/>
        <c:crossBetween val="between"/>
        <c:dispUnits/>
      </c:valAx>
      <c:spPr>
        <a:noFill/>
        <a:ln>
          <a:noFill/>
        </a:ln>
      </c:spPr>
    </c:plotArea>
    <c:legend>
      <c:legendPos val="b"/>
      <c:layout>
        <c:manualLayout>
          <c:xMode val="edge"/>
          <c:yMode val="edge"/>
          <c:x val="0.2485"/>
          <c:y val="0.90675"/>
          <c:w val="0.499"/>
          <c:h val="0.071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Hazards Ratio al final de cada intervalo</a:t>
            </a:r>
          </a:p>
        </c:rich>
      </c:tx>
      <c:layout>
        <c:manualLayout>
          <c:xMode val="factor"/>
          <c:yMode val="factor"/>
          <c:x val="-0.002"/>
          <c:y val="-0.01075"/>
        </c:manualLayout>
      </c:layout>
      <c:spPr>
        <a:noFill/>
        <a:ln>
          <a:noFill/>
        </a:ln>
      </c:spPr>
    </c:title>
    <c:plotArea>
      <c:layout>
        <c:manualLayout>
          <c:xMode val="edge"/>
          <c:yMode val="edge"/>
          <c:x val="0.0655"/>
          <c:y val="0.11975"/>
          <c:w val="0.9135"/>
          <c:h val="0.787"/>
        </c:manualLayout>
      </c:layout>
      <c:scatterChart>
        <c:scatterStyle val="lineMarker"/>
        <c:varyColors val="0"/>
        <c:ser>
          <c:idx val="0"/>
          <c:order val="0"/>
          <c:tx>
            <c:strRef>
              <c:f>'Ej Pali vs Halo'!$N$70</c:f>
              <c:strCache>
                <c:ptCount val="1"/>
                <c:pt idx="0">
                  <c:v>HRi</c:v>
                </c:pt>
              </c:strCache>
            </c:strRef>
          </c:tx>
          <c:spPr>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CCFFCC"/>
                </a:solidFill>
              </a:ln>
            </c:spPr>
          </c:marker>
          <c:dLbls>
            <c:numFmt formatCode="General" sourceLinked="1"/>
            <c:txPr>
              <a:bodyPr vert="horz" rot="0" anchor="ctr"/>
              <a:lstStyle/>
              <a:p>
                <a:pPr algn="ctr">
                  <a:defRPr lang="en-US" cap="none" sz="900" b="1" i="0" u="none" baseline="0">
                    <a:solidFill>
                      <a:srgbClr val="333333"/>
                    </a:solidFill>
                  </a:defRPr>
                </a:pPr>
              </a:p>
            </c:txPr>
            <c:showLegendKey val="0"/>
            <c:showVal val="1"/>
            <c:showBubbleSize val="0"/>
            <c:showCatName val="0"/>
            <c:showSerName val="0"/>
            <c:showPercent val="0"/>
          </c:dLbls>
          <c:xVal>
            <c:numRef>
              <c:f>'Ej Pali vs Halo'!$M$71:$M$77</c:f>
              <c:numCache/>
            </c:numRef>
          </c:xVal>
          <c:yVal>
            <c:numRef>
              <c:f>'Ej Pali vs Halo'!$N$71:$N$77</c:f>
              <c:numCache/>
            </c:numRef>
          </c:yVal>
          <c:smooth val="0"/>
        </c:ser>
        <c:axId val="46511534"/>
        <c:axId val="15950623"/>
      </c:scatterChart>
      <c:valAx>
        <c:axId val="46511534"/>
        <c:scaling>
          <c:orientation val="minMax"/>
        </c:scaling>
        <c:axPos val="b"/>
        <c:title>
          <c:tx>
            <c:rich>
              <a:bodyPr vert="horz" rot="0" anchor="ctr"/>
              <a:lstStyle/>
              <a:p>
                <a:pPr algn="ctr">
                  <a:defRPr/>
                </a:pPr>
                <a:r>
                  <a:rPr lang="en-US" cap="none" sz="1000" b="0" i="0" u="none" baseline="0">
                    <a:solidFill>
                      <a:srgbClr val="333333"/>
                    </a:solidFill>
                  </a:rPr>
                  <a:t>Meses</a:t>
                </a:r>
              </a:p>
            </c:rich>
          </c:tx>
          <c:layout>
            <c:manualLayout>
              <c:xMode val="factor"/>
              <c:yMode val="factor"/>
              <c:x val="-0.006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950623"/>
        <c:crosses val="autoZero"/>
        <c:crossBetween val="midCat"/>
        <c:dispUnits/>
        <c:majorUnit val="3"/>
      </c:valAx>
      <c:valAx>
        <c:axId val="15950623"/>
        <c:scaling>
          <c:orientation val="minMax"/>
        </c:scaling>
        <c:axPos val="l"/>
        <c:title>
          <c:tx>
            <c:rich>
              <a:bodyPr vert="horz" rot="-5400000" anchor="ctr"/>
              <a:lstStyle/>
              <a:p>
                <a:pPr algn="ctr">
                  <a:defRPr/>
                </a:pPr>
                <a:r>
                  <a:rPr lang="en-US" cap="none" sz="1000" b="0" i="0" u="none" baseline="0">
                    <a:solidFill>
                      <a:srgbClr val="333333"/>
                    </a:solidFill>
                  </a:rPr>
                  <a:t>Hazards Ratio (HRi)</a:t>
                </a:r>
              </a:p>
            </c:rich>
          </c:tx>
          <c:layout>
            <c:manualLayout>
              <c:xMode val="factor"/>
              <c:yMode val="factor"/>
              <c:x val="-0.00875"/>
              <c:y val="-0.001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511534"/>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Supervivencia condicionada a la anterior</a:t>
            </a:r>
          </a:p>
        </c:rich>
      </c:tx>
      <c:layout>
        <c:manualLayout>
          <c:xMode val="factor"/>
          <c:yMode val="factor"/>
          <c:x val="-0.002"/>
          <c:y val="-0.01075"/>
        </c:manualLayout>
      </c:layout>
      <c:spPr>
        <a:noFill/>
        <a:ln>
          <a:noFill/>
        </a:ln>
      </c:spPr>
    </c:title>
    <c:plotArea>
      <c:layout>
        <c:manualLayout>
          <c:xMode val="edge"/>
          <c:yMode val="edge"/>
          <c:x val="0.0635"/>
          <c:y val="0.11975"/>
          <c:w val="0.9155"/>
          <c:h val="0.787"/>
        </c:manualLayout>
      </c:layout>
      <c:scatterChart>
        <c:scatterStyle val="smoothMarker"/>
        <c:varyColors val="0"/>
        <c:ser>
          <c:idx val="1"/>
          <c:order val="0"/>
          <c:tx>
            <c:strRef>
              <c:f>'La mitad de la mitad'!$I$4</c:f>
              <c:strCache>
                <c:ptCount val="1"/>
                <c:pt idx="0">
                  <c:v>St 0-i</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dLbls>
            <c:numFmt formatCode="General" sourceLinked="1"/>
            <c:showLegendKey val="0"/>
            <c:showVal val="1"/>
            <c:showBubbleSize val="0"/>
            <c:showCatName val="0"/>
            <c:showSerName val="0"/>
            <c:showPercent val="0"/>
          </c:dLbls>
          <c:xVal>
            <c:numRef>
              <c:f>'La mitad de la mitad'!$G$5:$G$9</c:f>
              <c:numCache/>
            </c:numRef>
          </c:xVal>
          <c:yVal>
            <c:numRef>
              <c:f>'La mitad de la mitad'!$I$5:$I$9</c:f>
              <c:numCache/>
            </c:numRef>
          </c:yVal>
          <c:smooth val="1"/>
        </c:ser>
        <c:axId val="9337880"/>
        <c:axId val="16932057"/>
      </c:scatterChart>
      <c:valAx>
        <c:axId val="9337880"/>
        <c:scaling>
          <c:orientation val="minMax"/>
        </c:scaling>
        <c:axPos val="b"/>
        <c:title>
          <c:tx>
            <c:rich>
              <a:bodyPr vert="horz" rot="0" anchor="ctr"/>
              <a:lstStyle/>
              <a:p>
                <a:pPr algn="ctr">
                  <a:defRPr/>
                </a:pPr>
                <a:r>
                  <a:rPr lang="en-US" cap="none" sz="1000" b="0" i="0" u="none" baseline="0">
                    <a:solidFill>
                      <a:srgbClr val="000000"/>
                    </a:solidFill>
                  </a:rPr>
                  <a:t>años</a:t>
                </a:r>
              </a:p>
            </c:rich>
          </c:tx>
          <c:layout>
            <c:manualLayout>
              <c:xMode val="factor"/>
              <c:yMode val="factor"/>
              <c:x val="-0.00725"/>
              <c:y val="-0.120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16932057"/>
        <c:crosses val="autoZero"/>
        <c:crossBetween val="midCat"/>
        <c:dispUnits/>
        <c:majorUnit val="1"/>
      </c:valAx>
      <c:valAx>
        <c:axId val="16932057"/>
        <c:scaling>
          <c:orientation val="minMax"/>
          <c:max val="1"/>
        </c:scaling>
        <c:axPos val="l"/>
        <c:title>
          <c:tx>
            <c:rich>
              <a:bodyPr vert="horz" rot="-5400000" anchor="ctr"/>
              <a:lstStyle/>
              <a:p>
                <a:pPr algn="ctr">
                  <a:defRPr/>
                </a:pPr>
                <a:r>
                  <a:rPr lang="en-US" cap="none" sz="1000" b="0" i="0" u="none" baseline="0">
                    <a:solidFill>
                      <a:srgbClr val="000000"/>
                    </a:solidFill>
                  </a:rPr>
                  <a:t>Función de Supervivncia</a:t>
                </a:r>
              </a:p>
            </c:rich>
          </c:tx>
          <c:layout>
            <c:manualLayout>
              <c:xMode val="factor"/>
              <c:yMode val="factor"/>
              <c:x val="-0.01625"/>
              <c:y val="0.002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9337880"/>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Funciones de supervivencia
</a:t>
            </a:r>
          </a:p>
        </c:rich>
      </c:tx>
      <c:layout>
        <c:manualLayout>
          <c:xMode val="factor"/>
          <c:yMode val="factor"/>
          <c:x val="-0.002"/>
          <c:y val="-0.0095"/>
        </c:manualLayout>
      </c:layout>
      <c:spPr>
        <a:noFill/>
        <a:ln>
          <a:noFill/>
        </a:ln>
      </c:spPr>
    </c:title>
    <c:plotArea>
      <c:layout>
        <c:manualLayout>
          <c:xMode val="edge"/>
          <c:yMode val="edge"/>
          <c:x val="0.0645"/>
          <c:y val="0.13175"/>
          <c:w val="0.9105"/>
          <c:h val="0.74825"/>
        </c:manualLayout>
      </c:layout>
      <c:lineChart>
        <c:grouping val="standard"/>
        <c:varyColors val="0"/>
        <c:ser>
          <c:idx val="0"/>
          <c:order val="0"/>
          <c:tx>
            <c:strRef>
              <c:f>'Ej teórico'!$O$38</c:f>
              <c:strCache>
                <c:ptCount val="1"/>
                <c:pt idx="0">
                  <c:v>% Supervivencia control</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33CCCC"/>
                </a:solidFill>
              </a:ln>
            </c:spPr>
          </c:marker>
          <c:dLbls>
            <c:dLbl>
              <c:idx val="8"/>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dLbls>
          <c:cat>
            <c:numRef>
              <c:f>'Ej teórico'!$N$39:$N$47</c:f>
              <c:numCache/>
            </c:numRef>
          </c:cat>
          <c:val>
            <c:numRef>
              <c:f>'Ej teórico'!$O$39:$O$47</c:f>
              <c:numCache/>
            </c:numRef>
          </c:val>
          <c:smooth val="0"/>
        </c:ser>
        <c:ser>
          <c:idx val="1"/>
          <c:order val="1"/>
          <c:tx>
            <c:strRef>
              <c:f>'Ej teórico'!$P$38</c:f>
              <c:strCache>
                <c:ptCount val="1"/>
                <c:pt idx="0">
                  <c:v>% Supervivencia intervención</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6600"/>
              </a:solidFill>
              <a:ln>
                <a:solidFill>
                  <a:srgbClr val="FF6600"/>
                </a:solidFill>
              </a:ln>
            </c:spPr>
          </c:marker>
          <c:dLbls>
            <c:dLbl>
              <c:idx val="8"/>
              <c:layout>
                <c:manualLayout>
                  <c:x val="0"/>
                  <c:y val="0"/>
                </c:manualLayout>
              </c:layout>
              <c:txPr>
                <a:bodyPr vert="horz" rot="0" anchor="ctr"/>
                <a:lstStyle/>
                <a:p>
                  <a:pPr algn="ctr">
                    <a:defRPr lang="en-US" cap="none" sz="900" b="0" i="0" u="none" baseline="0">
                      <a:solidFill>
                        <a:srgbClr val="333333"/>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dLbls>
          <c:cat>
            <c:numRef>
              <c:f>'Ej teórico'!$N$39:$N$47</c:f>
              <c:numCache/>
            </c:numRef>
          </c:cat>
          <c:val>
            <c:numRef>
              <c:f>'Ej teórico'!$P$39:$P$47</c:f>
              <c:numCache/>
            </c:numRef>
          </c:val>
          <c:smooth val="0"/>
        </c:ser>
        <c:marker val="1"/>
        <c:axId val="18170786"/>
        <c:axId val="29319347"/>
      </c:lineChart>
      <c:catAx>
        <c:axId val="18170786"/>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2"/>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000000"/>
                </a:solidFill>
              </a:defRPr>
            </a:pPr>
          </a:p>
        </c:txPr>
        <c:crossAx val="29319347"/>
        <c:crosses val="autoZero"/>
        <c:auto val="0"/>
        <c:lblOffset val="100"/>
        <c:tickLblSkip val="1"/>
        <c:noMultiLvlLbl val="0"/>
      </c:catAx>
      <c:valAx>
        <c:axId val="29319347"/>
        <c:scaling>
          <c:orientation val="minMax"/>
          <c:max val="1"/>
        </c:scaling>
        <c:axPos val="l"/>
        <c:title>
          <c:tx>
            <c:rich>
              <a:bodyPr vert="horz" rot="-5400000" anchor="ctr"/>
              <a:lstStyle/>
              <a:p>
                <a:pPr algn="ctr">
                  <a:defRPr/>
                </a:pPr>
                <a:r>
                  <a:rPr lang="en-US" cap="none" sz="1000" b="0" i="0" u="none" baseline="0">
                    <a:solidFill>
                      <a:srgbClr val="000000"/>
                    </a:solidFill>
                  </a:rPr>
                  <a:t>%Supervivencia</a:t>
                </a:r>
              </a:p>
            </c:rich>
          </c:tx>
          <c:layout>
            <c:manualLayout>
              <c:xMode val="factor"/>
              <c:yMode val="factor"/>
              <c:x val="-0.01225"/>
              <c:y val="0.00125"/>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900" b="0" i="0" u="none" baseline="0">
                <a:solidFill>
                  <a:srgbClr val="000000"/>
                </a:solidFill>
              </a:defRPr>
            </a:pPr>
          </a:p>
        </c:txPr>
        <c:crossAx val="18170786"/>
        <c:crossesAt val="1"/>
        <c:crossBetween val="between"/>
        <c:dispUnits/>
        <c:majorUnit val="0.1"/>
      </c:valAx>
      <c:spPr>
        <a:noFill/>
        <a:ln>
          <a:noFill/>
        </a:ln>
      </c:spPr>
    </c:plotArea>
    <c:legend>
      <c:legendPos val="b"/>
      <c:layout>
        <c:manualLayout>
          <c:xMode val="edge"/>
          <c:yMode val="edge"/>
          <c:x val="0.1125"/>
          <c:y val="0.91775"/>
          <c:w val="0.77075"/>
          <c:h val="0.063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Funciones de riesgo = hazards (probabilidadades en la unidad de tiempo)</a:t>
            </a:r>
          </a:p>
        </c:rich>
      </c:tx>
      <c:layout>
        <c:manualLayout>
          <c:xMode val="factor"/>
          <c:yMode val="factor"/>
          <c:x val="-0.002"/>
          <c:y val="-0.01025"/>
        </c:manualLayout>
      </c:layout>
      <c:spPr>
        <a:noFill/>
        <a:ln>
          <a:noFill/>
        </a:ln>
      </c:spPr>
    </c:title>
    <c:plotArea>
      <c:layout>
        <c:manualLayout>
          <c:xMode val="edge"/>
          <c:yMode val="edge"/>
          <c:x val="0.0635"/>
          <c:y val="0.1925"/>
          <c:w val="0.91175"/>
          <c:h val="0.618"/>
        </c:manualLayout>
      </c:layout>
      <c:lineChart>
        <c:grouping val="standard"/>
        <c:varyColors val="0"/>
        <c:ser>
          <c:idx val="0"/>
          <c:order val="0"/>
          <c:tx>
            <c:strRef>
              <c:f>'Ej teórico'!$O$58</c:f>
              <c:strCache>
                <c:ptCount val="1"/>
                <c:pt idx="0">
                  <c:v>% Ev/ti, control</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0%" sourceLinked="0"/>
            <c:txPr>
              <a:bodyPr vert="horz" rot="0" anchor="ctr"/>
              <a:lstStyle/>
              <a:p>
                <a:pPr algn="ctr">
                  <a:defRPr lang="en-US" cap="none" sz="1000" b="0" i="0" u="none" baseline="0">
                    <a:solidFill>
                      <a:srgbClr val="333333"/>
                    </a:solidFill>
                  </a:defRPr>
                </a:pPr>
              </a:p>
            </c:txPr>
            <c:showLegendKey val="0"/>
            <c:showVal val="1"/>
            <c:showBubbleSize val="0"/>
            <c:showCatName val="0"/>
            <c:showSerName val="0"/>
            <c:showLeaderLines val="1"/>
            <c:showPercent val="0"/>
          </c:dLbls>
          <c:cat>
            <c:numRef>
              <c:f>'Ej teórico'!$N$59:$N$66</c:f>
              <c:numCache/>
            </c:numRef>
          </c:cat>
          <c:val>
            <c:numRef>
              <c:f>'Ej teórico'!$O$59:$O$66</c:f>
              <c:numCache/>
            </c:numRef>
          </c:val>
          <c:smooth val="0"/>
        </c:ser>
        <c:ser>
          <c:idx val="1"/>
          <c:order val="1"/>
          <c:tx>
            <c:strRef>
              <c:f>'Ej teórico'!$P$58</c:f>
              <c:strCache>
                <c:ptCount val="1"/>
                <c:pt idx="0">
                  <c:v>% Ev/ti, interv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0%" sourceLinked="0"/>
            <c:spPr>
              <a:noFill/>
              <a:ln w="12700">
                <a:solidFill>
                  <a:srgbClr val="FFFF99"/>
                </a:solidFill>
              </a:ln>
            </c:spPr>
            <c:txPr>
              <a:bodyPr vert="horz" rot="0" anchor="ctr"/>
              <a:lstStyle/>
              <a:p>
                <a:pPr algn="ctr">
                  <a:defRPr lang="en-US" cap="none" sz="1000" b="0" i="0" u="none" baseline="0">
                    <a:solidFill>
                      <a:srgbClr val="333333"/>
                    </a:solidFill>
                  </a:defRPr>
                </a:pPr>
              </a:p>
            </c:txPr>
            <c:showLegendKey val="0"/>
            <c:showVal val="1"/>
            <c:showBubbleSize val="0"/>
            <c:showCatName val="0"/>
            <c:showSerName val="0"/>
            <c:showLeaderLines val="1"/>
            <c:showPercent val="0"/>
          </c:dLbls>
          <c:cat>
            <c:numRef>
              <c:f>'Ej teórico'!$N$59:$N$66</c:f>
              <c:numCache/>
            </c:numRef>
          </c:cat>
          <c:val>
            <c:numRef>
              <c:f>'Ej teórico'!$P$59:$P$66</c:f>
              <c:numCache/>
            </c:numRef>
          </c:val>
          <c:smooth val="0"/>
        </c:ser>
        <c:marker val="1"/>
        <c:axId val="62547532"/>
        <c:axId val="26056877"/>
      </c:lineChart>
      <c:catAx>
        <c:axId val="62547532"/>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6"/>
              <c:y val="0.0007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26056877"/>
        <c:crosses val="autoZero"/>
        <c:auto val="1"/>
        <c:lblOffset val="100"/>
        <c:tickLblSkip val="1"/>
        <c:noMultiLvlLbl val="0"/>
      </c:catAx>
      <c:valAx>
        <c:axId val="26056877"/>
        <c:scaling>
          <c:orientation val="minMax"/>
        </c:scaling>
        <c:axPos val="l"/>
        <c:title>
          <c:tx>
            <c:rich>
              <a:bodyPr vert="horz" rot="-5400000" anchor="ctr"/>
              <a:lstStyle/>
              <a:p>
                <a:pPr algn="ctr">
                  <a:defRPr/>
                </a:pPr>
                <a:r>
                  <a:rPr lang="en-US" cap="none" sz="1000" b="0" i="0" u="none" baseline="0">
                    <a:solidFill>
                      <a:srgbClr val="000000"/>
                    </a:solidFill>
                  </a:rPr>
                  <a:t>Funciones de riesgo (hazards)</a:t>
                </a:r>
              </a:p>
            </c:rich>
          </c:tx>
          <c:layout>
            <c:manualLayout>
              <c:xMode val="factor"/>
              <c:yMode val="factor"/>
              <c:x val="-0.02275"/>
              <c:y val="-0.007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2547532"/>
        <c:crossesAt val="1"/>
        <c:crossBetween val="between"/>
        <c:dispUnits/>
      </c:valAx>
      <c:spPr>
        <a:noFill/>
        <a:ln>
          <a:noFill/>
        </a:ln>
      </c:spPr>
    </c:plotArea>
    <c:legend>
      <c:legendPos val="b"/>
      <c:layout>
        <c:manualLayout>
          <c:xMode val="edge"/>
          <c:yMode val="edge"/>
          <c:x val="0.2485"/>
          <c:y val="0.911"/>
          <c:w val="0.499"/>
          <c:h val="0.068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Hazards Ratio en al final de cada intervalo temporal</a:t>
            </a:r>
          </a:p>
        </c:rich>
      </c:tx>
      <c:layout>
        <c:manualLayout>
          <c:xMode val="factor"/>
          <c:yMode val="factor"/>
          <c:x val="-0.002"/>
          <c:y val="-0.01"/>
        </c:manualLayout>
      </c:layout>
      <c:spPr>
        <a:noFill/>
        <a:ln>
          <a:noFill/>
        </a:ln>
      </c:spPr>
    </c:title>
    <c:plotArea>
      <c:layout>
        <c:manualLayout>
          <c:xMode val="edge"/>
          <c:yMode val="edge"/>
          <c:x val="0.1"/>
          <c:y val="0.1885"/>
          <c:w val="0.879"/>
          <c:h val="0.72425"/>
        </c:manualLayout>
      </c:layout>
      <c:scatterChart>
        <c:scatterStyle val="lineMarker"/>
        <c:varyColors val="0"/>
        <c:ser>
          <c:idx val="0"/>
          <c:order val="0"/>
          <c:tx>
            <c:strRef>
              <c:f>'Ej teórico'!$P$71</c:f>
              <c:strCache>
                <c:ptCount val="1"/>
                <c:pt idx="0">
                  <c:v>HRi</c:v>
                </c:pt>
              </c:strCache>
            </c:strRef>
          </c:tx>
          <c:spPr>
            <a:ln w="127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FFCC99"/>
                </a:solidFill>
              </a:ln>
            </c:spPr>
          </c:marker>
          <c:dLbls>
            <c:numFmt formatCode="General" sourceLinked="1"/>
            <c:txPr>
              <a:bodyPr vert="horz" rot="0" anchor="ctr"/>
              <a:lstStyle/>
              <a:p>
                <a:pPr algn="ctr">
                  <a:defRPr lang="en-US" cap="none" sz="900" b="1" i="0" u="none" baseline="0">
                    <a:solidFill>
                      <a:srgbClr val="333333"/>
                    </a:solidFill>
                  </a:defRPr>
                </a:pPr>
              </a:p>
            </c:txPr>
            <c:showLegendKey val="0"/>
            <c:showVal val="1"/>
            <c:showBubbleSize val="0"/>
            <c:showCatName val="0"/>
            <c:showSerName val="0"/>
            <c:showPercent val="0"/>
          </c:dLbls>
          <c:xVal>
            <c:numRef>
              <c:f>'Ej teórico'!$O$72:$O$79</c:f>
              <c:numCache/>
            </c:numRef>
          </c:xVal>
          <c:yVal>
            <c:numRef>
              <c:f>'Ej teórico'!$P$72:$P$79</c:f>
              <c:numCache/>
            </c:numRef>
          </c:yVal>
          <c:smooth val="0"/>
        </c:ser>
        <c:axId val="33185302"/>
        <c:axId val="30232263"/>
      </c:scatterChart>
      <c:valAx>
        <c:axId val="33185302"/>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625"/>
              <c:y val="0.002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0232263"/>
        <c:crosses val="autoZero"/>
        <c:crossBetween val="midCat"/>
        <c:dispUnits/>
        <c:majorUnit val="3"/>
      </c:valAx>
      <c:valAx>
        <c:axId val="30232263"/>
        <c:scaling>
          <c:orientation val="minMax"/>
        </c:scaling>
        <c:axPos val="l"/>
        <c:title>
          <c:tx>
            <c:rich>
              <a:bodyPr vert="horz" rot="-5400000" anchor="ctr"/>
              <a:lstStyle/>
              <a:p>
                <a:pPr algn="ctr">
                  <a:defRPr/>
                </a:pPr>
                <a:r>
                  <a:rPr lang="en-US" cap="none" sz="1000" b="0" i="0" u="none" baseline="0">
                    <a:solidFill>
                      <a:srgbClr val="000000"/>
                    </a:solidFill>
                  </a:rPr>
                  <a:t>Hazard Ratio
</a:t>
                </a:r>
              </a:p>
            </c:rich>
          </c:tx>
          <c:layout>
            <c:manualLayout>
              <c:xMode val="factor"/>
              <c:yMode val="factor"/>
              <c:x val="0.000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185302"/>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Diagrama de dispersión, eventos acumulados intervención vs control: </a:t>
            </a:r>
            <a:r>
              <a:rPr lang="en-US" cap="none" sz="1200" b="0" i="0" u="none" baseline="0">
                <a:solidFill>
                  <a:srgbClr val="008000"/>
                </a:solidFill>
              </a:rPr>
              <a:t>HR curva verde</a:t>
            </a:r>
            <a:r>
              <a:rPr lang="en-US" cap="none" sz="1200" b="0" i="0" u="none" baseline="0">
                <a:solidFill>
                  <a:srgbClr val="000000"/>
                </a:solidFill>
              </a:rPr>
              <a:t>, </a:t>
            </a:r>
            <a:r>
              <a:rPr lang="en-US" cap="none" sz="1200" b="0" i="0" u="none" baseline="0">
                <a:solidFill>
                  <a:srgbClr val="FF00FF"/>
                </a:solidFill>
              </a:rPr>
              <a:t>RR línea rosa</a:t>
            </a:r>
          </a:p>
        </c:rich>
      </c:tx>
      <c:layout>
        <c:manualLayout>
          <c:xMode val="factor"/>
          <c:yMode val="factor"/>
          <c:x val="-0.002"/>
          <c:y val="-0.013"/>
        </c:manualLayout>
      </c:layout>
      <c:spPr>
        <a:noFill/>
        <a:ln>
          <a:noFill/>
        </a:ln>
      </c:spPr>
    </c:title>
    <c:plotArea>
      <c:layout>
        <c:manualLayout>
          <c:xMode val="edge"/>
          <c:yMode val="edge"/>
          <c:x val="0.0655"/>
          <c:y val="0.106"/>
          <c:w val="0.9135"/>
          <c:h val="0.83725"/>
        </c:manualLayout>
      </c:layout>
      <c:scatterChart>
        <c:scatterStyle val="smoothMarker"/>
        <c:varyColors val="0"/>
        <c:ser>
          <c:idx val="0"/>
          <c:order val="0"/>
          <c:tx>
            <c:strRef>
              <c:f>'Ej teórico'!$P$90</c:f>
              <c:strCache>
                <c:ptCount val="1"/>
                <c:pt idx="0">
                  <c:v>Intervención</c:v>
                </c:pt>
              </c:strCache>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008000"/>
                </a:solidFill>
              </a:ln>
            </c:spPr>
          </c:marker>
          <c:xVal>
            <c:numRef>
              <c:f>'Ej teórico'!$O$91:$O$99</c:f>
              <c:numCache/>
            </c:numRef>
          </c:xVal>
          <c:yVal>
            <c:numRef>
              <c:f>'Ej teórico'!$P$91:$P$99</c:f>
              <c:numCache/>
            </c:numRef>
          </c:yVal>
          <c:smooth val="1"/>
        </c:ser>
        <c:axId val="3654912"/>
        <c:axId val="32894209"/>
      </c:scatterChart>
      <c:valAx>
        <c:axId val="3654912"/>
        <c:scaling>
          <c:orientation val="minMax"/>
          <c:max val="1000"/>
        </c:scaling>
        <c:axPos val="b"/>
        <c:title>
          <c:tx>
            <c:rich>
              <a:bodyPr vert="horz" rot="0" anchor="ctr"/>
              <a:lstStyle/>
              <a:p>
                <a:pPr algn="ctr">
                  <a:defRPr/>
                </a:pPr>
                <a:r>
                  <a:rPr lang="en-US" cap="none" sz="1000" b="0" i="0" u="none" baseline="0">
                    <a:solidFill>
                      <a:srgbClr val="000000"/>
                    </a:solidFill>
                  </a:rPr>
                  <a:t>Nº de eventos acumulados trimestrales, control</a:t>
                </a:r>
              </a:p>
            </c:rich>
          </c:tx>
          <c:layout>
            <c:manualLayout>
              <c:xMode val="factor"/>
              <c:yMode val="factor"/>
              <c:x val="-0.00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2894209"/>
        <c:crosses val="autoZero"/>
        <c:crossBetween val="midCat"/>
        <c:dispUnits/>
        <c:majorUnit val="100"/>
      </c:valAx>
      <c:valAx>
        <c:axId val="32894209"/>
        <c:scaling>
          <c:orientation val="minMax"/>
          <c:max val="1000"/>
        </c:scaling>
        <c:axPos val="l"/>
        <c:title>
          <c:tx>
            <c:rich>
              <a:bodyPr vert="horz" rot="-5400000" anchor="ctr"/>
              <a:lstStyle/>
              <a:p>
                <a:pPr algn="ctr">
                  <a:defRPr/>
                </a:pPr>
                <a:r>
                  <a:rPr lang="en-US" cap="none" sz="1000" b="0" i="0" u="none" baseline="0">
                    <a:solidFill>
                      <a:srgbClr val="000000"/>
                    </a:solidFill>
                  </a:rPr>
                  <a:t>Nº Eventos acumulados trimesrales, ntervención</a:t>
                </a:r>
              </a:p>
            </c:rich>
          </c:tx>
          <c:layout>
            <c:manualLayout>
              <c:xMode val="factor"/>
              <c:yMode val="factor"/>
              <c:x val="-0.01175"/>
              <c:y val="0.000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3654912"/>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8000"/>
                </a:solidFill>
              </a:rPr>
              <a:t>Nº de eventos acumulados trimestralmente</a:t>
            </a:r>
          </a:p>
        </c:rich>
      </c:tx>
      <c:layout>
        <c:manualLayout>
          <c:xMode val="factor"/>
          <c:yMode val="factor"/>
          <c:x val="-0.00425"/>
          <c:y val="-0.0135"/>
        </c:manualLayout>
      </c:layout>
      <c:spPr>
        <a:noFill/>
        <a:ln>
          <a:noFill/>
        </a:ln>
      </c:spPr>
    </c:title>
    <c:plotArea>
      <c:layout>
        <c:manualLayout>
          <c:xMode val="edge"/>
          <c:yMode val="edge"/>
          <c:x val="0.04325"/>
          <c:y val="0.137"/>
          <c:w val="0.93825"/>
          <c:h val="0.793"/>
        </c:manualLayout>
      </c:layout>
      <c:scatterChart>
        <c:scatterStyle val="smoothMarker"/>
        <c:varyColors val="0"/>
        <c:ser>
          <c:idx val="0"/>
          <c:order val="0"/>
          <c:tx>
            <c:strRef>
              <c:f>'Ej teórico'!$O$90</c:f>
              <c:strCache>
                <c:ptCount val="1"/>
                <c:pt idx="0">
                  <c:v>Control</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Percent val="0"/>
          </c:dLbls>
          <c:xVal>
            <c:numRef>
              <c:f>'Ej teórico'!$N$91:$N$99</c:f>
              <c:numCache/>
            </c:numRef>
          </c:xVal>
          <c:yVal>
            <c:numRef>
              <c:f>'Ej teórico'!$O$91:$O$99</c:f>
              <c:numCache/>
            </c:numRef>
          </c:yVal>
          <c:smooth val="1"/>
        </c:ser>
        <c:ser>
          <c:idx val="1"/>
          <c:order val="1"/>
          <c:tx>
            <c:strRef>
              <c:f>'Ej teórico'!$P$90</c:f>
              <c:strCache>
                <c:ptCount val="1"/>
                <c:pt idx="0">
                  <c:v>Intervención</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Percent val="0"/>
          </c:dLbls>
          <c:xVal>
            <c:numRef>
              <c:f>'Ej teórico'!$N$91:$N$99</c:f>
              <c:numCache/>
            </c:numRef>
          </c:xVal>
          <c:yVal>
            <c:numRef>
              <c:f>'Ej teórico'!$P$91:$P$99</c:f>
              <c:numCache/>
            </c:numRef>
          </c:yVal>
          <c:smooth val="1"/>
        </c:ser>
        <c:axId val="27612426"/>
        <c:axId val="47185243"/>
      </c:scatterChart>
      <c:valAx>
        <c:axId val="27612426"/>
        <c:scaling>
          <c:orientation val="minMax"/>
          <c:max val="25"/>
          <c:min val="0"/>
        </c:scaling>
        <c:axPos val="b"/>
        <c:title>
          <c:tx>
            <c:rich>
              <a:bodyPr vert="horz" rot="0" anchor="ctr"/>
              <a:lstStyle/>
              <a:p>
                <a:pPr algn="ctr">
                  <a:defRPr/>
                </a:pPr>
                <a:r>
                  <a:rPr lang="en-US" cap="none" sz="900" b="0" i="0" u="none" baseline="0">
                    <a:solidFill>
                      <a:srgbClr val="000000"/>
                    </a:solidFill>
                  </a:rPr>
                  <a:t>Meses</a:t>
                </a:r>
              </a:p>
            </c:rich>
          </c:tx>
          <c:layout>
            <c:manualLayout>
              <c:xMode val="factor"/>
              <c:yMode val="factor"/>
              <c:x val="-0.004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47185243"/>
        <c:crosses val="autoZero"/>
        <c:crossBetween val="midCat"/>
        <c:dispUnits/>
        <c:majorUnit val="3"/>
      </c:valAx>
      <c:valAx>
        <c:axId val="47185243"/>
        <c:scaling>
          <c:orientation val="minMax"/>
          <c:max val="1000"/>
        </c:scaling>
        <c:axPos val="l"/>
        <c:title>
          <c:tx>
            <c:rich>
              <a:bodyPr vert="horz" rot="-5400000" anchor="ctr"/>
              <a:lstStyle/>
              <a:p>
                <a:pPr algn="ctr">
                  <a:defRPr/>
                </a:pPr>
                <a:r>
                  <a:rPr lang="en-US" cap="none" sz="900" b="0" i="0" u="none" baseline="0">
                    <a:solidFill>
                      <a:srgbClr val="000000"/>
                    </a:solidFill>
                  </a:rPr>
                  <a:t>Nº de evenos acumulados</a:t>
                </a:r>
              </a:p>
            </c:rich>
          </c:tx>
          <c:layout>
            <c:manualLayout>
              <c:xMode val="factor"/>
              <c:yMode val="factor"/>
              <c:x val="-0.013"/>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27612426"/>
        <c:crosses val="autoZero"/>
        <c:crossBetween val="midCat"/>
        <c:dispUnits/>
      </c:valAx>
      <c:spPr>
        <a:noFill/>
        <a:ln>
          <a:noFill/>
        </a:ln>
      </c:spPr>
    </c:plotArea>
    <c:legend>
      <c:legendPos val="b"/>
      <c:layout>
        <c:manualLayout>
          <c:xMode val="edge"/>
          <c:yMode val="edge"/>
          <c:x val="0.0085"/>
          <c:y val="0.95575"/>
          <c:w val="0.415"/>
          <c:h val="0.044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12</xdr:row>
      <xdr:rowOff>85725</xdr:rowOff>
    </xdr:from>
    <xdr:to>
      <xdr:col>7</xdr:col>
      <xdr:colOff>171450</xdr:colOff>
      <xdr:row>13</xdr:row>
      <xdr:rowOff>76200</xdr:rowOff>
    </xdr:to>
    <xdr:sp>
      <xdr:nvSpPr>
        <xdr:cNvPr id="1" name="Conector recto de flecha 2"/>
        <xdr:cNvSpPr>
          <a:spLocks/>
        </xdr:cNvSpPr>
      </xdr:nvSpPr>
      <xdr:spPr>
        <a:xfrm flipV="1">
          <a:off x="5095875" y="3895725"/>
          <a:ext cx="390525" cy="1524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13</xdr:row>
      <xdr:rowOff>85725</xdr:rowOff>
    </xdr:from>
    <xdr:to>
      <xdr:col>7</xdr:col>
      <xdr:colOff>180975</xdr:colOff>
      <xdr:row>14</xdr:row>
      <xdr:rowOff>76200</xdr:rowOff>
    </xdr:to>
    <xdr:sp>
      <xdr:nvSpPr>
        <xdr:cNvPr id="2" name="Conector recto de flecha 3"/>
        <xdr:cNvSpPr>
          <a:spLocks/>
        </xdr:cNvSpPr>
      </xdr:nvSpPr>
      <xdr:spPr>
        <a:xfrm flipV="1">
          <a:off x="5095875" y="4057650"/>
          <a:ext cx="400050" cy="15240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14</xdr:row>
      <xdr:rowOff>95250</xdr:rowOff>
    </xdr:from>
    <xdr:to>
      <xdr:col>7</xdr:col>
      <xdr:colOff>180975</xdr:colOff>
      <xdr:row>15</xdr:row>
      <xdr:rowOff>95250</xdr:rowOff>
    </xdr:to>
    <xdr:sp>
      <xdr:nvSpPr>
        <xdr:cNvPr id="3" name="Conector recto de flecha 4"/>
        <xdr:cNvSpPr>
          <a:spLocks/>
        </xdr:cNvSpPr>
      </xdr:nvSpPr>
      <xdr:spPr>
        <a:xfrm flipV="1">
          <a:off x="5095875" y="4229100"/>
          <a:ext cx="400050" cy="1619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676275</xdr:colOff>
      <xdr:row>12</xdr:row>
      <xdr:rowOff>57150</xdr:rowOff>
    </xdr:from>
    <xdr:to>
      <xdr:col>8</xdr:col>
      <xdr:colOff>28575</xdr:colOff>
      <xdr:row>13</xdr:row>
      <xdr:rowOff>66675</xdr:rowOff>
    </xdr:to>
    <xdr:sp>
      <xdr:nvSpPr>
        <xdr:cNvPr id="4" name="Flecha curvada hacia la izquierda 5"/>
        <xdr:cNvSpPr>
          <a:spLocks/>
        </xdr:cNvSpPr>
      </xdr:nvSpPr>
      <xdr:spPr>
        <a:xfrm>
          <a:off x="5991225" y="3867150"/>
          <a:ext cx="247650" cy="171450"/>
        </a:xfrm>
        <a:prstGeom prst="curvedLeftArrow">
          <a:avLst>
            <a:gd name="adj1" fmla="val 7541"/>
            <a:gd name="adj2" fmla="val 39384"/>
            <a:gd name="adj3" fmla="val -25000"/>
          </a:avLst>
        </a:prstGeom>
        <a:solidFill>
          <a:srgbClr val="5B9BD5"/>
        </a:solid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13</xdr:row>
      <xdr:rowOff>95250</xdr:rowOff>
    </xdr:from>
    <xdr:to>
      <xdr:col>8</xdr:col>
      <xdr:colOff>28575</xdr:colOff>
      <xdr:row>14</xdr:row>
      <xdr:rowOff>95250</xdr:rowOff>
    </xdr:to>
    <xdr:sp>
      <xdr:nvSpPr>
        <xdr:cNvPr id="5" name="Flecha curvada hacia la izquierda 6"/>
        <xdr:cNvSpPr>
          <a:spLocks/>
        </xdr:cNvSpPr>
      </xdr:nvSpPr>
      <xdr:spPr>
        <a:xfrm>
          <a:off x="6010275" y="4067175"/>
          <a:ext cx="228600" cy="161925"/>
        </a:xfrm>
        <a:prstGeom prst="curvedLeftArrow">
          <a:avLst>
            <a:gd name="adj1" fmla="val 10490"/>
            <a:gd name="adj2" fmla="val 40125"/>
            <a:gd name="adj3" fmla="val -25000"/>
          </a:avLst>
        </a:prstGeom>
        <a:solidFill>
          <a:srgbClr val="5B9BD5"/>
        </a:solid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14</xdr:row>
      <xdr:rowOff>123825</xdr:rowOff>
    </xdr:from>
    <xdr:to>
      <xdr:col>8</xdr:col>
      <xdr:colOff>28575</xdr:colOff>
      <xdr:row>15</xdr:row>
      <xdr:rowOff>123825</xdr:rowOff>
    </xdr:to>
    <xdr:sp>
      <xdr:nvSpPr>
        <xdr:cNvPr id="6" name="Flecha curvada hacia la izquierda 7"/>
        <xdr:cNvSpPr>
          <a:spLocks/>
        </xdr:cNvSpPr>
      </xdr:nvSpPr>
      <xdr:spPr>
        <a:xfrm>
          <a:off x="6010275" y="4257675"/>
          <a:ext cx="228600" cy="161925"/>
        </a:xfrm>
        <a:prstGeom prst="curvedLeftArrow">
          <a:avLst>
            <a:gd name="adj1" fmla="val 10490"/>
            <a:gd name="adj2" fmla="val 40125"/>
            <a:gd name="adj3" fmla="val -25000"/>
          </a:avLst>
        </a:prstGeom>
        <a:solidFill>
          <a:srgbClr val="5B9BD5"/>
        </a:solidFill>
        <a:ln w="127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52</xdr:row>
      <xdr:rowOff>152400</xdr:rowOff>
    </xdr:from>
    <xdr:to>
      <xdr:col>3</xdr:col>
      <xdr:colOff>419100</xdr:colOff>
      <xdr:row>54</xdr:row>
      <xdr:rowOff>19050</xdr:rowOff>
    </xdr:to>
    <xdr:sp>
      <xdr:nvSpPr>
        <xdr:cNvPr id="7" name="Más 8"/>
        <xdr:cNvSpPr>
          <a:spLocks/>
        </xdr:cNvSpPr>
      </xdr:nvSpPr>
      <xdr:spPr>
        <a:xfrm>
          <a:off x="2219325" y="11191875"/>
          <a:ext cx="295275" cy="190500"/>
        </a:xfrm>
        <a:custGeom>
          <a:pathLst>
            <a:path h="191329" w="298174">
              <a:moveTo>
                <a:pt x="39523" y="73164"/>
              </a:moveTo>
              <a:lnTo>
                <a:pt x="126587" y="73164"/>
              </a:lnTo>
              <a:lnTo>
                <a:pt x="126587" y="25361"/>
              </a:lnTo>
              <a:lnTo>
                <a:pt x="171587" y="25361"/>
              </a:lnTo>
              <a:lnTo>
                <a:pt x="171587" y="73164"/>
              </a:lnTo>
              <a:lnTo>
                <a:pt x="258651" y="73164"/>
              </a:lnTo>
              <a:lnTo>
                <a:pt x="258651" y="118165"/>
              </a:lnTo>
              <a:lnTo>
                <a:pt x="171587" y="118165"/>
              </a:lnTo>
              <a:lnTo>
                <a:pt x="171587" y="165968"/>
              </a:lnTo>
              <a:lnTo>
                <a:pt x="126587" y="165968"/>
              </a:lnTo>
              <a:lnTo>
                <a:pt x="126587" y="118165"/>
              </a:lnTo>
              <a:lnTo>
                <a:pt x="39523" y="118165"/>
              </a:lnTo>
              <a:lnTo>
                <a:pt x="39523" y="73164"/>
              </a:lnTo>
              <a:close/>
            </a:path>
          </a:pathLst>
        </a:cu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52</xdr:row>
      <xdr:rowOff>142875</xdr:rowOff>
    </xdr:from>
    <xdr:to>
      <xdr:col>5</xdr:col>
      <xdr:colOff>466725</xdr:colOff>
      <xdr:row>54</xdr:row>
      <xdr:rowOff>28575</xdr:rowOff>
    </xdr:to>
    <xdr:sp>
      <xdr:nvSpPr>
        <xdr:cNvPr id="8" name="Igual que 9"/>
        <xdr:cNvSpPr>
          <a:spLocks/>
        </xdr:cNvSpPr>
      </xdr:nvSpPr>
      <xdr:spPr>
        <a:xfrm>
          <a:off x="3886200" y="11182350"/>
          <a:ext cx="247650" cy="209550"/>
        </a:xfrm>
        <a:custGeom>
          <a:pathLst>
            <a:path h="216177" w="240197">
              <a:moveTo>
                <a:pt x="31838" y="44532"/>
              </a:moveTo>
              <a:lnTo>
                <a:pt x="208359" y="44532"/>
              </a:lnTo>
              <a:lnTo>
                <a:pt x="208359" y="95377"/>
              </a:lnTo>
              <a:lnTo>
                <a:pt x="31838" y="95377"/>
              </a:lnTo>
              <a:lnTo>
                <a:pt x="31838" y="44532"/>
              </a:lnTo>
              <a:close/>
              <a:moveTo>
                <a:pt x="31838" y="44532"/>
              </a:moveTo>
              <a:lnTo>
                <a:pt x="31838" y="120800"/>
              </a:lnTo>
              <a:lnTo>
                <a:pt x="208359" y="120800"/>
              </a:lnTo>
              <a:lnTo>
                <a:pt x="208359" y="171645"/>
              </a:lnTo>
              <a:lnTo>
                <a:pt x="31838" y="171645"/>
              </a:lnTo>
              <a:close/>
            </a:path>
          </a:pathLst>
        </a:cu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428625</xdr:colOff>
      <xdr:row>35</xdr:row>
      <xdr:rowOff>142875</xdr:rowOff>
    </xdr:from>
    <xdr:to>
      <xdr:col>21</xdr:col>
      <xdr:colOff>228600</xdr:colOff>
      <xdr:row>51</xdr:row>
      <xdr:rowOff>57150</xdr:rowOff>
    </xdr:to>
    <xdr:graphicFrame>
      <xdr:nvGraphicFramePr>
        <xdr:cNvPr id="9" name="Gráfico 1"/>
        <xdr:cNvGraphicFramePr/>
      </xdr:nvGraphicFramePr>
      <xdr:xfrm>
        <a:off x="11944350" y="8124825"/>
        <a:ext cx="4572000" cy="2809875"/>
      </xdr:xfrm>
      <a:graphic>
        <a:graphicData uri="http://schemas.openxmlformats.org/drawingml/2006/chart">
          <c:chart xmlns:c="http://schemas.openxmlformats.org/drawingml/2006/chart" r:id="rId1"/>
        </a:graphicData>
      </a:graphic>
    </xdr:graphicFrame>
    <xdr:clientData/>
  </xdr:twoCellAnchor>
  <xdr:twoCellAnchor>
    <xdr:from>
      <xdr:col>15</xdr:col>
      <xdr:colOff>400050</xdr:colOff>
      <xdr:row>51</xdr:row>
      <xdr:rowOff>133350</xdr:rowOff>
    </xdr:from>
    <xdr:to>
      <xdr:col>21</xdr:col>
      <xdr:colOff>200025</xdr:colOff>
      <xdr:row>68</xdr:row>
      <xdr:rowOff>114300</xdr:rowOff>
    </xdr:to>
    <xdr:graphicFrame>
      <xdr:nvGraphicFramePr>
        <xdr:cNvPr id="10" name="Gráfico 1"/>
        <xdr:cNvGraphicFramePr/>
      </xdr:nvGraphicFramePr>
      <xdr:xfrm>
        <a:off x="11915775" y="11010900"/>
        <a:ext cx="4572000" cy="2914650"/>
      </xdr:xfrm>
      <a:graphic>
        <a:graphicData uri="http://schemas.openxmlformats.org/drawingml/2006/chart">
          <c:chart xmlns:c="http://schemas.openxmlformats.org/drawingml/2006/chart" r:id="rId2"/>
        </a:graphicData>
      </a:graphic>
    </xdr:graphicFrame>
    <xdr:clientData/>
  </xdr:twoCellAnchor>
  <xdr:twoCellAnchor>
    <xdr:from>
      <xdr:col>15</xdr:col>
      <xdr:colOff>400050</xdr:colOff>
      <xdr:row>69</xdr:row>
      <xdr:rowOff>76200</xdr:rowOff>
    </xdr:from>
    <xdr:to>
      <xdr:col>21</xdr:col>
      <xdr:colOff>200025</xdr:colOff>
      <xdr:row>86</xdr:row>
      <xdr:rowOff>57150</xdr:rowOff>
    </xdr:to>
    <xdr:graphicFrame>
      <xdr:nvGraphicFramePr>
        <xdr:cNvPr id="11" name="Gráfico 10"/>
        <xdr:cNvGraphicFramePr/>
      </xdr:nvGraphicFramePr>
      <xdr:xfrm>
        <a:off x="11915775" y="14049375"/>
        <a:ext cx="4572000" cy="2743200"/>
      </xdr:xfrm>
      <a:graphic>
        <a:graphicData uri="http://schemas.openxmlformats.org/drawingml/2006/chart">
          <c:chart xmlns:c="http://schemas.openxmlformats.org/drawingml/2006/chart" r:id="rId3"/>
        </a:graphicData>
      </a:graphic>
    </xdr:graphicFrame>
    <xdr:clientData/>
  </xdr:twoCellAnchor>
  <xdr:twoCellAnchor editAs="oneCell">
    <xdr:from>
      <xdr:col>21</xdr:col>
      <xdr:colOff>809625</xdr:colOff>
      <xdr:row>35</xdr:row>
      <xdr:rowOff>114300</xdr:rowOff>
    </xdr:from>
    <xdr:to>
      <xdr:col>28</xdr:col>
      <xdr:colOff>714375</xdr:colOff>
      <xdr:row>56</xdr:row>
      <xdr:rowOff>38100</xdr:rowOff>
    </xdr:to>
    <xdr:pic>
      <xdr:nvPicPr>
        <xdr:cNvPr id="12" name="Imagen 14"/>
        <xdr:cNvPicPr preferRelativeResize="1">
          <a:picLocks noChangeAspect="1"/>
        </xdr:cNvPicPr>
      </xdr:nvPicPr>
      <xdr:blipFill>
        <a:blip r:embed="rId4"/>
        <a:stretch>
          <a:fillRect/>
        </a:stretch>
      </xdr:blipFill>
      <xdr:spPr>
        <a:xfrm>
          <a:off x="17097375" y="8096250"/>
          <a:ext cx="5286375"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142875</xdr:rowOff>
    </xdr:from>
    <xdr:to>
      <xdr:col>15</xdr:col>
      <xdr:colOff>266700</xdr:colOff>
      <xdr:row>15</xdr:row>
      <xdr:rowOff>28575</xdr:rowOff>
    </xdr:to>
    <xdr:graphicFrame>
      <xdr:nvGraphicFramePr>
        <xdr:cNvPr id="1" name="Gráfico 4"/>
        <xdr:cNvGraphicFramePr/>
      </xdr:nvGraphicFramePr>
      <xdr:xfrm>
        <a:off x="6848475" y="3429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52</xdr:row>
      <xdr:rowOff>152400</xdr:rowOff>
    </xdr:from>
    <xdr:to>
      <xdr:col>4</xdr:col>
      <xdr:colOff>419100</xdr:colOff>
      <xdr:row>54</xdr:row>
      <xdr:rowOff>19050</xdr:rowOff>
    </xdr:to>
    <xdr:sp>
      <xdr:nvSpPr>
        <xdr:cNvPr id="1" name="Más 44"/>
        <xdr:cNvSpPr>
          <a:spLocks/>
        </xdr:cNvSpPr>
      </xdr:nvSpPr>
      <xdr:spPr>
        <a:xfrm>
          <a:off x="2390775" y="11191875"/>
          <a:ext cx="295275" cy="190500"/>
        </a:xfrm>
        <a:custGeom>
          <a:pathLst>
            <a:path h="191329" w="298174">
              <a:moveTo>
                <a:pt x="39523" y="73164"/>
              </a:moveTo>
              <a:lnTo>
                <a:pt x="126587" y="73164"/>
              </a:lnTo>
              <a:lnTo>
                <a:pt x="126587" y="25361"/>
              </a:lnTo>
              <a:lnTo>
                <a:pt x="171587" y="25361"/>
              </a:lnTo>
              <a:lnTo>
                <a:pt x="171587" y="73164"/>
              </a:lnTo>
              <a:lnTo>
                <a:pt x="258651" y="73164"/>
              </a:lnTo>
              <a:lnTo>
                <a:pt x="258651" y="118165"/>
              </a:lnTo>
              <a:lnTo>
                <a:pt x="171587" y="118165"/>
              </a:lnTo>
              <a:lnTo>
                <a:pt x="171587" y="165968"/>
              </a:lnTo>
              <a:lnTo>
                <a:pt x="126587" y="165968"/>
              </a:lnTo>
              <a:lnTo>
                <a:pt x="126587" y="118165"/>
              </a:lnTo>
              <a:lnTo>
                <a:pt x="39523" y="118165"/>
              </a:lnTo>
              <a:lnTo>
                <a:pt x="39523" y="73164"/>
              </a:lnTo>
              <a:close/>
            </a:path>
          </a:pathLst>
        </a:cu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52</xdr:row>
      <xdr:rowOff>142875</xdr:rowOff>
    </xdr:from>
    <xdr:to>
      <xdr:col>6</xdr:col>
      <xdr:colOff>466725</xdr:colOff>
      <xdr:row>54</xdr:row>
      <xdr:rowOff>28575</xdr:rowOff>
    </xdr:to>
    <xdr:sp>
      <xdr:nvSpPr>
        <xdr:cNvPr id="2" name="Igual que 45"/>
        <xdr:cNvSpPr>
          <a:spLocks/>
        </xdr:cNvSpPr>
      </xdr:nvSpPr>
      <xdr:spPr>
        <a:xfrm>
          <a:off x="4057650" y="11182350"/>
          <a:ext cx="247650" cy="209550"/>
        </a:xfrm>
        <a:custGeom>
          <a:pathLst>
            <a:path h="216177" w="240197">
              <a:moveTo>
                <a:pt x="31838" y="44532"/>
              </a:moveTo>
              <a:lnTo>
                <a:pt x="208359" y="44532"/>
              </a:lnTo>
              <a:lnTo>
                <a:pt x="208359" y="95377"/>
              </a:lnTo>
              <a:lnTo>
                <a:pt x="31838" y="95377"/>
              </a:lnTo>
              <a:lnTo>
                <a:pt x="31838" y="44532"/>
              </a:lnTo>
              <a:close/>
              <a:moveTo>
                <a:pt x="31838" y="44532"/>
              </a:moveTo>
              <a:lnTo>
                <a:pt x="31838" y="120800"/>
              </a:lnTo>
              <a:lnTo>
                <a:pt x="208359" y="120800"/>
              </a:lnTo>
              <a:lnTo>
                <a:pt x="208359" y="171645"/>
              </a:lnTo>
              <a:lnTo>
                <a:pt x="31838" y="171645"/>
              </a:lnTo>
              <a:close/>
            </a:path>
          </a:pathLst>
        </a:custGeom>
        <a:solidFill>
          <a:srgbClr val="00000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638175</xdr:colOff>
      <xdr:row>36</xdr:row>
      <xdr:rowOff>19050</xdr:rowOff>
    </xdr:from>
    <xdr:to>
      <xdr:col>22</xdr:col>
      <xdr:colOff>438150</xdr:colOff>
      <xdr:row>53</xdr:row>
      <xdr:rowOff>57150</xdr:rowOff>
    </xdr:to>
    <xdr:graphicFrame>
      <xdr:nvGraphicFramePr>
        <xdr:cNvPr id="3" name="Gráfico 47"/>
        <xdr:cNvGraphicFramePr/>
      </xdr:nvGraphicFramePr>
      <xdr:xfrm>
        <a:off x="12372975" y="8162925"/>
        <a:ext cx="4572000" cy="3095625"/>
      </xdr:xfrm>
      <a:graphic>
        <a:graphicData uri="http://schemas.openxmlformats.org/drawingml/2006/chart">
          <c:chart xmlns:c="http://schemas.openxmlformats.org/drawingml/2006/chart" r:id="rId1"/>
        </a:graphicData>
      </a:graphic>
    </xdr:graphicFrame>
    <xdr:clientData/>
  </xdr:twoCellAnchor>
  <xdr:twoCellAnchor>
    <xdr:from>
      <xdr:col>16</xdr:col>
      <xdr:colOff>638175</xdr:colOff>
      <xdr:row>53</xdr:row>
      <xdr:rowOff>133350</xdr:rowOff>
    </xdr:from>
    <xdr:to>
      <xdr:col>22</xdr:col>
      <xdr:colOff>438150</xdr:colOff>
      <xdr:row>69</xdr:row>
      <xdr:rowOff>85725</xdr:rowOff>
    </xdr:to>
    <xdr:graphicFrame>
      <xdr:nvGraphicFramePr>
        <xdr:cNvPr id="4" name="Gráfico 48"/>
        <xdr:cNvGraphicFramePr/>
      </xdr:nvGraphicFramePr>
      <xdr:xfrm>
        <a:off x="12372975" y="11334750"/>
        <a:ext cx="4572000" cy="2867025"/>
      </xdr:xfrm>
      <a:graphic>
        <a:graphicData uri="http://schemas.openxmlformats.org/drawingml/2006/chart">
          <c:chart xmlns:c="http://schemas.openxmlformats.org/drawingml/2006/chart" r:id="rId2"/>
        </a:graphicData>
      </a:graphic>
    </xdr:graphicFrame>
    <xdr:clientData/>
  </xdr:twoCellAnchor>
  <xdr:twoCellAnchor>
    <xdr:from>
      <xdr:col>16</xdr:col>
      <xdr:colOff>657225</xdr:colOff>
      <xdr:row>70</xdr:row>
      <xdr:rowOff>104775</xdr:rowOff>
    </xdr:from>
    <xdr:to>
      <xdr:col>22</xdr:col>
      <xdr:colOff>457200</xdr:colOff>
      <xdr:row>87</xdr:row>
      <xdr:rowOff>95250</xdr:rowOff>
    </xdr:to>
    <xdr:graphicFrame>
      <xdr:nvGraphicFramePr>
        <xdr:cNvPr id="5" name="Gráfico 49"/>
        <xdr:cNvGraphicFramePr/>
      </xdr:nvGraphicFramePr>
      <xdr:xfrm>
        <a:off x="12392025" y="14392275"/>
        <a:ext cx="4572000" cy="2924175"/>
      </xdr:xfrm>
      <a:graphic>
        <a:graphicData uri="http://schemas.openxmlformats.org/drawingml/2006/chart">
          <c:chart xmlns:c="http://schemas.openxmlformats.org/drawingml/2006/chart" r:id="rId3"/>
        </a:graphicData>
      </a:graphic>
    </xdr:graphicFrame>
    <xdr:clientData/>
  </xdr:twoCellAnchor>
  <xdr:twoCellAnchor>
    <xdr:from>
      <xdr:col>16</xdr:col>
      <xdr:colOff>676275</xdr:colOff>
      <xdr:row>88</xdr:row>
      <xdr:rowOff>28575</xdr:rowOff>
    </xdr:from>
    <xdr:to>
      <xdr:col>22</xdr:col>
      <xdr:colOff>476250</xdr:colOff>
      <xdr:row>114</xdr:row>
      <xdr:rowOff>133350</xdr:rowOff>
    </xdr:to>
    <xdr:graphicFrame>
      <xdr:nvGraphicFramePr>
        <xdr:cNvPr id="6" name="Gráfico 1"/>
        <xdr:cNvGraphicFramePr/>
      </xdr:nvGraphicFramePr>
      <xdr:xfrm>
        <a:off x="12411075" y="17411700"/>
        <a:ext cx="4572000" cy="4457700"/>
      </xdr:xfrm>
      <a:graphic>
        <a:graphicData uri="http://schemas.openxmlformats.org/drawingml/2006/chart">
          <c:chart xmlns:c="http://schemas.openxmlformats.org/drawingml/2006/chart" r:id="rId4"/>
        </a:graphicData>
      </a:graphic>
    </xdr:graphicFrame>
    <xdr:clientData/>
  </xdr:twoCellAnchor>
  <xdr:twoCellAnchor>
    <xdr:from>
      <xdr:col>17</xdr:col>
      <xdr:colOff>561975</xdr:colOff>
      <xdr:row>99</xdr:row>
      <xdr:rowOff>133350</xdr:rowOff>
    </xdr:from>
    <xdr:to>
      <xdr:col>21</xdr:col>
      <xdr:colOff>400050</xdr:colOff>
      <xdr:row>111</xdr:row>
      <xdr:rowOff>47625</xdr:rowOff>
    </xdr:to>
    <xdr:sp>
      <xdr:nvSpPr>
        <xdr:cNvPr id="7" name="Conector recto 3"/>
        <xdr:cNvSpPr>
          <a:spLocks/>
        </xdr:cNvSpPr>
      </xdr:nvSpPr>
      <xdr:spPr>
        <a:xfrm flipV="1">
          <a:off x="13125450" y="19440525"/>
          <a:ext cx="2990850" cy="1857375"/>
        </a:xfrm>
        <a:prstGeom prst="line">
          <a:avLst/>
        </a:prstGeom>
        <a:noFill/>
        <a:ln w="6350" cmpd="sng">
          <a:solidFill>
            <a:srgbClr val="FF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657225</xdr:colOff>
      <xdr:row>115</xdr:row>
      <xdr:rowOff>76200</xdr:rowOff>
    </xdr:from>
    <xdr:to>
      <xdr:col>22</xdr:col>
      <xdr:colOff>447675</xdr:colOff>
      <xdr:row>146</xdr:row>
      <xdr:rowOff>85725</xdr:rowOff>
    </xdr:to>
    <xdr:graphicFrame>
      <xdr:nvGraphicFramePr>
        <xdr:cNvPr id="8" name="Gráfico 13"/>
        <xdr:cNvGraphicFramePr/>
      </xdr:nvGraphicFramePr>
      <xdr:xfrm>
        <a:off x="12392025" y="21974175"/>
        <a:ext cx="4562475" cy="5029200"/>
      </xdr:xfrm>
      <a:graphic>
        <a:graphicData uri="http://schemas.openxmlformats.org/drawingml/2006/chart">
          <c:chart xmlns:c="http://schemas.openxmlformats.org/drawingml/2006/chart" r:id="rId5"/>
        </a:graphicData>
      </a:graphic>
    </xdr:graphicFrame>
    <xdr:clientData/>
  </xdr:twoCellAnchor>
  <xdr:twoCellAnchor>
    <xdr:from>
      <xdr:col>17</xdr:col>
      <xdr:colOff>457200</xdr:colOff>
      <xdr:row>129</xdr:row>
      <xdr:rowOff>104775</xdr:rowOff>
    </xdr:from>
    <xdr:to>
      <xdr:col>22</xdr:col>
      <xdr:colOff>123825</xdr:colOff>
      <xdr:row>141</xdr:row>
      <xdr:rowOff>104775</xdr:rowOff>
    </xdr:to>
    <xdr:sp>
      <xdr:nvSpPr>
        <xdr:cNvPr id="9" name="Conector recto 15"/>
        <xdr:cNvSpPr>
          <a:spLocks/>
        </xdr:cNvSpPr>
      </xdr:nvSpPr>
      <xdr:spPr>
        <a:xfrm flipV="1">
          <a:off x="13020675" y="24269700"/>
          <a:ext cx="3609975" cy="1943100"/>
        </a:xfrm>
        <a:prstGeom prst="line">
          <a:avLst/>
        </a:prstGeom>
        <a:noFill/>
        <a:ln w="12700" cmpd="sng">
          <a:solidFill>
            <a:srgbClr val="FF6600"/>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438150</xdr:colOff>
      <xdr:row>124</xdr:row>
      <xdr:rowOff>19050</xdr:rowOff>
    </xdr:from>
    <xdr:to>
      <xdr:col>22</xdr:col>
      <xdr:colOff>133350</xdr:colOff>
      <xdr:row>141</xdr:row>
      <xdr:rowOff>95250</xdr:rowOff>
    </xdr:to>
    <xdr:sp>
      <xdr:nvSpPr>
        <xdr:cNvPr id="10" name="Conector recto 17"/>
        <xdr:cNvSpPr>
          <a:spLocks/>
        </xdr:cNvSpPr>
      </xdr:nvSpPr>
      <xdr:spPr>
        <a:xfrm flipV="1">
          <a:off x="13001625" y="23374350"/>
          <a:ext cx="3638550" cy="2828925"/>
        </a:xfrm>
        <a:prstGeom prst="line">
          <a:avLst/>
        </a:prstGeom>
        <a:noFill/>
        <a:ln w="12700" cmpd="sng">
          <a:solidFill>
            <a:srgbClr val="5B9BD5"/>
          </a:solidFill>
          <a:prstDash val="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371475</xdr:colOff>
      <xdr:row>74</xdr:row>
      <xdr:rowOff>95250</xdr:rowOff>
    </xdr:from>
    <xdr:to>
      <xdr:col>12</xdr:col>
      <xdr:colOff>704850</xdr:colOff>
      <xdr:row>79</xdr:row>
      <xdr:rowOff>180975</xdr:rowOff>
    </xdr:to>
    <xdr:sp>
      <xdr:nvSpPr>
        <xdr:cNvPr id="11" name="Forma libre 8"/>
        <xdr:cNvSpPr>
          <a:spLocks/>
        </xdr:cNvSpPr>
      </xdr:nvSpPr>
      <xdr:spPr>
        <a:xfrm>
          <a:off x="5943600" y="15049500"/>
          <a:ext cx="3543300" cy="904875"/>
        </a:xfrm>
        <a:custGeom>
          <a:pathLst>
            <a:path h="920235" w="3536674">
              <a:moveTo>
                <a:pt x="3536674" y="787713"/>
              </a:moveTo>
              <a:cubicBezTo>
                <a:pt x="3243332" y="383245"/>
                <a:pt x="2949990" y="-21222"/>
                <a:pt x="2360544" y="865"/>
              </a:cubicBezTo>
              <a:cubicBezTo>
                <a:pt x="1771098" y="22952"/>
                <a:pt x="885549" y="471593"/>
                <a:pt x="0" y="920235"/>
              </a:cubicBezTo>
            </a:path>
          </a:pathLst>
        </a:custGeom>
        <a:no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83</xdr:row>
      <xdr:rowOff>152400</xdr:rowOff>
    </xdr:from>
    <xdr:to>
      <xdr:col>14</xdr:col>
      <xdr:colOff>238125</xdr:colOff>
      <xdr:row>87</xdr:row>
      <xdr:rowOff>9525</xdr:rowOff>
    </xdr:to>
    <xdr:sp>
      <xdr:nvSpPr>
        <xdr:cNvPr id="12" name="Forma libre 9"/>
        <xdr:cNvSpPr>
          <a:spLocks/>
        </xdr:cNvSpPr>
      </xdr:nvSpPr>
      <xdr:spPr>
        <a:xfrm>
          <a:off x="5943600" y="16725900"/>
          <a:ext cx="4600575" cy="504825"/>
        </a:xfrm>
        <a:custGeom>
          <a:pathLst>
            <a:path h="531467" w="4596848">
              <a:moveTo>
                <a:pt x="4596848" y="57978"/>
              </a:moveTo>
              <a:cubicBezTo>
                <a:pt x="3828636" y="294722"/>
                <a:pt x="3060424" y="531467"/>
                <a:pt x="2294283" y="521804"/>
              </a:cubicBezTo>
              <a:cubicBezTo>
                <a:pt x="1528142" y="512141"/>
                <a:pt x="0" y="0"/>
                <a:pt x="0" y="0"/>
              </a:cubicBezTo>
              <a:lnTo>
                <a:pt x="0" y="0"/>
              </a:lnTo>
            </a:path>
          </a:pathLst>
        </a:custGeom>
        <a:no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54</xdr:row>
      <xdr:rowOff>228600</xdr:rowOff>
    </xdr:from>
    <xdr:to>
      <xdr:col>4</xdr:col>
      <xdr:colOff>504825</xdr:colOff>
      <xdr:row>57</xdr:row>
      <xdr:rowOff>152400</xdr:rowOff>
    </xdr:to>
    <xdr:pic>
      <xdr:nvPicPr>
        <xdr:cNvPr id="1" name="Picture 6"/>
        <xdr:cNvPicPr preferRelativeResize="1">
          <a:picLocks noChangeAspect="1"/>
        </xdr:cNvPicPr>
      </xdr:nvPicPr>
      <xdr:blipFill>
        <a:blip r:embed="rId1"/>
        <a:srcRect l="39584" t="78437" r="39166" b="13999"/>
        <a:stretch>
          <a:fillRect/>
        </a:stretch>
      </xdr:blipFill>
      <xdr:spPr>
        <a:xfrm>
          <a:off x="1676400" y="10629900"/>
          <a:ext cx="3009900" cy="571500"/>
        </a:xfrm>
        <a:prstGeom prst="rect">
          <a:avLst/>
        </a:prstGeom>
        <a:noFill/>
        <a:ln w="9525" cmpd="sng">
          <a:noFill/>
        </a:ln>
      </xdr:spPr>
    </xdr:pic>
    <xdr:clientData/>
  </xdr:twoCellAnchor>
  <xdr:twoCellAnchor>
    <xdr:from>
      <xdr:col>13</xdr:col>
      <xdr:colOff>228600</xdr:colOff>
      <xdr:row>12</xdr:row>
      <xdr:rowOff>9525</xdr:rowOff>
    </xdr:from>
    <xdr:to>
      <xdr:col>13</xdr:col>
      <xdr:colOff>228600</xdr:colOff>
      <xdr:row>14</xdr:row>
      <xdr:rowOff>114300</xdr:rowOff>
    </xdr:to>
    <xdr:sp>
      <xdr:nvSpPr>
        <xdr:cNvPr id="2" name="Line 9"/>
        <xdr:cNvSpPr>
          <a:spLocks/>
        </xdr:cNvSpPr>
      </xdr:nvSpPr>
      <xdr:spPr>
        <a:xfrm>
          <a:off x="11811000" y="211455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180975</xdr:colOff>
      <xdr:row>13</xdr:row>
      <xdr:rowOff>38100</xdr:rowOff>
    </xdr:from>
    <xdr:to>
      <xdr:col>14</xdr:col>
      <xdr:colOff>180975</xdr:colOff>
      <xdr:row>14</xdr:row>
      <xdr:rowOff>123825</xdr:rowOff>
    </xdr:to>
    <xdr:sp>
      <xdr:nvSpPr>
        <xdr:cNvPr id="3" name="Line 10"/>
        <xdr:cNvSpPr>
          <a:spLocks/>
        </xdr:cNvSpPr>
      </xdr:nvSpPr>
      <xdr:spPr>
        <a:xfrm>
          <a:off x="12525375" y="23050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733425</xdr:colOff>
      <xdr:row>84</xdr:row>
      <xdr:rowOff>19050</xdr:rowOff>
    </xdr:from>
    <xdr:to>
      <xdr:col>19</xdr:col>
      <xdr:colOff>495300</xdr:colOff>
      <xdr:row>93</xdr:row>
      <xdr:rowOff>152400</xdr:rowOff>
    </xdr:to>
    <xdr:pic>
      <xdr:nvPicPr>
        <xdr:cNvPr id="4" name="Imagen 6"/>
        <xdr:cNvPicPr preferRelativeResize="1">
          <a:picLocks noChangeAspect="1"/>
        </xdr:cNvPicPr>
      </xdr:nvPicPr>
      <xdr:blipFill>
        <a:blip r:embed="rId2"/>
        <a:stretch>
          <a:fillRect/>
        </a:stretch>
      </xdr:blipFill>
      <xdr:spPr>
        <a:xfrm>
          <a:off x="10696575" y="16182975"/>
          <a:ext cx="595312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91"/>
  <sheetViews>
    <sheetView tabSelected="1" zoomScalePageLayoutView="0" workbookViewId="0" topLeftCell="A1">
      <selection activeCell="A1" sqref="A1"/>
    </sheetView>
  </sheetViews>
  <sheetFormatPr defaultColWidth="11.421875" defaultRowHeight="12.75"/>
  <cols>
    <col min="1" max="1" width="9.57421875" style="1" customWidth="1"/>
    <col min="2" max="2" width="12.57421875" style="1" customWidth="1"/>
    <col min="3" max="3" width="9.28125" style="1" customWidth="1"/>
    <col min="4" max="4" width="10.57421875" style="1" customWidth="1"/>
    <col min="5" max="5" width="13.00390625" style="1" customWidth="1"/>
    <col min="6" max="6" width="13.28125" style="1" customWidth="1"/>
    <col min="7" max="7" width="11.421875" style="1" customWidth="1"/>
    <col min="8" max="8" width="13.421875" style="1" customWidth="1"/>
    <col min="9" max="9" width="10.7109375" style="1" customWidth="1"/>
    <col min="10" max="10" width="12.57421875" style="1" customWidth="1"/>
    <col min="11" max="11" width="9.28125" style="1" customWidth="1"/>
    <col min="12" max="13" width="11.421875" style="1" customWidth="1"/>
    <col min="14" max="14" width="12.421875" style="1" customWidth="1"/>
    <col min="15" max="15" width="11.7109375" style="2" customWidth="1"/>
    <col min="16" max="16" width="12.421875" style="2" customWidth="1"/>
    <col min="17" max="17" width="11.28125" style="2" customWidth="1"/>
    <col min="18" max="18" width="10.140625" style="2" customWidth="1"/>
    <col min="19" max="19" width="13.00390625" style="2" customWidth="1"/>
    <col min="20" max="20" width="12.8515625" style="2" customWidth="1"/>
    <col min="21" max="21" width="11.8515625" style="2" customWidth="1"/>
    <col min="22" max="22" width="12.140625" style="2" customWidth="1"/>
    <col min="23" max="23" width="11.421875" style="2" customWidth="1"/>
    <col min="24" max="16384" width="11.421875" style="1" customWidth="1"/>
  </cols>
  <sheetData>
    <row r="1" ht="18.75" customHeight="1">
      <c r="A1" s="62" t="s">
        <v>124</v>
      </c>
    </row>
    <row r="2" spans="1:12" ht="27.75" customHeight="1">
      <c r="A2" s="273" t="s">
        <v>164</v>
      </c>
      <c r="B2" s="273"/>
      <c r="C2" s="273"/>
      <c r="D2" s="273"/>
      <c r="E2" s="273"/>
      <c r="F2" s="273"/>
      <c r="G2" s="273"/>
      <c r="H2" s="273"/>
      <c r="I2" s="273"/>
      <c r="J2" s="273"/>
      <c r="K2" s="273"/>
      <c r="L2" s="273"/>
    </row>
    <row r="3" spans="1:12" ht="54" customHeight="1">
      <c r="A3" s="273" t="s">
        <v>137</v>
      </c>
      <c r="B3" s="273"/>
      <c r="C3" s="273"/>
      <c r="D3" s="273"/>
      <c r="E3" s="273"/>
      <c r="F3" s="273"/>
      <c r="G3" s="273"/>
      <c r="H3" s="273"/>
      <c r="I3" s="273"/>
      <c r="J3" s="273"/>
      <c r="K3" s="273"/>
      <c r="L3" s="273"/>
    </row>
    <row r="4" spans="1:12" ht="34.5" customHeight="1">
      <c r="A4" s="273" t="s">
        <v>238</v>
      </c>
      <c r="B4" s="273"/>
      <c r="C4" s="273"/>
      <c r="D4" s="273"/>
      <c r="E4" s="273"/>
      <c r="F4" s="273"/>
      <c r="G4" s="273"/>
      <c r="H4" s="273"/>
      <c r="I4" s="273"/>
      <c r="J4" s="273"/>
      <c r="K4" s="273"/>
      <c r="L4" s="273"/>
    </row>
    <row r="5" spans="1:12" ht="29.25" customHeight="1">
      <c r="A5" s="273" t="s">
        <v>138</v>
      </c>
      <c r="B5" s="273"/>
      <c r="C5" s="273"/>
      <c r="D5" s="273"/>
      <c r="E5" s="273"/>
      <c r="F5" s="273"/>
      <c r="G5" s="273"/>
      <c r="H5" s="273"/>
      <c r="I5" s="273"/>
      <c r="J5" s="273"/>
      <c r="K5" s="273"/>
      <c r="L5" s="273"/>
    </row>
    <row r="6" spans="1:11" ht="12.75" customHeight="1">
      <c r="A6" s="50"/>
      <c r="B6" s="50"/>
      <c r="C6" s="50"/>
      <c r="D6" s="50"/>
      <c r="E6" s="50"/>
      <c r="F6" s="50"/>
      <c r="G6" s="50"/>
      <c r="H6" s="50"/>
      <c r="I6" s="50"/>
      <c r="J6" s="50"/>
      <c r="K6" s="50"/>
    </row>
    <row r="7" ht="12.75">
      <c r="C7" s="4"/>
    </row>
    <row r="8" spans="1:14" ht="12.75">
      <c r="A8" s="48" t="s">
        <v>288</v>
      </c>
      <c r="C8" s="4"/>
      <c r="K8" s="47"/>
      <c r="L8" s="2"/>
      <c r="M8" s="2"/>
      <c r="N8" s="2"/>
    </row>
    <row r="9" spans="1:14" ht="12.75">
      <c r="A9" s="49" t="s">
        <v>122</v>
      </c>
      <c r="C9" s="4"/>
      <c r="K9" s="47"/>
      <c r="L9" s="2"/>
      <c r="M9" s="2"/>
      <c r="N9" s="2"/>
    </row>
    <row r="10" spans="1:19" ht="12.75">
      <c r="A10" s="3" t="s">
        <v>101</v>
      </c>
      <c r="B10" s="7"/>
      <c r="C10" s="4"/>
      <c r="Q10" s="5"/>
      <c r="R10" s="5"/>
      <c r="S10" s="6"/>
    </row>
    <row r="11" spans="1:28" ht="59.25" customHeight="1">
      <c r="A11" s="8" t="s">
        <v>126</v>
      </c>
      <c r="B11" s="8" t="s">
        <v>165</v>
      </c>
      <c r="C11" s="8" t="s">
        <v>166</v>
      </c>
      <c r="D11" s="42" t="s">
        <v>168</v>
      </c>
      <c r="E11" s="42" t="s">
        <v>167</v>
      </c>
      <c r="F11" s="9" t="s">
        <v>127</v>
      </c>
      <c r="G11" s="9" t="s">
        <v>102</v>
      </c>
      <c r="H11" s="10" t="s">
        <v>169</v>
      </c>
      <c r="I11" s="11" t="s">
        <v>139</v>
      </c>
      <c r="J11" s="11" t="s">
        <v>140</v>
      </c>
      <c r="K11" s="11" t="s">
        <v>141</v>
      </c>
      <c r="L11" s="11" t="s">
        <v>142</v>
      </c>
      <c r="M11" s="11" t="s">
        <v>143</v>
      </c>
      <c r="N11" s="8" t="s">
        <v>103</v>
      </c>
      <c r="O11" s="8" t="s">
        <v>144</v>
      </c>
      <c r="P11" s="12" t="s">
        <v>104</v>
      </c>
      <c r="Q11" s="12" t="s">
        <v>105</v>
      </c>
      <c r="R11" s="13" t="s">
        <v>106</v>
      </c>
      <c r="S11" s="14" t="s">
        <v>107</v>
      </c>
      <c r="T11" s="14" t="s">
        <v>108</v>
      </c>
      <c r="V11" s="8" t="s">
        <v>289</v>
      </c>
      <c r="W11" s="8" t="s">
        <v>290</v>
      </c>
      <c r="X11" s="8" t="s">
        <v>291</v>
      </c>
      <c r="Y11" s="8" t="s">
        <v>292</v>
      </c>
      <c r="Z11" s="42" t="s">
        <v>293</v>
      </c>
      <c r="AB11" s="297" t="s">
        <v>294</v>
      </c>
    </row>
    <row r="12" spans="1:26" ht="12.75">
      <c r="A12" s="8">
        <v>0</v>
      </c>
      <c r="B12" s="8">
        <v>145</v>
      </c>
      <c r="C12" s="8">
        <v>0</v>
      </c>
      <c r="D12" s="267">
        <v>0</v>
      </c>
      <c r="E12" s="268">
        <f>B12-C12-D12</f>
        <v>145</v>
      </c>
      <c r="F12" s="41">
        <f>C12/B12</f>
        <v>0</v>
      </c>
      <c r="G12" s="45">
        <f>1-F12</f>
        <v>1</v>
      </c>
      <c r="H12" s="269">
        <f>G12</f>
        <v>1</v>
      </c>
      <c r="I12" s="17">
        <f>(LN(H12))^2</f>
        <v>0</v>
      </c>
      <c r="J12" s="18">
        <f>B12-E12</f>
        <v>0</v>
      </c>
      <c r="K12" s="18">
        <f>B12*E12</f>
        <v>21025</v>
      </c>
      <c r="L12" s="19">
        <f>J12/K12</f>
        <v>0</v>
      </c>
      <c r="M12" s="19">
        <f>L12</f>
        <v>0</v>
      </c>
      <c r="N12" s="20">
        <v>0</v>
      </c>
      <c r="O12" s="21">
        <f>-NORMSINV(2.5/100)</f>
        <v>1.9599639845400538</v>
      </c>
      <c r="P12" s="17">
        <f>O12*N12</f>
        <v>0</v>
      </c>
      <c r="Q12" s="22">
        <f>EXP(P12)</f>
        <v>1</v>
      </c>
      <c r="R12" s="22">
        <f>EXP(P12)</f>
        <v>1</v>
      </c>
      <c r="S12" s="266">
        <f>H12^Q12</f>
        <v>1</v>
      </c>
      <c r="T12" s="266">
        <f>H12^R12</f>
        <v>1</v>
      </c>
      <c r="V12" s="263"/>
      <c r="W12" s="263"/>
      <c r="X12" s="263"/>
      <c r="Y12" s="263"/>
      <c r="Z12" s="263"/>
    </row>
    <row r="13" spans="1:28" ht="12.75">
      <c r="A13" s="63">
        <v>3</v>
      </c>
      <c r="B13" s="15">
        <v>145</v>
      </c>
      <c r="C13" s="15">
        <v>19</v>
      </c>
      <c r="D13" s="43">
        <f>B13-E13-C13</f>
        <v>7</v>
      </c>
      <c r="E13" s="44">
        <v>119</v>
      </c>
      <c r="F13" s="16">
        <f>C13/B13</f>
        <v>0.1310344827586207</v>
      </c>
      <c r="G13" s="45">
        <f>1-F13</f>
        <v>0.8689655172413793</v>
      </c>
      <c r="H13" s="46">
        <f>G13*H12</f>
        <v>0.8689655172413793</v>
      </c>
      <c r="I13" s="17">
        <f>(LN(H13))^2</f>
        <v>0.019726718086638142</v>
      </c>
      <c r="J13" s="18">
        <f>B13-E13</f>
        <v>26</v>
      </c>
      <c r="K13" s="18">
        <f>B13*E13</f>
        <v>17255</v>
      </c>
      <c r="L13" s="19">
        <f>J13/K13</f>
        <v>0.001506809620399884</v>
      </c>
      <c r="M13" s="19">
        <f>L13</f>
        <v>0.001506809620399884</v>
      </c>
      <c r="N13" s="20">
        <v>0</v>
      </c>
      <c r="O13" s="21">
        <f>-NORMSINV(2.5/100)</f>
        <v>1.9599639845400538</v>
      </c>
      <c r="P13" s="17">
        <f>O13*N13</f>
        <v>0</v>
      </c>
      <c r="Q13" s="22">
        <f>EXP(P13)</f>
        <v>1</v>
      </c>
      <c r="R13" s="22">
        <f>EXP(P13)</f>
        <v>1</v>
      </c>
      <c r="S13" s="23">
        <f>H13^Q13</f>
        <v>0.8689655172413793</v>
      </c>
      <c r="T13" s="23">
        <f>H13^R13</f>
        <v>0.8689655172413793</v>
      </c>
      <c r="U13" s="24"/>
      <c r="V13" s="18">
        <f aca="true" t="shared" si="0" ref="V13:V20">A13</f>
        <v>3</v>
      </c>
      <c r="W13" s="264">
        <f>H13*(A13-A12)</f>
        <v>2.606896551724138</v>
      </c>
      <c r="X13" s="264">
        <f>(H12-H13)*(A13-A12)/2</f>
        <v>0.1965517241379311</v>
      </c>
      <c r="Y13" s="20">
        <f>SUM(W13:X13)</f>
        <v>2.8034482758620687</v>
      </c>
      <c r="Z13" s="265">
        <f>Y13</f>
        <v>2.8034482758620687</v>
      </c>
      <c r="AB13" s="296">
        <f>Z13-Z27</f>
        <v>0.020689655172413612</v>
      </c>
    </row>
    <row r="14" spans="1:28" ht="12.75">
      <c r="A14" s="63">
        <v>6</v>
      </c>
      <c r="B14" s="15">
        <v>119</v>
      </c>
      <c r="C14" s="15">
        <v>17</v>
      </c>
      <c r="D14" s="43">
        <f aca="true" t="shared" si="1" ref="D14:D20">B14-E14-C14</f>
        <v>11</v>
      </c>
      <c r="E14" s="44">
        <v>91</v>
      </c>
      <c r="F14" s="16">
        <f aca="true" t="shared" si="2" ref="F14:F20">C14/B14</f>
        <v>0.14285714285714285</v>
      </c>
      <c r="G14" s="45">
        <f aca="true" t="shared" si="3" ref="G14:G20">1-F14</f>
        <v>0.8571428571428572</v>
      </c>
      <c r="H14" s="46">
        <f>G14*H13</f>
        <v>0.7448275862068966</v>
      </c>
      <c r="I14" s="17">
        <f aca="true" t="shared" si="4" ref="I14:I20">(LN(H14))^2</f>
        <v>0.0867906420189389</v>
      </c>
      <c r="J14" s="18">
        <f aca="true" t="shared" si="5" ref="J14:J20">B14-E14</f>
        <v>28</v>
      </c>
      <c r="K14" s="18">
        <f aca="true" t="shared" si="6" ref="K14:K20">B14*E14</f>
        <v>10829</v>
      </c>
      <c r="L14" s="19">
        <f aca="true" t="shared" si="7" ref="L14:L20">J14/K14</f>
        <v>0.002585649644473174</v>
      </c>
      <c r="M14" s="19">
        <f>M13+L14</f>
        <v>0.004092459264873058</v>
      </c>
      <c r="N14" s="20">
        <f>SQRT((1/I14)*M14)</f>
        <v>0.21714794920154762</v>
      </c>
      <c r="O14" s="21">
        <f aca="true" t="shared" si="8" ref="O14:O20">-NORMSINV(2.5/100)</f>
        <v>1.9599639845400538</v>
      </c>
      <c r="P14" s="17">
        <f aca="true" t="shared" si="9" ref="P14:P20">O14*N14</f>
        <v>0.42560215975176646</v>
      </c>
      <c r="Q14" s="22">
        <f aca="true" t="shared" si="10" ref="Q14:Q20">EXP(P14)</f>
        <v>1.5305117548184224</v>
      </c>
      <c r="R14" s="22">
        <f>EXP(-P14)</f>
        <v>0.6533762297818082</v>
      </c>
      <c r="S14" s="23">
        <f aca="true" t="shared" si="11" ref="S14:S20">H14^Q14</f>
        <v>0.6370592506030698</v>
      </c>
      <c r="T14" s="23">
        <f>H14^R14</f>
        <v>0.8249056352302866</v>
      </c>
      <c r="V14" s="18">
        <f t="shared" si="0"/>
        <v>6</v>
      </c>
      <c r="W14" s="264">
        <f aca="true" t="shared" si="12" ref="W14:W20">H14*(A14-A13)</f>
        <v>2.2344827586206897</v>
      </c>
      <c r="X14" s="264">
        <f aca="true" t="shared" si="13" ref="X14:X20">(H13-H14)*(A14-A13)/2</f>
        <v>0.186206896551724</v>
      </c>
      <c r="Y14" s="20">
        <f aca="true" t="shared" si="14" ref="Y14:Y20">SUM(W14:X14)</f>
        <v>2.4206896551724135</v>
      </c>
      <c r="Z14" s="265">
        <f>Y14+Z13</f>
        <v>5.224137931034482</v>
      </c>
      <c r="AB14" s="296">
        <f aca="true" t="shared" si="15" ref="AB14:AB20">Z14-Z28</f>
        <v>-0.004253947792459023</v>
      </c>
    </row>
    <row r="15" spans="1:28" ht="12.75">
      <c r="A15" s="63">
        <v>9</v>
      </c>
      <c r="B15" s="15">
        <v>91</v>
      </c>
      <c r="C15" s="15">
        <v>3</v>
      </c>
      <c r="D15" s="43">
        <f t="shared" si="1"/>
        <v>12</v>
      </c>
      <c r="E15" s="44">
        <v>76</v>
      </c>
      <c r="F15" s="16">
        <f t="shared" si="2"/>
        <v>0.03296703296703297</v>
      </c>
      <c r="G15" s="45">
        <f t="shared" si="3"/>
        <v>0.967032967032967</v>
      </c>
      <c r="H15" s="46">
        <f aca="true" t="shared" si="16" ref="H15:H20">G15*H14</f>
        <v>0.7202728306176582</v>
      </c>
      <c r="I15" s="17">
        <f t="shared" si="4"/>
        <v>0.10766615168863557</v>
      </c>
      <c r="J15" s="18">
        <f t="shared" si="5"/>
        <v>15</v>
      </c>
      <c r="K15" s="18">
        <f t="shared" si="6"/>
        <v>6916</v>
      </c>
      <c r="L15" s="19">
        <f t="shared" si="7"/>
        <v>0.0021688837478311164</v>
      </c>
      <c r="M15" s="19">
        <f aca="true" t="shared" si="17" ref="M15:M20">M14+L15</f>
        <v>0.0062613430127041745</v>
      </c>
      <c r="N15" s="20">
        <f aca="true" t="shared" si="18" ref="N15:N20">SQRT((1/I15)*M15)</f>
        <v>0.24115382398703109</v>
      </c>
      <c r="O15" s="21">
        <f t="shared" si="8"/>
        <v>1.9599639845400538</v>
      </c>
      <c r="P15" s="17">
        <f t="shared" si="9"/>
        <v>0.4726528097486923</v>
      </c>
      <c r="Q15" s="22">
        <f t="shared" si="10"/>
        <v>1.60424430829185</v>
      </c>
      <c r="R15" s="22">
        <f aca="true" t="shared" si="19" ref="R15:R20">EXP(-P15)</f>
        <v>0.6233464534243972</v>
      </c>
      <c r="S15" s="23">
        <f t="shared" si="11"/>
        <v>0.5907319036202693</v>
      </c>
      <c r="T15" s="23">
        <f aca="true" t="shared" si="20" ref="T15:T20">H15^R15</f>
        <v>0.815025657801805</v>
      </c>
      <c r="V15" s="18">
        <f t="shared" si="0"/>
        <v>9</v>
      </c>
      <c r="W15" s="264">
        <f t="shared" si="12"/>
        <v>2.1608184918529747</v>
      </c>
      <c r="X15" s="264">
        <f t="shared" si="13"/>
        <v>0.036832133383857546</v>
      </c>
      <c r="Y15" s="20">
        <f t="shared" si="14"/>
        <v>2.1976506252368324</v>
      </c>
      <c r="Z15" s="265">
        <f aca="true" t="shared" si="21" ref="Z15:Z20">Y15+Z14</f>
        <v>7.421788556271315</v>
      </c>
      <c r="AB15" s="296">
        <f t="shared" si="15"/>
        <v>-0.00020775228638569843</v>
      </c>
    </row>
    <row r="16" spans="1:28" ht="12.75">
      <c r="A16" s="63">
        <v>12</v>
      </c>
      <c r="B16" s="15">
        <v>76</v>
      </c>
      <c r="C16" s="15">
        <v>4</v>
      </c>
      <c r="D16" s="43">
        <f t="shared" si="1"/>
        <v>10</v>
      </c>
      <c r="E16" s="44">
        <v>62</v>
      </c>
      <c r="F16" s="16">
        <f t="shared" si="2"/>
        <v>0.05263157894736842</v>
      </c>
      <c r="G16" s="45">
        <f t="shared" si="3"/>
        <v>0.9473684210526316</v>
      </c>
      <c r="H16" s="46">
        <f t="shared" si="16"/>
        <v>0.6823637342693605</v>
      </c>
      <c r="I16" s="17">
        <f t="shared" si="4"/>
        <v>0.1460710524831974</v>
      </c>
      <c r="J16" s="18">
        <f t="shared" si="5"/>
        <v>14</v>
      </c>
      <c r="K16" s="18">
        <f t="shared" si="6"/>
        <v>4712</v>
      </c>
      <c r="L16" s="19">
        <f t="shared" si="7"/>
        <v>0.0029711375212224107</v>
      </c>
      <c r="M16" s="19">
        <f t="shared" si="17"/>
        <v>0.009232480533926585</v>
      </c>
      <c r="N16" s="20">
        <f t="shared" si="18"/>
        <v>0.25140685838533966</v>
      </c>
      <c r="O16" s="21">
        <f t="shared" si="8"/>
        <v>1.9599639845400538</v>
      </c>
      <c r="P16" s="17">
        <f t="shared" si="9"/>
        <v>0.49274838790162734</v>
      </c>
      <c r="Q16" s="22">
        <f t="shared" si="10"/>
        <v>1.6368086287190473</v>
      </c>
      <c r="R16" s="22">
        <f t="shared" si="19"/>
        <v>0.610944970874568</v>
      </c>
      <c r="S16" s="23">
        <f t="shared" si="11"/>
        <v>0.5349532789461243</v>
      </c>
      <c r="T16" s="23">
        <f t="shared" si="20"/>
        <v>0.7917587499948211</v>
      </c>
      <c r="V16" s="18">
        <f t="shared" si="0"/>
        <v>12</v>
      </c>
      <c r="W16" s="264">
        <f t="shared" si="12"/>
        <v>2.0470912028080814</v>
      </c>
      <c r="X16" s="264">
        <f t="shared" si="13"/>
        <v>0.05686364452244663</v>
      </c>
      <c r="Y16" s="20">
        <f t="shared" si="14"/>
        <v>2.1039548473305283</v>
      </c>
      <c r="Z16" s="265">
        <f t="shared" si="21"/>
        <v>9.525743403601844</v>
      </c>
      <c r="AB16" s="296">
        <f t="shared" si="15"/>
        <v>0.05680483149595972</v>
      </c>
    </row>
    <row r="17" spans="1:28" ht="12.75">
      <c r="A17" s="63">
        <v>15</v>
      </c>
      <c r="B17" s="15">
        <v>62</v>
      </c>
      <c r="C17" s="15">
        <v>2</v>
      </c>
      <c r="D17" s="43">
        <f t="shared" si="1"/>
        <v>9</v>
      </c>
      <c r="E17" s="44">
        <v>51</v>
      </c>
      <c r="F17" s="16">
        <f t="shared" si="2"/>
        <v>0.03225806451612903</v>
      </c>
      <c r="G17" s="45">
        <f t="shared" si="3"/>
        <v>0.967741935483871</v>
      </c>
      <c r="H17" s="46">
        <f t="shared" si="16"/>
        <v>0.6603520009058328</v>
      </c>
      <c r="I17" s="17">
        <f t="shared" si="4"/>
        <v>0.1722102690004715</v>
      </c>
      <c r="J17" s="18">
        <f t="shared" si="5"/>
        <v>11</v>
      </c>
      <c r="K17" s="18">
        <f t="shared" si="6"/>
        <v>3162</v>
      </c>
      <c r="L17" s="19">
        <f t="shared" si="7"/>
        <v>0.003478810879190386</v>
      </c>
      <c r="M17" s="19">
        <f t="shared" si="17"/>
        <v>0.01271129141311697</v>
      </c>
      <c r="N17" s="20">
        <f t="shared" si="18"/>
        <v>0.27168478343863683</v>
      </c>
      <c r="O17" s="21">
        <f t="shared" si="8"/>
        <v>1.9599639845400538</v>
      </c>
      <c r="P17" s="17">
        <f t="shared" si="9"/>
        <v>0.5324923906872923</v>
      </c>
      <c r="Q17" s="22">
        <f t="shared" si="10"/>
        <v>1.7031719929630331</v>
      </c>
      <c r="R17" s="22">
        <f t="shared" si="19"/>
        <v>0.587139762825882</v>
      </c>
      <c r="S17" s="23">
        <f t="shared" si="11"/>
        <v>0.49322681082551495</v>
      </c>
      <c r="T17" s="23">
        <f t="shared" si="20"/>
        <v>0.7837598802925888</v>
      </c>
      <c r="V17" s="18">
        <f t="shared" si="0"/>
        <v>15</v>
      </c>
      <c r="W17" s="264">
        <f t="shared" si="12"/>
        <v>1.9810560027174984</v>
      </c>
      <c r="X17" s="264">
        <f t="shared" si="13"/>
        <v>0.03301760004529153</v>
      </c>
      <c r="Y17" s="20">
        <f t="shared" si="14"/>
        <v>2.0140736027627897</v>
      </c>
      <c r="Z17" s="265">
        <f t="shared" si="21"/>
        <v>11.539817006364633</v>
      </c>
      <c r="AB17" s="296">
        <f t="shared" si="15"/>
        <v>0.07021013145567068</v>
      </c>
    </row>
    <row r="18" spans="1:28" ht="12.75">
      <c r="A18" s="63">
        <v>18</v>
      </c>
      <c r="B18" s="15">
        <v>51</v>
      </c>
      <c r="C18" s="15">
        <v>2</v>
      </c>
      <c r="D18" s="43">
        <f t="shared" si="1"/>
        <v>13</v>
      </c>
      <c r="E18" s="44">
        <v>36</v>
      </c>
      <c r="F18" s="16">
        <f t="shared" si="2"/>
        <v>0.0392156862745098</v>
      </c>
      <c r="G18" s="45">
        <f t="shared" si="3"/>
        <v>0.9607843137254902</v>
      </c>
      <c r="H18" s="46">
        <f t="shared" si="16"/>
        <v>0.6344558440075648</v>
      </c>
      <c r="I18" s="17">
        <f t="shared" si="4"/>
        <v>0.20701370345229347</v>
      </c>
      <c r="J18" s="18">
        <f t="shared" si="5"/>
        <v>15</v>
      </c>
      <c r="K18" s="18">
        <f t="shared" si="6"/>
        <v>1836</v>
      </c>
      <c r="L18" s="19">
        <f t="shared" si="7"/>
        <v>0.008169934640522876</v>
      </c>
      <c r="M18" s="19">
        <f t="shared" si="17"/>
        <v>0.020881226053639845</v>
      </c>
      <c r="N18" s="20">
        <f t="shared" si="18"/>
        <v>0.3175985054138141</v>
      </c>
      <c r="O18" s="21">
        <f t="shared" si="8"/>
        <v>1.9599639845400538</v>
      </c>
      <c r="P18" s="17">
        <f t="shared" si="9"/>
        <v>0.622481632154825</v>
      </c>
      <c r="Q18" s="22">
        <f t="shared" si="10"/>
        <v>1.863546946288927</v>
      </c>
      <c r="R18" s="22">
        <f t="shared" si="19"/>
        <v>0.5366111124763469</v>
      </c>
      <c r="S18" s="23">
        <f t="shared" si="11"/>
        <v>0.42831741836989695</v>
      </c>
      <c r="T18" s="23">
        <f t="shared" si="20"/>
        <v>0.7833690273589974</v>
      </c>
      <c r="V18" s="18">
        <f t="shared" si="0"/>
        <v>18</v>
      </c>
      <c r="W18" s="264">
        <f t="shared" si="12"/>
        <v>1.9033675320226946</v>
      </c>
      <c r="X18" s="264">
        <f t="shared" si="13"/>
        <v>0.038844235347401945</v>
      </c>
      <c r="Y18" s="20">
        <f t="shared" si="14"/>
        <v>1.9422117673700965</v>
      </c>
      <c r="Z18" s="265">
        <f t="shared" si="21"/>
        <v>13.48202877373473</v>
      </c>
      <c r="AB18" s="296">
        <f t="shared" si="15"/>
        <v>0.08211634679042845</v>
      </c>
    </row>
    <row r="19" spans="1:28" ht="12.75">
      <c r="A19" s="63">
        <v>21</v>
      </c>
      <c r="B19" s="15">
        <v>36</v>
      </c>
      <c r="C19" s="15">
        <v>1</v>
      </c>
      <c r="D19" s="43">
        <f t="shared" si="1"/>
        <v>9</v>
      </c>
      <c r="E19" s="44">
        <v>26</v>
      </c>
      <c r="F19" s="16">
        <f t="shared" si="2"/>
        <v>0.027777777777777776</v>
      </c>
      <c r="G19" s="45">
        <f t="shared" si="3"/>
        <v>0.9722222222222222</v>
      </c>
      <c r="H19" s="46">
        <f t="shared" si="16"/>
        <v>0.6168320705629102</v>
      </c>
      <c r="I19" s="17">
        <f t="shared" si="4"/>
        <v>0.2334421003768909</v>
      </c>
      <c r="J19" s="18">
        <f t="shared" si="5"/>
        <v>10</v>
      </c>
      <c r="K19" s="18">
        <f t="shared" si="6"/>
        <v>936</v>
      </c>
      <c r="L19" s="19">
        <f t="shared" si="7"/>
        <v>0.010683760683760684</v>
      </c>
      <c r="M19" s="19">
        <f t="shared" si="17"/>
        <v>0.03156498673740053</v>
      </c>
      <c r="N19" s="20">
        <f t="shared" si="18"/>
        <v>0.3677165819460878</v>
      </c>
      <c r="O19" s="21">
        <f t="shared" si="8"/>
        <v>1.9599639845400538</v>
      </c>
      <c r="P19" s="17">
        <f t="shared" si="9"/>
        <v>0.7207112571325035</v>
      </c>
      <c r="Q19" s="22">
        <f t="shared" si="10"/>
        <v>2.0558949606966626</v>
      </c>
      <c r="R19" s="22">
        <f t="shared" si="19"/>
        <v>0.48640617303772127</v>
      </c>
      <c r="S19" s="23">
        <f t="shared" si="11"/>
        <v>0.3703439726788628</v>
      </c>
      <c r="T19" s="23">
        <f t="shared" si="20"/>
        <v>0.7905619486710331</v>
      </c>
      <c r="V19" s="18">
        <f t="shared" si="0"/>
        <v>21</v>
      </c>
      <c r="W19" s="264">
        <f t="shared" si="12"/>
        <v>1.8504962116887307</v>
      </c>
      <c r="X19" s="264">
        <f t="shared" si="13"/>
        <v>0.0264356601669819</v>
      </c>
      <c r="Y19" s="20">
        <f t="shared" si="14"/>
        <v>1.8769318718557126</v>
      </c>
      <c r="Z19" s="265">
        <f t="shared" si="21"/>
        <v>15.358960645590441</v>
      </c>
      <c r="AB19" s="296">
        <f t="shared" si="15"/>
        <v>0.0916013345873381</v>
      </c>
    </row>
    <row r="20" spans="1:28" ht="12.75">
      <c r="A20" s="63">
        <v>24</v>
      </c>
      <c r="B20" s="15">
        <v>26</v>
      </c>
      <c r="C20" s="15">
        <v>1</v>
      </c>
      <c r="D20" s="43">
        <f t="shared" si="1"/>
        <v>15</v>
      </c>
      <c r="E20" s="44">
        <v>10</v>
      </c>
      <c r="F20" s="16">
        <f t="shared" si="2"/>
        <v>0.038461538461538464</v>
      </c>
      <c r="G20" s="45">
        <f t="shared" si="3"/>
        <v>0.9615384615384616</v>
      </c>
      <c r="H20" s="46">
        <f t="shared" si="16"/>
        <v>0.5931077601566445</v>
      </c>
      <c r="I20" s="17">
        <f t="shared" si="4"/>
        <v>0.2728800036876287</v>
      </c>
      <c r="J20" s="18">
        <f t="shared" si="5"/>
        <v>16</v>
      </c>
      <c r="K20" s="18">
        <f t="shared" si="6"/>
        <v>260</v>
      </c>
      <c r="L20" s="19">
        <f t="shared" si="7"/>
        <v>0.06153846153846154</v>
      </c>
      <c r="M20" s="19">
        <f t="shared" si="17"/>
        <v>0.09310344827586207</v>
      </c>
      <c r="N20" s="20">
        <f t="shared" si="18"/>
        <v>0.5841132084766957</v>
      </c>
      <c r="O20" s="21">
        <f t="shared" si="8"/>
        <v>1.9599639845400538</v>
      </c>
      <c r="P20" s="17">
        <f t="shared" si="9"/>
        <v>1.1448408515084596</v>
      </c>
      <c r="Q20" s="22">
        <f t="shared" si="10"/>
        <v>3.1419412818316186</v>
      </c>
      <c r="R20" s="22">
        <f t="shared" si="19"/>
        <v>0.31827456667714754</v>
      </c>
      <c r="S20" s="23">
        <f t="shared" si="11"/>
        <v>0.1937309964588014</v>
      </c>
      <c r="T20" s="23">
        <f t="shared" si="20"/>
        <v>0.8468260257710355</v>
      </c>
      <c r="V20" s="18">
        <f t="shared" si="0"/>
        <v>24</v>
      </c>
      <c r="W20" s="264">
        <f t="shared" si="12"/>
        <v>1.7793232804699333</v>
      </c>
      <c r="X20" s="264">
        <f t="shared" si="13"/>
        <v>0.035586465609398654</v>
      </c>
      <c r="Y20" s="20">
        <f t="shared" si="14"/>
        <v>1.814909746079332</v>
      </c>
      <c r="Z20" s="265">
        <f t="shared" si="21"/>
        <v>17.173870391669773</v>
      </c>
      <c r="AB20" s="296">
        <f t="shared" si="15"/>
        <v>0.06331675354369537</v>
      </c>
    </row>
    <row r="21" spans="1:14" ht="5.25" customHeight="1">
      <c r="A21" s="25"/>
      <c r="B21" s="25"/>
      <c r="C21" s="26"/>
      <c r="D21" s="26"/>
      <c r="E21" s="25"/>
      <c r="F21" s="27"/>
      <c r="G21" s="28"/>
      <c r="H21" s="28"/>
      <c r="I21" s="28"/>
      <c r="J21" s="29"/>
      <c r="K21" s="29"/>
      <c r="L21" s="29"/>
      <c r="M21" s="29"/>
      <c r="N21" s="28"/>
    </row>
    <row r="22" spans="1:14" ht="12.75">
      <c r="A22" s="30"/>
      <c r="B22" s="31" t="s">
        <v>109</v>
      </c>
      <c r="C22" s="64">
        <f>SUM(C13:C20)</f>
        <v>49</v>
      </c>
      <c r="D22" s="64">
        <f>SUM(D13:D20)</f>
        <v>86</v>
      </c>
      <c r="E22" s="32"/>
      <c r="F22" s="27"/>
      <c r="G22" s="28"/>
      <c r="H22" s="38"/>
      <c r="I22" s="28"/>
      <c r="J22" s="28"/>
      <c r="K22" s="28"/>
      <c r="L22" s="29"/>
      <c r="M22" s="29"/>
      <c r="N22" s="28"/>
    </row>
    <row r="23" spans="1:14" ht="12.75">
      <c r="A23" s="30"/>
      <c r="C23" s="26"/>
      <c r="D23" s="33"/>
      <c r="F23" s="27"/>
      <c r="G23" s="27"/>
      <c r="H23" s="27"/>
      <c r="I23" s="27"/>
      <c r="J23" s="27"/>
      <c r="K23" s="27"/>
      <c r="L23" s="27"/>
      <c r="M23" s="27"/>
      <c r="N23" s="27"/>
    </row>
    <row r="24" spans="1:14" ht="12.75">
      <c r="A24" s="3" t="s">
        <v>110</v>
      </c>
      <c r="B24" s="7"/>
      <c r="C24" s="4"/>
      <c r="N24" s="34"/>
    </row>
    <row r="25" spans="1:26" ht="61.5">
      <c r="A25" s="8" t="s">
        <v>126</v>
      </c>
      <c r="B25" s="8" t="s">
        <v>165</v>
      </c>
      <c r="C25" s="8" t="s">
        <v>166</v>
      </c>
      <c r="D25" s="42" t="s">
        <v>168</v>
      </c>
      <c r="E25" s="42" t="s">
        <v>167</v>
      </c>
      <c r="F25" s="9" t="s">
        <v>127</v>
      </c>
      <c r="G25" s="9" t="s">
        <v>102</v>
      </c>
      <c r="H25" s="10" t="s">
        <v>169</v>
      </c>
      <c r="I25" s="11" t="s">
        <v>139</v>
      </c>
      <c r="J25" s="11" t="s">
        <v>140</v>
      </c>
      <c r="K25" s="11" t="s">
        <v>141</v>
      </c>
      <c r="L25" s="11" t="s">
        <v>142</v>
      </c>
      <c r="M25" s="11" t="s">
        <v>143</v>
      </c>
      <c r="N25" s="8" t="s">
        <v>103</v>
      </c>
      <c r="O25" s="8" t="s">
        <v>144</v>
      </c>
      <c r="P25" s="12" t="s">
        <v>104</v>
      </c>
      <c r="Q25" s="12" t="s">
        <v>105</v>
      </c>
      <c r="R25" s="13" t="s">
        <v>106</v>
      </c>
      <c r="S25" s="14" t="s">
        <v>107</v>
      </c>
      <c r="T25" s="14" t="s">
        <v>108</v>
      </c>
      <c r="V25" s="8" t="s">
        <v>289</v>
      </c>
      <c r="W25" s="8" t="s">
        <v>290</v>
      </c>
      <c r="X25" s="8" t="s">
        <v>291</v>
      </c>
      <c r="Y25" s="8" t="s">
        <v>292</v>
      </c>
      <c r="Z25" s="42" t="s">
        <v>293</v>
      </c>
    </row>
    <row r="26" spans="1:26" ht="12.75">
      <c r="A26" s="8">
        <v>0</v>
      </c>
      <c r="B26" s="8">
        <v>145</v>
      </c>
      <c r="C26" s="8">
        <v>0</v>
      </c>
      <c r="D26" s="267">
        <v>0</v>
      </c>
      <c r="E26" s="268">
        <f>B26-C26-D26</f>
        <v>145</v>
      </c>
      <c r="F26" s="41">
        <f>C26/B26</f>
        <v>0</v>
      </c>
      <c r="G26" s="45">
        <f>1-F26</f>
        <v>1</v>
      </c>
      <c r="H26" s="269">
        <f>G26</f>
        <v>1</v>
      </c>
      <c r="I26" s="17">
        <f>(LN(H26))^2</f>
        <v>0</v>
      </c>
      <c r="J26" s="18">
        <f>B26-E26</f>
        <v>0</v>
      </c>
      <c r="K26" s="18">
        <f>B26*E26</f>
        <v>21025</v>
      </c>
      <c r="L26" s="19">
        <f>J26/K26</f>
        <v>0</v>
      </c>
      <c r="M26" s="19">
        <f>L26</f>
        <v>0</v>
      </c>
      <c r="N26" s="20">
        <v>0</v>
      </c>
      <c r="O26" s="21">
        <f>-NORMSINV(2.5/100)</f>
        <v>1.9599639845400538</v>
      </c>
      <c r="P26" s="17">
        <f>O26*N26</f>
        <v>0</v>
      </c>
      <c r="Q26" s="22">
        <f>EXP(P26)</f>
        <v>1</v>
      </c>
      <c r="R26" s="22">
        <f>EXP(P26)</f>
        <v>1</v>
      </c>
      <c r="S26" s="266">
        <f>H26^Q26</f>
        <v>1</v>
      </c>
      <c r="T26" s="266">
        <f>H26^R26</f>
        <v>1</v>
      </c>
      <c r="V26" s="263"/>
      <c r="W26" s="263"/>
      <c r="X26" s="263"/>
      <c r="Y26" s="263"/>
      <c r="Z26" s="263"/>
    </row>
    <row r="27" spans="1:26" ht="12.75">
      <c r="A27" s="63">
        <v>3</v>
      </c>
      <c r="B27" s="15">
        <v>145</v>
      </c>
      <c r="C27" s="15">
        <v>21</v>
      </c>
      <c r="D27" s="43">
        <f>B27-E27-C27</f>
        <v>17</v>
      </c>
      <c r="E27" s="44">
        <v>107</v>
      </c>
      <c r="F27" s="16">
        <f>C27/B27</f>
        <v>0.14482758620689656</v>
      </c>
      <c r="G27" s="45">
        <f>1-F27</f>
        <v>0.8551724137931034</v>
      </c>
      <c r="H27" s="46">
        <f>G27*H26</f>
        <v>0.8551724137931034</v>
      </c>
      <c r="I27" s="17">
        <f>(LN(H27))^2</f>
        <v>0.024477283630320243</v>
      </c>
      <c r="J27" s="18">
        <f>B27-E27</f>
        <v>38</v>
      </c>
      <c r="K27" s="18">
        <f>B27*E27</f>
        <v>15515</v>
      </c>
      <c r="L27" s="19">
        <f>J27/K27</f>
        <v>0.0024492426683854333</v>
      </c>
      <c r="M27" s="19">
        <f>L27</f>
        <v>0.0024492426683854333</v>
      </c>
      <c r="N27" s="20">
        <v>0</v>
      </c>
      <c r="O27" s="21">
        <f>-NORMSINV(2.5/100)</f>
        <v>1.9599639845400538</v>
      </c>
      <c r="P27" s="17">
        <f>O27*N27</f>
        <v>0</v>
      </c>
      <c r="Q27" s="22">
        <f aca="true" t="shared" si="22" ref="Q27:Q34">EXP(P27)</f>
        <v>1</v>
      </c>
      <c r="R27" s="22">
        <f>EXP(P27)</f>
        <v>1</v>
      </c>
      <c r="S27" s="23">
        <f>H27^Q27</f>
        <v>0.8551724137931034</v>
      </c>
      <c r="T27" s="23">
        <f>H27^R27</f>
        <v>0.8551724137931034</v>
      </c>
      <c r="V27" s="18">
        <f aca="true" t="shared" si="23" ref="V27:V34">A27</f>
        <v>3</v>
      </c>
      <c r="W27" s="264">
        <f>H27*(A27-A26)</f>
        <v>2.56551724137931</v>
      </c>
      <c r="X27" s="264">
        <f>(H26-H27)*(A27-A26)/2</f>
        <v>0.21724137931034493</v>
      </c>
      <c r="Y27" s="20">
        <f>SUM(W27:X27)</f>
        <v>2.782758620689655</v>
      </c>
      <c r="Z27" s="265">
        <f>Y27</f>
        <v>2.782758620689655</v>
      </c>
    </row>
    <row r="28" spans="1:26" ht="12.75">
      <c r="A28" s="63">
        <v>6</v>
      </c>
      <c r="B28" s="15">
        <v>107</v>
      </c>
      <c r="C28" s="15">
        <v>10</v>
      </c>
      <c r="D28" s="43">
        <f aca="true" t="shared" si="24" ref="D28:D34">B28-E28-C28</f>
        <v>9</v>
      </c>
      <c r="E28" s="44">
        <v>88</v>
      </c>
      <c r="F28" s="16">
        <f aca="true" t="shared" si="25" ref="F28:F34">C28/B28</f>
        <v>0.09345794392523364</v>
      </c>
      <c r="G28" s="45">
        <f aca="true" t="shared" si="26" ref="G28:G34">1-F28</f>
        <v>0.9065420560747663</v>
      </c>
      <c r="H28" s="46">
        <f>G28*H27</f>
        <v>0.7752497582984208</v>
      </c>
      <c r="I28" s="17">
        <f aca="true" t="shared" si="27" ref="I28:I34">(LN(H28))^2</f>
        <v>0.06480590158658649</v>
      </c>
      <c r="J28" s="18">
        <f aca="true" t="shared" si="28" ref="J28:J34">B28-E28</f>
        <v>19</v>
      </c>
      <c r="K28" s="18">
        <f aca="true" t="shared" si="29" ref="K28:K34">B28*E28</f>
        <v>9416</v>
      </c>
      <c r="L28" s="19">
        <f aca="true" t="shared" si="30" ref="L28:L34">J28/K28</f>
        <v>0.0020178419711129993</v>
      </c>
      <c r="M28" s="19">
        <f>M27+L28</f>
        <v>0.004467084639498433</v>
      </c>
      <c r="N28" s="20">
        <f>SQRT((1/I28)*M28)</f>
        <v>0.26254564100204125</v>
      </c>
      <c r="O28" s="21">
        <f aca="true" t="shared" si="31" ref="O28:O34">-NORMSINV(2.5/100)</f>
        <v>1.9599639845400538</v>
      </c>
      <c r="P28" s="17">
        <f aca="true" t="shared" si="32" ref="P28:P34">O28*N28</f>
        <v>0.5145800006619833</v>
      </c>
      <c r="Q28" s="22">
        <f t="shared" si="22"/>
        <v>1.672935722328482</v>
      </c>
      <c r="R28" s="22">
        <f>EXP(-P28)</f>
        <v>0.5977515971792068</v>
      </c>
      <c r="S28" s="23">
        <f aca="true" t="shared" si="33" ref="S28:S34">H28^Q28</f>
        <v>0.6531951769351715</v>
      </c>
      <c r="T28" s="23">
        <f>H28^R28</f>
        <v>0.8588425711638048</v>
      </c>
      <c r="V28" s="18">
        <f t="shared" si="23"/>
        <v>6</v>
      </c>
      <c r="W28" s="264">
        <f aca="true" t="shared" si="34" ref="W28:W34">H28*(A28-A27)</f>
        <v>2.325749274895262</v>
      </c>
      <c r="X28" s="264">
        <f aca="true" t="shared" si="35" ref="X28:X34">(H27-H28)*(A28-A27)/2</f>
        <v>0.11988398324202387</v>
      </c>
      <c r="Y28" s="20">
        <f aca="true" t="shared" si="36" ref="Y28:Y34">SUM(W28:X28)</f>
        <v>2.445633258137286</v>
      </c>
      <c r="Z28" s="265">
        <f>Y28+Z27</f>
        <v>5.228391878826941</v>
      </c>
    </row>
    <row r="29" spans="1:26" ht="12.75">
      <c r="A29" s="63">
        <v>9</v>
      </c>
      <c r="B29" s="15">
        <v>88</v>
      </c>
      <c r="C29" s="15">
        <v>10</v>
      </c>
      <c r="D29" s="43">
        <f t="shared" si="24"/>
        <v>7</v>
      </c>
      <c r="E29" s="44">
        <v>71</v>
      </c>
      <c r="F29" s="16">
        <f t="shared" si="25"/>
        <v>0.11363636363636363</v>
      </c>
      <c r="G29" s="45">
        <f t="shared" si="26"/>
        <v>0.8863636363636364</v>
      </c>
      <c r="H29" s="46">
        <f aca="true" t="shared" si="37" ref="H29:H34">G29*H28</f>
        <v>0.6871531948554185</v>
      </c>
      <c r="I29" s="17">
        <f t="shared" si="27"/>
        <v>0.14077355463414998</v>
      </c>
      <c r="J29" s="18">
        <f t="shared" si="28"/>
        <v>17</v>
      </c>
      <c r="K29" s="18">
        <f t="shared" si="29"/>
        <v>6248</v>
      </c>
      <c r="L29" s="19">
        <f t="shared" si="30"/>
        <v>0.0027208706786171575</v>
      </c>
      <c r="M29" s="19">
        <f aca="true" t="shared" si="38" ref="M29:M34">M28+L29</f>
        <v>0.0071879553181155905</v>
      </c>
      <c r="N29" s="20">
        <f aca="true" t="shared" si="39" ref="N29:N34">SQRT((1/I29)*M29)</f>
        <v>0.2259655046664146</v>
      </c>
      <c r="O29" s="21">
        <f t="shared" si="31"/>
        <v>1.9599639845400538</v>
      </c>
      <c r="P29" s="17">
        <f t="shared" si="32"/>
        <v>0.4428842508945901</v>
      </c>
      <c r="Q29" s="22">
        <f t="shared" si="22"/>
        <v>1.5571920803196113</v>
      </c>
      <c r="R29" s="22">
        <f aca="true" t="shared" si="40" ref="R29:R34">EXP(-P29)</f>
        <v>0.6421815347241886</v>
      </c>
      <c r="S29" s="23">
        <f t="shared" si="33"/>
        <v>0.5575208450225989</v>
      </c>
      <c r="T29" s="23">
        <f aca="true" t="shared" si="41" ref="T29:T34">H29^R29</f>
        <v>0.7858846597271928</v>
      </c>
      <c r="V29" s="18">
        <f t="shared" si="23"/>
        <v>9</v>
      </c>
      <c r="W29" s="264">
        <f t="shared" si="34"/>
        <v>2.0614595845662556</v>
      </c>
      <c r="X29" s="264">
        <f t="shared" si="35"/>
        <v>0.13214484516450348</v>
      </c>
      <c r="Y29" s="20">
        <f t="shared" si="36"/>
        <v>2.193604429730759</v>
      </c>
      <c r="Z29" s="265">
        <f aca="true" t="shared" si="42" ref="Z29:Z34">Y29+Z28</f>
        <v>7.4219963085577</v>
      </c>
    </row>
    <row r="30" spans="1:26" ht="12.75">
      <c r="A30" s="63">
        <v>12</v>
      </c>
      <c r="B30" s="15">
        <v>71</v>
      </c>
      <c r="C30" s="15">
        <v>1</v>
      </c>
      <c r="D30" s="43">
        <f t="shared" si="24"/>
        <v>6</v>
      </c>
      <c r="E30" s="44">
        <v>64</v>
      </c>
      <c r="F30" s="16">
        <f t="shared" si="25"/>
        <v>0.014084507042253521</v>
      </c>
      <c r="G30" s="45">
        <f t="shared" si="26"/>
        <v>0.9859154929577465</v>
      </c>
      <c r="H30" s="46">
        <f t="shared" si="37"/>
        <v>0.6774749808433703</v>
      </c>
      <c r="I30" s="17">
        <f t="shared" si="27"/>
        <v>0.1516188524467773</v>
      </c>
      <c r="J30" s="18">
        <f t="shared" si="28"/>
        <v>7</v>
      </c>
      <c r="K30" s="18">
        <f t="shared" si="29"/>
        <v>4544</v>
      </c>
      <c r="L30" s="19">
        <f t="shared" si="30"/>
        <v>0.0015404929577464788</v>
      </c>
      <c r="M30" s="19">
        <f t="shared" si="38"/>
        <v>0.008728448275862069</v>
      </c>
      <c r="N30" s="20">
        <f t="shared" si="39"/>
        <v>0.2399340687180386</v>
      </c>
      <c r="O30" s="21">
        <f t="shared" si="31"/>
        <v>1.9599639845400538</v>
      </c>
      <c r="P30" s="17">
        <f t="shared" si="32"/>
        <v>0.470262133351514</v>
      </c>
      <c r="Q30" s="22">
        <f t="shared" si="22"/>
        <v>1.6004136600333505</v>
      </c>
      <c r="R30" s="22">
        <f t="shared" si="40"/>
        <v>0.6248384558147057</v>
      </c>
      <c r="S30" s="23">
        <f t="shared" si="33"/>
        <v>0.5362400729301146</v>
      </c>
      <c r="T30" s="23">
        <f t="shared" si="41"/>
        <v>0.7840352819023935</v>
      </c>
      <c r="V30" s="18">
        <f t="shared" si="23"/>
        <v>12</v>
      </c>
      <c r="W30" s="264">
        <f t="shared" si="34"/>
        <v>2.032424942530111</v>
      </c>
      <c r="X30" s="264">
        <f t="shared" si="35"/>
        <v>0.014517321018072238</v>
      </c>
      <c r="Y30" s="20">
        <f t="shared" si="36"/>
        <v>2.0469422635481833</v>
      </c>
      <c r="Z30" s="265">
        <f t="shared" si="42"/>
        <v>9.468938572105884</v>
      </c>
    </row>
    <row r="31" spans="1:26" ht="12.75">
      <c r="A31" s="63">
        <v>15</v>
      </c>
      <c r="B31" s="15">
        <v>64</v>
      </c>
      <c r="C31" s="15">
        <v>2</v>
      </c>
      <c r="D31" s="43">
        <f t="shared" si="24"/>
        <v>11</v>
      </c>
      <c r="E31" s="44">
        <v>51</v>
      </c>
      <c r="F31" s="16">
        <f t="shared" si="25"/>
        <v>0.03125</v>
      </c>
      <c r="G31" s="45">
        <f t="shared" si="26"/>
        <v>0.96875</v>
      </c>
      <c r="H31" s="46">
        <f t="shared" si="37"/>
        <v>0.656303887692015</v>
      </c>
      <c r="I31" s="17">
        <f t="shared" si="27"/>
        <v>0.17735161721171586</v>
      </c>
      <c r="J31" s="18">
        <f t="shared" si="28"/>
        <v>13</v>
      </c>
      <c r="K31" s="18">
        <f t="shared" si="29"/>
        <v>3264</v>
      </c>
      <c r="L31" s="19">
        <f t="shared" si="30"/>
        <v>0.003982843137254902</v>
      </c>
      <c r="M31" s="19">
        <f t="shared" si="38"/>
        <v>0.01271129141311697</v>
      </c>
      <c r="N31" s="20">
        <f t="shared" si="39"/>
        <v>0.2677178084089654</v>
      </c>
      <c r="O31" s="21">
        <f t="shared" si="31"/>
        <v>1.9599639845400538</v>
      </c>
      <c r="P31" s="17">
        <f t="shared" si="32"/>
        <v>0.5247172625015666</v>
      </c>
      <c r="Q31" s="22">
        <f t="shared" si="22"/>
        <v>1.6899809598347852</v>
      </c>
      <c r="R31" s="22">
        <f t="shared" si="40"/>
        <v>0.5917226428975634</v>
      </c>
      <c r="S31" s="23">
        <f t="shared" si="33"/>
        <v>0.4908071640228119</v>
      </c>
      <c r="T31" s="23">
        <f t="shared" si="41"/>
        <v>0.7794295619236256</v>
      </c>
      <c r="V31" s="18">
        <f t="shared" si="23"/>
        <v>15</v>
      </c>
      <c r="W31" s="264">
        <f t="shared" si="34"/>
        <v>1.968911663076045</v>
      </c>
      <c r="X31" s="264">
        <f t="shared" si="35"/>
        <v>0.03175663972703302</v>
      </c>
      <c r="Y31" s="20">
        <f t="shared" si="36"/>
        <v>2.000668302803078</v>
      </c>
      <c r="Z31" s="265">
        <f t="shared" si="42"/>
        <v>11.469606874908962</v>
      </c>
    </row>
    <row r="32" spans="1:26" ht="12.75">
      <c r="A32" s="63">
        <v>18</v>
      </c>
      <c r="B32" s="15">
        <v>51</v>
      </c>
      <c r="C32" s="15">
        <v>2</v>
      </c>
      <c r="D32" s="43">
        <f t="shared" si="24"/>
        <v>10</v>
      </c>
      <c r="E32" s="44">
        <v>39</v>
      </c>
      <c r="F32" s="16">
        <f t="shared" si="25"/>
        <v>0.0392156862745098</v>
      </c>
      <c r="G32" s="45">
        <f t="shared" si="26"/>
        <v>0.9607843137254902</v>
      </c>
      <c r="H32" s="46">
        <f t="shared" si="37"/>
        <v>0.6305664803315438</v>
      </c>
      <c r="I32" s="17">
        <f t="shared" si="27"/>
        <v>0.2126470454649858</v>
      </c>
      <c r="J32" s="18">
        <f t="shared" si="28"/>
        <v>12</v>
      </c>
      <c r="K32" s="18">
        <f t="shared" si="29"/>
        <v>1989</v>
      </c>
      <c r="L32" s="19">
        <f t="shared" si="30"/>
        <v>0.006033182503770739</v>
      </c>
      <c r="M32" s="19">
        <f t="shared" si="38"/>
        <v>0.01874447391688771</v>
      </c>
      <c r="N32" s="20">
        <f t="shared" si="39"/>
        <v>0.2968977808667184</v>
      </c>
      <c r="O32" s="21">
        <f t="shared" si="31"/>
        <v>1.9599639845400538</v>
      </c>
      <c r="P32" s="17">
        <f t="shared" si="32"/>
        <v>0.5819089575886331</v>
      </c>
      <c r="Q32" s="22">
        <f t="shared" si="22"/>
        <v>1.7894511587061435</v>
      </c>
      <c r="R32" s="22">
        <f t="shared" si="40"/>
        <v>0.5588305638489997</v>
      </c>
      <c r="S32" s="23">
        <f t="shared" si="33"/>
        <v>0.4381554243098156</v>
      </c>
      <c r="T32" s="23">
        <f t="shared" si="41"/>
        <v>0.7728291509115885</v>
      </c>
      <c r="V32" s="18">
        <f t="shared" si="23"/>
        <v>18</v>
      </c>
      <c r="W32" s="264">
        <f t="shared" si="34"/>
        <v>1.8916994409946315</v>
      </c>
      <c r="X32" s="264">
        <f t="shared" si="35"/>
        <v>0.038606111040706714</v>
      </c>
      <c r="Y32" s="20">
        <f t="shared" si="36"/>
        <v>1.9303055520353383</v>
      </c>
      <c r="Z32" s="265">
        <f t="shared" si="42"/>
        <v>13.3999124269443</v>
      </c>
    </row>
    <row r="33" spans="1:26" ht="12.75">
      <c r="A33" s="63">
        <v>21</v>
      </c>
      <c r="B33" s="15">
        <v>39</v>
      </c>
      <c r="C33" s="15">
        <v>1</v>
      </c>
      <c r="D33" s="43">
        <f t="shared" si="24"/>
        <v>8</v>
      </c>
      <c r="E33" s="44">
        <v>30</v>
      </c>
      <c r="F33" s="16">
        <f t="shared" si="25"/>
        <v>0.02564102564102564</v>
      </c>
      <c r="G33" s="45">
        <f t="shared" si="26"/>
        <v>0.9743589743589743</v>
      </c>
      <c r="H33" s="46">
        <f t="shared" si="37"/>
        <v>0.6143981090409915</v>
      </c>
      <c r="I33" s="17">
        <f t="shared" si="27"/>
        <v>0.23727827092233675</v>
      </c>
      <c r="J33" s="18">
        <f t="shared" si="28"/>
        <v>9</v>
      </c>
      <c r="K33" s="18">
        <f t="shared" si="29"/>
        <v>1170</v>
      </c>
      <c r="L33" s="19">
        <f t="shared" si="30"/>
        <v>0.007692307692307693</v>
      </c>
      <c r="M33" s="19">
        <f t="shared" si="38"/>
        <v>0.026436781609195402</v>
      </c>
      <c r="N33" s="20">
        <f t="shared" si="39"/>
        <v>0.33379152617489455</v>
      </c>
      <c r="O33" s="21">
        <f t="shared" si="31"/>
        <v>1.9599639845400538</v>
      </c>
      <c r="P33" s="17">
        <f t="shared" si="32"/>
        <v>0.654219369647452</v>
      </c>
      <c r="Q33" s="22">
        <f t="shared" si="22"/>
        <v>1.9236402791169955</v>
      </c>
      <c r="R33" s="22">
        <f t="shared" si="40"/>
        <v>0.5198477131384605</v>
      </c>
      <c r="S33" s="23">
        <f t="shared" si="33"/>
        <v>0.39179027306371184</v>
      </c>
      <c r="T33" s="23">
        <f t="shared" si="41"/>
        <v>0.7762938559312207</v>
      </c>
      <c r="V33" s="18">
        <f t="shared" si="23"/>
        <v>21</v>
      </c>
      <c r="W33" s="264">
        <f t="shared" si="34"/>
        <v>1.8431943271229745</v>
      </c>
      <c r="X33" s="264">
        <f t="shared" si="35"/>
        <v>0.024252556935828562</v>
      </c>
      <c r="Y33" s="20">
        <f t="shared" si="36"/>
        <v>1.867446884058803</v>
      </c>
      <c r="Z33" s="265">
        <f t="shared" si="42"/>
        <v>15.267359311003103</v>
      </c>
    </row>
    <row r="34" spans="1:26" ht="12.75">
      <c r="A34" s="63">
        <v>24</v>
      </c>
      <c r="B34" s="15">
        <v>30</v>
      </c>
      <c r="C34" s="15">
        <v>0</v>
      </c>
      <c r="D34" s="43">
        <f t="shared" si="24"/>
        <v>17</v>
      </c>
      <c r="E34" s="44">
        <v>13</v>
      </c>
      <c r="F34" s="16">
        <f t="shared" si="25"/>
        <v>0</v>
      </c>
      <c r="G34" s="45">
        <f t="shared" si="26"/>
        <v>1</v>
      </c>
      <c r="H34" s="46">
        <f t="shared" si="37"/>
        <v>0.6143981090409915</v>
      </c>
      <c r="I34" s="17">
        <f t="shared" si="27"/>
        <v>0.23727827092233675</v>
      </c>
      <c r="J34" s="18">
        <f t="shared" si="28"/>
        <v>17</v>
      </c>
      <c r="K34" s="18">
        <f t="shared" si="29"/>
        <v>390</v>
      </c>
      <c r="L34" s="19">
        <f t="shared" si="30"/>
        <v>0.04358974358974359</v>
      </c>
      <c r="M34" s="19">
        <f t="shared" si="38"/>
        <v>0.07002652519893898</v>
      </c>
      <c r="N34" s="20">
        <f t="shared" si="39"/>
        <v>0.5432532133581506</v>
      </c>
      <c r="O34" s="21">
        <f t="shared" si="31"/>
        <v>1.9599639845400538</v>
      </c>
      <c r="P34" s="17">
        <f t="shared" si="32"/>
        <v>1.0647567326676288</v>
      </c>
      <c r="Q34" s="22">
        <f t="shared" si="22"/>
        <v>2.9001333905257516</v>
      </c>
      <c r="R34" s="22">
        <f t="shared" si="40"/>
        <v>0.3448117259939946</v>
      </c>
      <c r="S34" s="23">
        <f t="shared" si="33"/>
        <v>0.24348735126824195</v>
      </c>
      <c r="T34" s="23">
        <f t="shared" si="41"/>
        <v>0.8453859673846411</v>
      </c>
      <c r="V34" s="18">
        <f t="shared" si="23"/>
        <v>24</v>
      </c>
      <c r="W34" s="264">
        <f t="shared" si="34"/>
        <v>1.8431943271229745</v>
      </c>
      <c r="X34" s="264">
        <f t="shared" si="35"/>
        <v>0</v>
      </c>
      <c r="Y34" s="20">
        <f t="shared" si="36"/>
        <v>1.8431943271229745</v>
      </c>
      <c r="Z34" s="265">
        <f t="shared" si="42"/>
        <v>17.110553638126078</v>
      </c>
    </row>
    <row r="35" spans="1:14" ht="6.75" customHeight="1">
      <c r="A35" s="25"/>
      <c r="B35" s="25"/>
      <c r="C35" s="26"/>
      <c r="D35" s="26"/>
      <c r="E35" s="25"/>
      <c r="F35" s="27"/>
      <c r="G35" s="28"/>
      <c r="H35" s="28"/>
      <c r="I35" s="28"/>
      <c r="J35" s="29"/>
      <c r="K35" s="29"/>
      <c r="L35" s="29"/>
      <c r="M35" s="29"/>
      <c r="N35" s="28"/>
    </row>
    <row r="36" spans="1:14" ht="12.75">
      <c r="A36" s="30"/>
      <c r="B36" s="31" t="s">
        <v>109</v>
      </c>
      <c r="C36" s="64">
        <f>SUM(C27:C34)</f>
        <v>47</v>
      </c>
      <c r="D36" s="64">
        <f>SUM(D27:D34)</f>
        <v>85</v>
      </c>
      <c r="E36" s="32"/>
      <c r="F36" s="27"/>
      <c r="G36" s="28"/>
      <c r="H36" s="28"/>
      <c r="I36" s="28"/>
      <c r="J36" s="29"/>
      <c r="K36" s="29"/>
      <c r="L36" s="29"/>
      <c r="M36" s="35"/>
      <c r="N36" s="28"/>
    </row>
    <row r="37" spans="1:17" ht="33.75">
      <c r="A37" s="30"/>
      <c r="C37" s="26"/>
      <c r="D37" s="33"/>
      <c r="F37" s="27"/>
      <c r="G37" s="27"/>
      <c r="H37" s="27"/>
      <c r="I37" s="27"/>
      <c r="J37" s="27"/>
      <c r="K37" s="27"/>
      <c r="L37" s="29"/>
      <c r="M37" s="190" t="s">
        <v>170</v>
      </c>
      <c r="N37" s="185" t="s">
        <v>171</v>
      </c>
      <c r="O37" s="186" t="s">
        <v>172</v>
      </c>
      <c r="P37" s="37"/>
      <c r="Q37" s="37"/>
    </row>
    <row r="38" spans="1:17" ht="12.75">
      <c r="A38" s="30"/>
      <c r="B38" s="30"/>
      <c r="C38" s="30"/>
      <c r="D38" s="30"/>
      <c r="F38" s="27"/>
      <c r="G38" s="27"/>
      <c r="H38" s="27"/>
      <c r="I38" s="27"/>
      <c r="J38" s="27"/>
      <c r="K38" s="27"/>
      <c r="L38" s="27"/>
      <c r="M38" s="5">
        <v>0</v>
      </c>
      <c r="N38" s="41">
        <v>1</v>
      </c>
      <c r="O38" s="41">
        <v>1</v>
      </c>
      <c r="P38" s="37"/>
      <c r="Q38" s="37"/>
    </row>
    <row r="39" spans="1:17" ht="12.75">
      <c r="A39" s="30"/>
      <c r="C39" s="26"/>
      <c r="D39" s="33"/>
      <c r="F39" s="27"/>
      <c r="G39" s="27"/>
      <c r="H39" s="27"/>
      <c r="I39" s="27"/>
      <c r="J39" s="27"/>
      <c r="K39" s="27"/>
      <c r="L39" s="27"/>
      <c r="M39" s="5">
        <v>3</v>
      </c>
      <c r="N39" s="41">
        <v>0.8551724137931034</v>
      </c>
      <c r="O39" s="41">
        <v>0.8689655172413793</v>
      </c>
      <c r="P39" s="37"/>
      <c r="Q39" s="37"/>
    </row>
    <row r="40" spans="1:17" ht="15.75" customHeight="1">
      <c r="A40" s="39"/>
      <c r="B40" s="274" t="s">
        <v>125</v>
      </c>
      <c r="C40" s="275"/>
      <c r="D40" s="275"/>
      <c r="E40" s="275"/>
      <c r="F40" s="275"/>
      <c r="G40" s="275"/>
      <c r="H40" s="275"/>
      <c r="I40" s="275"/>
      <c r="J40" s="275"/>
      <c r="K40" s="276"/>
      <c r="L40" s="39"/>
      <c r="M40" s="5">
        <v>6</v>
      </c>
      <c r="N40" s="41">
        <v>0.7752497582984208</v>
      </c>
      <c r="O40" s="41">
        <v>0.7448275862068966</v>
      </c>
      <c r="P40" s="37"/>
      <c r="Q40" s="37"/>
    </row>
    <row r="41" spans="1:17" ht="12.75">
      <c r="A41" s="39"/>
      <c r="B41" s="277" t="s">
        <v>111</v>
      </c>
      <c r="C41" s="280" t="s">
        <v>112</v>
      </c>
      <c r="D41" s="281"/>
      <c r="E41" s="282"/>
      <c r="F41" s="283" t="s">
        <v>113</v>
      </c>
      <c r="G41" s="284"/>
      <c r="H41" s="285"/>
      <c r="I41" s="283" t="s">
        <v>114</v>
      </c>
      <c r="J41" s="284"/>
      <c r="K41" s="285"/>
      <c r="L41" s="39"/>
      <c r="M41" s="5">
        <v>9</v>
      </c>
      <c r="N41" s="41">
        <v>0.6871531948554185</v>
      </c>
      <c r="O41" s="41">
        <v>0.7202728306176582</v>
      </c>
      <c r="P41" s="37"/>
      <c r="Q41" s="37"/>
    </row>
    <row r="42" spans="1:17" ht="12.75">
      <c r="A42" s="39"/>
      <c r="B42" s="278"/>
      <c r="C42" s="280" t="s">
        <v>115</v>
      </c>
      <c r="D42" s="282"/>
      <c r="E42" s="65"/>
      <c r="F42" s="280" t="s">
        <v>115</v>
      </c>
      <c r="G42" s="282"/>
      <c r="H42" s="66"/>
      <c r="I42" s="280" t="s">
        <v>115</v>
      </c>
      <c r="J42" s="282"/>
      <c r="K42" s="65"/>
      <c r="L42" s="39"/>
      <c r="M42" s="5">
        <v>12</v>
      </c>
      <c r="N42" s="41">
        <v>0.6774749808433703</v>
      </c>
      <c r="O42" s="41">
        <v>0.6823637342693605</v>
      </c>
      <c r="P42" s="37"/>
      <c r="Q42" s="37"/>
    </row>
    <row r="43" spans="1:17" ht="12.75">
      <c r="A43" s="39"/>
      <c r="B43" s="279"/>
      <c r="C43" s="67" t="s">
        <v>116</v>
      </c>
      <c r="D43" s="67" t="s">
        <v>117</v>
      </c>
      <c r="E43" s="67" t="s">
        <v>118</v>
      </c>
      <c r="F43" s="67" t="s">
        <v>116</v>
      </c>
      <c r="G43" s="67" t="s">
        <v>117</v>
      </c>
      <c r="H43" s="67" t="s">
        <v>118</v>
      </c>
      <c r="I43" s="68" t="s">
        <v>116</v>
      </c>
      <c r="J43" s="68" t="s">
        <v>117</v>
      </c>
      <c r="K43" s="67" t="s">
        <v>118</v>
      </c>
      <c r="L43" s="39"/>
      <c r="M43" s="5">
        <v>15</v>
      </c>
      <c r="N43" s="41">
        <v>0.656303887692015</v>
      </c>
      <c r="O43" s="41">
        <v>0.6603520009058328</v>
      </c>
      <c r="P43" s="37"/>
      <c r="Q43" s="37"/>
    </row>
    <row r="44" spans="1:17" ht="12.75">
      <c r="A44" s="39"/>
      <c r="B44" s="63">
        <v>3</v>
      </c>
      <c r="C44" s="70">
        <f aca="true" t="shared" si="43" ref="C44:C51">B13</f>
        <v>145</v>
      </c>
      <c r="D44" s="70">
        <f aca="true" t="shared" si="44" ref="D44:D51">B27</f>
        <v>145</v>
      </c>
      <c r="E44" s="71">
        <f>C44+D44</f>
        <v>290</v>
      </c>
      <c r="F44" s="70">
        <f aca="true" t="shared" si="45" ref="F44:F51">C13</f>
        <v>19</v>
      </c>
      <c r="G44" s="70">
        <f aca="true" t="shared" si="46" ref="G44:G51">C27</f>
        <v>21</v>
      </c>
      <c r="H44" s="71">
        <f>F44+G44</f>
        <v>40</v>
      </c>
      <c r="I44" s="72">
        <f aca="true" t="shared" si="47" ref="I44:I51">H44*C44/E44</f>
        <v>20</v>
      </c>
      <c r="J44" s="72">
        <f aca="true" t="shared" si="48" ref="J44:J51">H44*D44/E44</f>
        <v>20</v>
      </c>
      <c r="K44" s="73">
        <f>I44+J44</f>
        <v>40</v>
      </c>
      <c r="L44" s="39"/>
      <c r="M44" s="5">
        <v>18</v>
      </c>
      <c r="N44" s="41">
        <v>0.6305664803315438</v>
      </c>
      <c r="O44" s="41">
        <v>0.6344558440075648</v>
      </c>
      <c r="P44" s="37"/>
      <c r="Q44" s="37"/>
    </row>
    <row r="45" spans="1:17" ht="12.75">
      <c r="A45" s="39"/>
      <c r="B45" s="63">
        <v>6</v>
      </c>
      <c r="C45" s="70">
        <f t="shared" si="43"/>
        <v>119</v>
      </c>
      <c r="D45" s="70">
        <f t="shared" si="44"/>
        <v>107</v>
      </c>
      <c r="E45" s="71">
        <f aca="true" t="shared" si="49" ref="E45:E51">C45+D45</f>
        <v>226</v>
      </c>
      <c r="F45" s="70">
        <f t="shared" si="45"/>
        <v>17</v>
      </c>
      <c r="G45" s="70">
        <f t="shared" si="46"/>
        <v>10</v>
      </c>
      <c r="H45" s="71">
        <f aca="true" t="shared" si="50" ref="H45:H51">F45+G45</f>
        <v>27</v>
      </c>
      <c r="I45" s="72">
        <f t="shared" si="47"/>
        <v>14.216814159292035</v>
      </c>
      <c r="J45" s="72">
        <f t="shared" si="48"/>
        <v>12.783185840707965</v>
      </c>
      <c r="K45" s="73">
        <f aca="true" t="shared" si="51" ref="K45:K52">I45+J45</f>
        <v>27</v>
      </c>
      <c r="L45" s="39"/>
      <c r="M45" s="5">
        <v>21</v>
      </c>
      <c r="N45" s="41">
        <v>0.6143981090409915</v>
      </c>
      <c r="O45" s="41">
        <v>0.6168320705629102</v>
      </c>
      <c r="P45" s="37"/>
      <c r="Q45" s="37"/>
    </row>
    <row r="46" spans="1:15" ht="12.75">
      <c r="A46" s="39"/>
      <c r="B46" s="63">
        <v>9</v>
      </c>
      <c r="C46" s="70">
        <f t="shared" si="43"/>
        <v>91</v>
      </c>
      <c r="D46" s="70">
        <f t="shared" si="44"/>
        <v>88</v>
      </c>
      <c r="E46" s="71">
        <f t="shared" si="49"/>
        <v>179</v>
      </c>
      <c r="F46" s="70">
        <f t="shared" si="45"/>
        <v>3</v>
      </c>
      <c r="G46" s="70">
        <f t="shared" si="46"/>
        <v>10</v>
      </c>
      <c r="H46" s="71">
        <f t="shared" si="50"/>
        <v>13</v>
      </c>
      <c r="I46" s="72">
        <f t="shared" si="47"/>
        <v>6.608938547486034</v>
      </c>
      <c r="J46" s="72">
        <f t="shared" si="48"/>
        <v>6.391061452513966</v>
      </c>
      <c r="K46" s="73">
        <f t="shared" si="51"/>
        <v>13</v>
      </c>
      <c r="L46" s="39"/>
      <c r="M46" s="5">
        <v>24</v>
      </c>
      <c r="N46" s="41">
        <v>0.6143981090409915</v>
      </c>
      <c r="O46" s="41">
        <v>0.5931077601566445</v>
      </c>
    </row>
    <row r="47" spans="1:14" ht="12.75">
      <c r="A47" s="39"/>
      <c r="B47" s="63">
        <v>12</v>
      </c>
      <c r="C47" s="70">
        <f t="shared" si="43"/>
        <v>76</v>
      </c>
      <c r="D47" s="70">
        <f t="shared" si="44"/>
        <v>71</v>
      </c>
      <c r="E47" s="71">
        <f t="shared" si="49"/>
        <v>147</v>
      </c>
      <c r="F47" s="70">
        <f t="shared" si="45"/>
        <v>4</v>
      </c>
      <c r="G47" s="70">
        <f t="shared" si="46"/>
        <v>1</v>
      </c>
      <c r="H47" s="71">
        <f t="shared" si="50"/>
        <v>5</v>
      </c>
      <c r="I47" s="72">
        <f t="shared" si="47"/>
        <v>2.5850340136054424</v>
      </c>
      <c r="J47" s="72">
        <f t="shared" si="48"/>
        <v>2.4149659863945576</v>
      </c>
      <c r="K47" s="73">
        <f t="shared" si="51"/>
        <v>5</v>
      </c>
      <c r="L47" s="39"/>
      <c r="M47" s="39"/>
      <c r="N47" s="39"/>
    </row>
    <row r="48" spans="1:14" ht="12.75">
      <c r="A48" s="39"/>
      <c r="B48" s="63">
        <v>15</v>
      </c>
      <c r="C48" s="70">
        <f t="shared" si="43"/>
        <v>62</v>
      </c>
      <c r="D48" s="70">
        <f t="shared" si="44"/>
        <v>64</v>
      </c>
      <c r="E48" s="71">
        <f t="shared" si="49"/>
        <v>126</v>
      </c>
      <c r="F48" s="70">
        <f t="shared" si="45"/>
        <v>2</v>
      </c>
      <c r="G48" s="70">
        <f t="shared" si="46"/>
        <v>2</v>
      </c>
      <c r="H48" s="71">
        <f t="shared" si="50"/>
        <v>4</v>
      </c>
      <c r="I48" s="72">
        <f t="shared" si="47"/>
        <v>1.9682539682539681</v>
      </c>
      <c r="J48" s="72">
        <f t="shared" si="48"/>
        <v>2.0317460317460316</v>
      </c>
      <c r="K48" s="73">
        <f t="shared" si="51"/>
        <v>4</v>
      </c>
      <c r="L48" s="39"/>
      <c r="M48" s="39"/>
      <c r="N48" s="39"/>
    </row>
    <row r="49" spans="1:14" ht="12.75">
      <c r="A49" s="39"/>
      <c r="B49" s="63">
        <v>18</v>
      </c>
      <c r="C49" s="70">
        <f t="shared" si="43"/>
        <v>51</v>
      </c>
      <c r="D49" s="70">
        <f t="shared" si="44"/>
        <v>51</v>
      </c>
      <c r="E49" s="71">
        <f t="shared" si="49"/>
        <v>102</v>
      </c>
      <c r="F49" s="70">
        <f t="shared" si="45"/>
        <v>2</v>
      </c>
      <c r="G49" s="70">
        <f t="shared" si="46"/>
        <v>2</v>
      </c>
      <c r="H49" s="71">
        <f t="shared" si="50"/>
        <v>4</v>
      </c>
      <c r="I49" s="72">
        <f t="shared" si="47"/>
        <v>2</v>
      </c>
      <c r="J49" s="72">
        <f t="shared" si="48"/>
        <v>2</v>
      </c>
      <c r="K49" s="73">
        <f t="shared" si="51"/>
        <v>4</v>
      </c>
      <c r="L49" s="39"/>
      <c r="M49" s="39"/>
      <c r="N49" s="39"/>
    </row>
    <row r="50" spans="1:14" ht="12.75">
      <c r="A50" s="39"/>
      <c r="B50" s="63">
        <v>21</v>
      </c>
      <c r="C50" s="70">
        <f t="shared" si="43"/>
        <v>36</v>
      </c>
      <c r="D50" s="70">
        <f t="shared" si="44"/>
        <v>39</v>
      </c>
      <c r="E50" s="71">
        <f t="shared" si="49"/>
        <v>75</v>
      </c>
      <c r="F50" s="70">
        <f t="shared" si="45"/>
        <v>1</v>
      </c>
      <c r="G50" s="70">
        <f t="shared" si="46"/>
        <v>1</v>
      </c>
      <c r="H50" s="71">
        <f t="shared" si="50"/>
        <v>2</v>
      </c>
      <c r="I50" s="72">
        <f t="shared" si="47"/>
        <v>0.96</v>
      </c>
      <c r="J50" s="72">
        <f t="shared" si="48"/>
        <v>1.04</v>
      </c>
      <c r="K50" s="73">
        <f t="shared" si="51"/>
        <v>2</v>
      </c>
      <c r="L50" s="39"/>
      <c r="M50" s="39"/>
      <c r="N50" s="39"/>
    </row>
    <row r="51" spans="1:14" ht="12.75">
      <c r="A51" s="39"/>
      <c r="B51" s="63">
        <v>24</v>
      </c>
      <c r="C51" s="70">
        <f t="shared" si="43"/>
        <v>26</v>
      </c>
      <c r="D51" s="70">
        <f t="shared" si="44"/>
        <v>30</v>
      </c>
      <c r="E51" s="71">
        <f t="shared" si="49"/>
        <v>56</v>
      </c>
      <c r="F51" s="70">
        <f t="shared" si="45"/>
        <v>1</v>
      </c>
      <c r="G51" s="70">
        <f t="shared" si="46"/>
        <v>0</v>
      </c>
      <c r="H51" s="71">
        <f t="shared" si="50"/>
        <v>1</v>
      </c>
      <c r="I51" s="72">
        <f t="shared" si="47"/>
        <v>0.4642857142857143</v>
      </c>
      <c r="J51" s="72">
        <f t="shared" si="48"/>
        <v>0.5357142857142857</v>
      </c>
      <c r="K51" s="73">
        <f t="shared" si="51"/>
        <v>1</v>
      </c>
      <c r="L51" s="39"/>
      <c r="M51" s="39"/>
      <c r="N51" s="39"/>
    </row>
    <row r="52" spans="1:14" ht="12.75">
      <c r="A52" s="39"/>
      <c r="B52" s="74"/>
      <c r="C52" s="75"/>
      <c r="D52" s="75"/>
      <c r="E52" s="75"/>
      <c r="F52" s="76">
        <f>SUM(F44:F51)</f>
        <v>49</v>
      </c>
      <c r="G52" s="76">
        <f>SUM(G44:G51)</f>
        <v>47</v>
      </c>
      <c r="H52" s="76">
        <f>SUM(H44:H51)</f>
        <v>96</v>
      </c>
      <c r="I52" s="77">
        <f>SUM(I44:I51)</f>
        <v>48.8033264029232</v>
      </c>
      <c r="J52" s="77">
        <f>SUM(J44:J51)</f>
        <v>47.1966735970768</v>
      </c>
      <c r="K52" s="78">
        <f t="shared" si="51"/>
        <v>96</v>
      </c>
      <c r="L52" s="39"/>
      <c r="M52" s="39"/>
      <c r="N52" s="39"/>
    </row>
    <row r="53" spans="1:14" ht="12.75">
      <c r="A53" s="39"/>
      <c r="B53" s="39"/>
      <c r="C53" s="39"/>
      <c r="D53" s="39"/>
      <c r="E53" s="39"/>
      <c r="F53" s="39"/>
      <c r="G53" s="39"/>
      <c r="H53" s="39"/>
      <c r="I53" s="79"/>
      <c r="J53" s="39"/>
      <c r="K53" s="39"/>
      <c r="L53" s="39"/>
      <c r="M53" s="39"/>
      <c r="N53" s="39"/>
    </row>
    <row r="54" spans="1:14" ht="12.75">
      <c r="A54" s="39"/>
      <c r="B54" s="80" t="s">
        <v>119</v>
      </c>
      <c r="C54" s="81">
        <f>((F52-I52)^2)/I52</f>
        <v>0.0007925792489589746</v>
      </c>
      <c r="D54" s="82"/>
      <c r="E54" s="83">
        <f>((G52-J52)^2)/J52</f>
        <v>0.0008195599570713029</v>
      </c>
      <c r="F54" s="82"/>
      <c r="G54" s="84">
        <f>C54+E54</f>
        <v>0.0016121392060302775</v>
      </c>
      <c r="H54" s="85" t="s">
        <v>145</v>
      </c>
      <c r="I54" s="82"/>
      <c r="J54" s="86" t="s">
        <v>146</v>
      </c>
      <c r="K54" s="87">
        <f>CHIDIST(G54,1)</f>
        <v>0.9679723810069348</v>
      </c>
      <c r="L54" s="39"/>
      <c r="M54" s="39"/>
      <c r="N54" s="39"/>
    </row>
    <row r="55" spans="1:14" ht="12.75">
      <c r="A55" s="39"/>
      <c r="B55" s="39"/>
      <c r="C55" s="39"/>
      <c r="D55" s="39"/>
      <c r="E55" s="39"/>
      <c r="F55" s="39"/>
      <c r="G55" s="39"/>
      <c r="H55" s="88"/>
      <c r="I55" s="39"/>
      <c r="J55" s="39"/>
      <c r="K55" s="39"/>
      <c r="L55" s="39"/>
      <c r="N55" s="39"/>
    </row>
    <row r="56" spans="1:15" ht="12.75" customHeight="1">
      <c r="A56" s="39"/>
      <c r="B56" s="39"/>
      <c r="C56" s="39"/>
      <c r="D56" s="39"/>
      <c r="E56" s="39"/>
      <c r="F56" s="39"/>
      <c r="G56" s="39"/>
      <c r="H56" s="89"/>
      <c r="I56" s="90" t="s">
        <v>120</v>
      </c>
      <c r="J56" s="87">
        <f>(F52/I52)/(G52/J52)</f>
        <v>1.008231329972763</v>
      </c>
      <c r="N56" s="286" t="s">
        <v>239</v>
      </c>
      <c r="O56" s="287"/>
    </row>
    <row r="57" spans="1:15" ht="27">
      <c r="A57" s="39"/>
      <c r="B57" s="39"/>
      <c r="C57" s="39"/>
      <c r="D57" s="39"/>
      <c r="E57" s="39"/>
      <c r="F57" s="39"/>
      <c r="G57" s="39"/>
      <c r="M57" s="99" t="s">
        <v>170</v>
      </c>
      <c r="N57" s="188" t="s">
        <v>240</v>
      </c>
      <c r="O57" s="188" t="s">
        <v>241</v>
      </c>
    </row>
    <row r="58" spans="1:15" ht="12.75">
      <c r="A58" s="39"/>
      <c r="B58" s="39"/>
      <c r="C58" s="39"/>
      <c r="D58" s="39"/>
      <c r="E58" s="39"/>
      <c r="F58" s="39"/>
      <c r="G58" s="39"/>
      <c r="H58" s="39"/>
      <c r="I58" s="39"/>
      <c r="J58" s="39"/>
      <c r="M58" s="5">
        <v>3</v>
      </c>
      <c r="N58" s="192">
        <f>F27</f>
        <v>0.14482758620689656</v>
      </c>
      <c r="O58" s="191">
        <f aca="true" t="shared" si="52" ref="O58:O65">F13</f>
        <v>0.1310344827586207</v>
      </c>
    </row>
    <row r="59" spans="1:15" ht="12.75">
      <c r="A59" s="39"/>
      <c r="B59" s="39"/>
      <c r="C59" s="39"/>
      <c r="D59" s="39"/>
      <c r="E59" s="39"/>
      <c r="F59" s="39"/>
      <c r="G59" s="39"/>
      <c r="H59" s="39"/>
      <c r="M59" s="5">
        <v>6</v>
      </c>
      <c r="N59" s="192">
        <f aca="true" t="shared" si="53" ref="N59:N65">F28</f>
        <v>0.09345794392523364</v>
      </c>
      <c r="O59" s="191">
        <f t="shared" si="52"/>
        <v>0.14285714285714285</v>
      </c>
    </row>
    <row r="60" spans="1:15" ht="12.75">
      <c r="A60" s="39"/>
      <c r="B60" s="39"/>
      <c r="C60" s="39"/>
      <c r="D60" s="39"/>
      <c r="E60" s="39"/>
      <c r="F60" s="39"/>
      <c r="G60" s="39"/>
      <c r="H60" s="39"/>
      <c r="I60" s="39"/>
      <c r="M60" s="5">
        <v>9</v>
      </c>
      <c r="N60" s="192">
        <f t="shared" si="53"/>
        <v>0.11363636363636363</v>
      </c>
      <c r="O60" s="191">
        <f t="shared" si="52"/>
        <v>0.03296703296703297</v>
      </c>
    </row>
    <row r="61" spans="1:15" ht="12.75">
      <c r="A61" s="39"/>
      <c r="B61" s="39"/>
      <c r="C61" s="39"/>
      <c r="D61" s="39"/>
      <c r="E61" s="39"/>
      <c r="F61" s="39"/>
      <c r="G61" s="39"/>
      <c r="H61" s="39"/>
      <c r="I61" s="39"/>
      <c r="M61" s="5">
        <v>12</v>
      </c>
      <c r="N61" s="192">
        <f t="shared" si="53"/>
        <v>0.014084507042253521</v>
      </c>
      <c r="O61" s="191">
        <f t="shared" si="52"/>
        <v>0.05263157894736842</v>
      </c>
    </row>
    <row r="62" spans="1:15" ht="12.75">
      <c r="A62" s="39"/>
      <c r="B62" s="39"/>
      <c r="C62" s="39"/>
      <c r="D62" s="39"/>
      <c r="E62" s="39"/>
      <c r="F62" s="39"/>
      <c r="G62" s="39"/>
      <c r="H62" s="39"/>
      <c r="I62" s="39"/>
      <c r="J62" s="39"/>
      <c r="K62" s="39"/>
      <c r="L62" s="39"/>
      <c r="M62" s="5">
        <v>15</v>
      </c>
      <c r="N62" s="192">
        <f t="shared" si="53"/>
        <v>0.03125</v>
      </c>
      <c r="O62" s="191">
        <f t="shared" si="52"/>
        <v>0.03225806451612903</v>
      </c>
    </row>
    <row r="63" spans="1:15" ht="12.75">
      <c r="A63" s="39"/>
      <c r="B63" s="39"/>
      <c r="C63" s="39"/>
      <c r="D63" s="39"/>
      <c r="E63" s="39"/>
      <c r="F63" s="39"/>
      <c r="G63" s="39"/>
      <c r="H63" s="39"/>
      <c r="I63" s="39"/>
      <c r="J63" s="39"/>
      <c r="K63" s="39"/>
      <c r="L63" s="39"/>
      <c r="M63" s="5">
        <v>18</v>
      </c>
      <c r="N63" s="192">
        <f t="shared" si="53"/>
        <v>0.0392156862745098</v>
      </c>
      <c r="O63" s="191">
        <f t="shared" si="52"/>
        <v>0.0392156862745098</v>
      </c>
    </row>
    <row r="64" spans="1:16" ht="12.75">
      <c r="A64" s="39"/>
      <c r="B64" s="39"/>
      <c r="C64" s="39"/>
      <c r="D64" s="39"/>
      <c r="E64" s="39"/>
      <c r="F64" s="39"/>
      <c r="G64" s="39"/>
      <c r="H64" s="39"/>
      <c r="I64" s="39"/>
      <c r="J64" s="39"/>
      <c r="M64" s="5">
        <v>21</v>
      </c>
      <c r="N64" s="192">
        <f t="shared" si="53"/>
        <v>0.02564102564102564</v>
      </c>
      <c r="O64" s="191">
        <f t="shared" si="52"/>
        <v>0.027777777777777776</v>
      </c>
      <c r="P64" s="40"/>
    </row>
    <row r="65" spans="1:16" ht="12.75">
      <c r="A65" s="39"/>
      <c r="B65" s="39"/>
      <c r="C65" s="39"/>
      <c r="D65" s="39"/>
      <c r="E65" s="39"/>
      <c r="F65" s="39"/>
      <c r="G65" s="39"/>
      <c r="H65" s="39"/>
      <c r="I65" s="39"/>
      <c r="J65" s="39"/>
      <c r="M65" s="5">
        <v>24</v>
      </c>
      <c r="N65" s="192">
        <f t="shared" si="53"/>
        <v>0</v>
      </c>
      <c r="O65" s="191">
        <f t="shared" si="52"/>
        <v>0.038461538461538464</v>
      </c>
      <c r="P65" s="40"/>
    </row>
    <row r="66" spans="1:16" ht="12.75">
      <c r="A66" s="39"/>
      <c r="B66" s="39"/>
      <c r="C66" s="39"/>
      <c r="D66" s="39"/>
      <c r="E66" s="39"/>
      <c r="F66" s="39"/>
      <c r="G66" s="39"/>
      <c r="H66" s="39"/>
      <c r="I66" s="39"/>
      <c r="J66" s="39"/>
      <c r="P66" s="40"/>
    </row>
    <row r="67" spans="1:16" ht="12.75">
      <c r="A67" s="39"/>
      <c r="B67" s="39"/>
      <c r="C67" s="39"/>
      <c r="D67" s="39"/>
      <c r="E67" s="39"/>
      <c r="F67" s="39"/>
      <c r="G67" s="39"/>
      <c r="H67" s="39"/>
      <c r="I67" s="39"/>
      <c r="J67" s="39"/>
      <c r="K67" s="39"/>
      <c r="L67" s="39"/>
      <c r="M67" s="39"/>
      <c r="N67" s="39"/>
      <c r="O67" s="39"/>
      <c r="P67" s="40"/>
    </row>
    <row r="68" spans="1:16" ht="12.75">
      <c r="A68" s="39"/>
      <c r="B68" s="39"/>
      <c r="C68" s="39"/>
      <c r="D68" s="39"/>
      <c r="E68" s="39"/>
      <c r="F68" s="39"/>
      <c r="G68" s="39"/>
      <c r="H68" s="39"/>
      <c r="I68" s="39"/>
      <c r="J68" s="39"/>
      <c r="K68" s="39"/>
      <c r="L68" s="39"/>
      <c r="M68" s="39"/>
      <c r="N68" s="40"/>
      <c r="O68" s="40"/>
      <c r="P68" s="40"/>
    </row>
    <row r="69" spans="1:16" ht="12.75">
      <c r="A69" s="39"/>
      <c r="B69" s="39"/>
      <c r="C69" s="39"/>
      <c r="D69" s="39"/>
      <c r="E69" s="39"/>
      <c r="F69" s="39"/>
      <c r="G69" s="39"/>
      <c r="H69" s="39"/>
      <c r="I69" s="39"/>
      <c r="J69" s="39"/>
      <c r="K69" s="39"/>
      <c r="L69" s="39"/>
      <c r="O69" s="40"/>
      <c r="P69" s="40"/>
    </row>
    <row r="70" spans="1:16" ht="13.5">
      <c r="A70" s="39"/>
      <c r="B70" s="39"/>
      <c r="C70" s="39"/>
      <c r="D70" s="39"/>
      <c r="E70" s="39"/>
      <c r="F70" s="39"/>
      <c r="G70" s="39"/>
      <c r="H70" s="39"/>
      <c r="I70" s="39"/>
      <c r="J70" s="39"/>
      <c r="K70" s="39"/>
      <c r="L70" s="39"/>
      <c r="M70" s="99" t="s">
        <v>170</v>
      </c>
      <c r="N70" s="188" t="s">
        <v>242</v>
      </c>
      <c r="O70" s="40"/>
      <c r="P70" s="40"/>
    </row>
    <row r="71" spans="1:18" ht="12.75">
      <c r="A71" s="39"/>
      <c r="B71" s="39"/>
      <c r="C71" s="39"/>
      <c r="D71" s="39"/>
      <c r="E71" s="39"/>
      <c r="F71" s="39"/>
      <c r="G71" s="39"/>
      <c r="H71" s="39"/>
      <c r="I71" s="39"/>
      <c r="J71" s="39"/>
      <c r="K71" s="39"/>
      <c r="L71" s="39"/>
      <c r="M71" s="5">
        <v>3</v>
      </c>
      <c r="N71" s="189">
        <f>O58/N58</f>
        <v>0.9047619047619048</v>
      </c>
      <c r="O71" s="40"/>
      <c r="P71" s="40"/>
      <c r="Q71" s="1"/>
      <c r="R71" s="1"/>
    </row>
    <row r="72" spans="1:18" ht="12.75">
      <c r="A72" s="39"/>
      <c r="B72" s="39"/>
      <c r="C72" s="39"/>
      <c r="D72" s="39"/>
      <c r="E72" s="39"/>
      <c r="F72" s="39"/>
      <c r="G72" s="39"/>
      <c r="H72" s="39"/>
      <c r="I72" s="39"/>
      <c r="J72" s="39"/>
      <c r="K72" s="39"/>
      <c r="L72" s="39"/>
      <c r="M72" s="5">
        <v>6</v>
      </c>
      <c r="N72" s="189">
        <f aca="true" t="shared" si="54" ref="N72:N77">O59/N59</f>
        <v>1.5285714285714285</v>
      </c>
      <c r="O72" s="40"/>
      <c r="P72" s="40"/>
      <c r="Q72" s="1"/>
      <c r="R72" s="1"/>
    </row>
    <row r="73" spans="1:18" ht="12.75">
      <c r="A73" s="39"/>
      <c r="B73" s="39"/>
      <c r="C73" s="39"/>
      <c r="D73" s="39"/>
      <c r="E73" s="39"/>
      <c r="F73" s="39"/>
      <c r="G73" s="39"/>
      <c r="H73" s="39"/>
      <c r="I73" s="39"/>
      <c r="J73" s="39"/>
      <c r="K73" s="39"/>
      <c r="L73" s="39"/>
      <c r="M73" s="5">
        <v>9</v>
      </c>
      <c r="N73" s="189">
        <f t="shared" si="54"/>
        <v>0.29010989010989013</v>
      </c>
      <c r="O73" s="40"/>
      <c r="P73" s="40"/>
      <c r="Q73" s="1"/>
      <c r="R73" s="1"/>
    </row>
    <row r="74" spans="1:18" ht="12.75">
      <c r="A74" s="39"/>
      <c r="B74" s="39"/>
      <c r="C74" s="39"/>
      <c r="D74" s="39"/>
      <c r="E74" s="39"/>
      <c r="F74" s="39"/>
      <c r="G74" s="39"/>
      <c r="H74" s="39"/>
      <c r="I74" s="39"/>
      <c r="J74" s="39"/>
      <c r="K74" s="39"/>
      <c r="L74" s="39"/>
      <c r="M74" s="5">
        <v>12</v>
      </c>
      <c r="N74" s="189">
        <f t="shared" si="54"/>
        <v>3.7368421052631575</v>
      </c>
      <c r="O74" s="40"/>
      <c r="P74" s="1"/>
      <c r="Q74" s="1"/>
      <c r="R74" s="1"/>
    </row>
    <row r="75" spans="1:18" ht="12.75">
      <c r="A75" s="39"/>
      <c r="B75" s="39"/>
      <c r="C75" s="39"/>
      <c r="D75" s="39"/>
      <c r="E75" s="39"/>
      <c r="F75" s="39"/>
      <c r="G75" s="39"/>
      <c r="H75" s="39"/>
      <c r="I75" s="39"/>
      <c r="J75" s="39"/>
      <c r="K75" s="39"/>
      <c r="L75" s="39"/>
      <c r="M75" s="5">
        <v>15</v>
      </c>
      <c r="N75" s="189">
        <f t="shared" si="54"/>
        <v>1.032258064516129</v>
      </c>
      <c r="O75" s="40"/>
      <c r="P75" s="1"/>
      <c r="Q75" s="1"/>
      <c r="R75" s="1"/>
    </row>
    <row r="76" spans="1:18" ht="12.75">
      <c r="A76" s="39"/>
      <c r="B76" s="39"/>
      <c r="C76" s="39"/>
      <c r="D76" s="39"/>
      <c r="E76" s="39"/>
      <c r="F76" s="39"/>
      <c r="G76" s="39"/>
      <c r="H76" s="39"/>
      <c r="I76" s="39"/>
      <c r="J76" s="39"/>
      <c r="K76" s="39"/>
      <c r="L76" s="39"/>
      <c r="M76" s="5">
        <v>18</v>
      </c>
      <c r="N76" s="189">
        <f t="shared" si="54"/>
        <v>1</v>
      </c>
      <c r="O76" s="40"/>
      <c r="P76" s="1"/>
      <c r="Q76" s="1"/>
      <c r="R76" s="1"/>
    </row>
    <row r="77" spans="1:18" ht="12.75">
      <c r="A77" s="39"/>
      <c r="B77" s="39"/>
      <c r="C77" s="39"/>
      <c r="D77" s="39"/>
      <c r="E77" s="39"/>
      <c r="F77" s="39"/>
      <c r="G77" s="39"/>
      <c r="H77" s="39"/>
      <c r="I77" s="39"/>
      <c r="J77" s="39"/>
      <c r="K77" s="39"/>
      <c r="L77" s="39"/>
      <c r="M77" s="5">
        <v>21</v>
      </c>
      <c r="N77" s="189">
        <f t="shared" si="54"/>
        <v>1.0833333333333333</v>
      </c>
      <c r="O77" s="40"/>
      <c r="P77" s="1"/>
      <c r="Q77" s="1"/>
      <c r="R77" s="1"/>
    </row>
    <row r="78" spans="1:15" ht="12.75">
      <c r="A78" s="39"/>
      <c r="B78" s="39"/>
      <c r="C78" s="39"/>
      <c r="D78" s="39"/>
      <c r="E78" s="39"/>
      <c r="F78" s="39"/>
      <c r="G78" s="39"/>
      <c r="H78" s="39"/>
      <c r="I78" s="39"/>
      <c r="J78" s="39"/>
      <c r="K78" s="39"/>
      <c r="L78" s="39"/>
      <c r="M78" s="5">
        <v>24</v>
      </c>
      <c r="N78" s="189" t="e">
        <f>O65/N65</f>
        <v>#DIV/0!</v>
      </c>
      <c r="O78" s="40"/>
    </row>
    <row r="79" spans="1:14" ht="12.75">
      <c r="A79" s="39"/>
      <c r="B79" s="36"/>
      <c r="C79" s="39"/>
      <c r="D79" s="39"/>
      <c r="E79" s="39"/>
      <c r="F79" s="39"/>
      <c r="G79" s="39"/>
      <c r="H79" s="39"/>
      <c r="I79" s="39"/>
      <c r="J79" s="39"/>
      <c r="K79" s="39"/>
      <c r="L79" s="39"/>
      <c r="M79" s="39"/>
      <c r="N79" s="39"/>
    </row>
    <row r="80" spans="1:14" ht="12.75">
      <c r="A80" s="39"/>
      <c r="B80" s="39"/>
      <c r="C80" s="39"/>
      <c r="D80" s="39"/>
      <c r="E80" s="39"/>
      <c r="F80" s="39"/>
      <c r="G80" s="39"/>
      <c r="H80" s="39"/>
      <c r="I80" s="39"/>
      <c r="J80" s="39"/>
      <c r="K80" s="39"/>
      <c r="L80" s="39"/>
      <c r="M80" s="39"/>
      <c r="N80" s="39"/>
    </row>
    <row r="81" spans="1:14" ht="12.75">
      <c r="A81" s="39"/>
      <c r="B81" s="36"/>
      <c r="C81" s="39"/>
      <c r="D81" s="39"/>
      <c r="E81" s="39"/>
      <c r="F81" s="39"/>
      <c r="G81" s="39"/>
      <c r="H81" s="39"/>
      <c r="I81" s="39"/>
      <c r="J81" s="39"/>
      <c r="K81" s="39"/>
      <c r="L81" s="39"/>
      <c r="M81" s="39"/>
      <c r="N81" s="39"/>
    </row>
    <row r="82" spans="1:14" ht="12.75">
      <c r="A82" s="39"/>
      <c r="B82" s="39"/>
      <c r="C82" s="39"/>
      <c r="D82" s="39"/>
      <c r="E82" s="39"/>
      <c r="F82" s="39"/>
      <c r="G82" s="39"/>
      <c r="H82" s="39"/>
      <c r="I82" s="39"/>
      <c r="J82" s="39"/>
      <c r="K82" s="39"/>
      <c r="L82" s="39"/>
      <c r="M82" s="39"/>
      <c r="N82" s="39"/>
    </row>
    <row r="83" spans="1:14" ht="12.75">
      <c r="A83" s="39"/>
      <c r="B83" s="39"/>
      <c r="C83" s="39"/>
      <c r="D83" s="39"/>
      <c r="E83" s="39"/>
      <c r="F83" s="39"/>
      <c r="G83" s="39"/>
      <c r="H83" s="39"/>
      <c r="I83" s="39"/>
      <c r="J83" s="39"/>
      <c r="K83" s="39"/>
      <c r="L83" s="39"/>
      <c r="M83" s="39"/>
      <c r="N83" s="39"/>
    </row>
    <row r="84" spans="1:14" ht="12.75">
      <c r="A84" s="39"/>
      <c r="B84" s="39"/>
      <c r="C84" s="39"/>
      <c r="D84" s="39"/>
      <c r="E84" s="39"/>
      <c r="F84" s="39"/>
      <c r="G84" s="39"/>
      <c r="H84" s="39"/>
      <c r="I84" s="39"/>
      <c r="J84" s="39"/>
      <c r="K84" s="39"/>
      <c r="L84" s="39"/>
      <c r="M84" s="39"/>
      <c r="N84" s="39"/>
    </row>
    <row r="85" spans="1:14" ht="12.75">
      <c r="A85" s="39"/>
      <c r="B85" s="39"/>
      <c r="C85" s="39"/>
      <c r="D85" s="39"/>
      <c r="E85" s="39"/>
      <c r="F85" s="39"/>
      <c r="G85" s="39"/>
      <c r="H85" s="39"/>
      <c r="I85" s="39"/>
      <c r="J85" s="39"/>
      <c r="K85" s="39"/>
      <c r="L85" s="39"/>
      <c r="M85" s="39"/>
      <c r="N85" s="39"/>
    </row>
    <row r="86" spans="1:14" ht="12.75">
      <c r="A86" s="39"/>
      <c r="B86" s="39"/>
      <c r="C86" s="39"/>
      <c r="D86" s="39"/>
      <c r="E86" s="39"/>
      <c r="F86" s="39"/>
      <c r="G86" s="39"/>
      <c r="H86" s="39"/>
      <c r="I86" s="39"/>
      <c r="J86" s="39"/>
      <c r="K86" s="39"/>
      <c r="L86" s="39"/>
      <c r="M86" s="39"/>
      <c r="N86" s="39"/>
    </row>
    <row r="87" spans="1:14" ht="12.75">
      <c r="A87" s="39"/>
      <c r="B87" s="39"/>
      <c r="C87" s="39"/>
      <c r="D87" s="39"/>
      <c r="E87" s="39"/>
      <c r="F87" s="39"/>
      <c r="G87" s="39"/>
      <c r="H87" s="39"/>
      <c r="I87" s="39"/>
      <c r="J87" s="39"/>
      <c r="K87" s="39"/>
      <c r="L87" s="39"/>
      <c r="M87" s="39"/>
      <c r="N87" s="39"/>
    </row>
    <row r="88" spans="1:14" ht="12.75">
      <c r="A88" s="39"/>
      <c r="B88" s="39"/>
      <c r="C88" s="39"/>
      <c r="D88" s="39"/>
      <c r="E88" s="39"/>
      <c r="F88" s="39"/>
      <c r="G88" s="39"/>
      <c r="H88" s="39"/>
      <c r="I88" s="39"/>
      <c r="J88" s="39"/>
      <c r="K88" s="39"/>
      <c r="L88" s="39"/>
      <c r="M88" s="39"/>
      <c r="N88" s="39"/>
    </row>
    <row r="89" spans="1:14" ht="12.75">
      <c r="A89" s="39"/>
      <c r="B89" s="39"/>
      <c r="C89" s="39"/>
      <c r="D89" s="39"/>
      <c r="E89" s="39"/>
      <c r="F89" s="39"/>
      <c r="G89" s="39"/>
      <c r="H89" s="39"/>
      <c r="I89" s="39"/>
      <c r="J89" s="39"/>
      <c r="K89" s="39"/>
      <c r="L89" s="39"/>
      <c r="M89" s="39"/>
      <c r="N89" s="39"/>
    </row>
    <row r="90" spans="1:14" ht="12.75">
      <c r="A90" s="39"/>
      <c r="B90" s="39"/>
      <c r="C90" s="39"/>
      <c r="D90" s="39"/>
      <c r="E90" s="39"/>
      <c r="F90" s="39"/>
      <c r="G90" s="39"/>
      <c r="H90" s="39"/>
      <c r="I90" s="39"/>
      <c r="J90" s="39"/>
      <c r="K90" s="39"/>
      <c r="L90" s="39"/>
      <c r="M90" s="39"/>
      <c r="N90" s="39"/>
    </row>
    <row r="91" spans="1:14" ht="12.75">
      <c r="A91" s="39"/>
      <c r="B91" s="39"/>
      <c r="C91" s="39"/>
      <c r="D91" s="39"/>
      <c r="E91" s="39"/>
      <c r="F91" s="39"/>
      <c r="G91" s="39"/>
      <c r="H91" s="39"/>
      <c r="I91" s="39"/>
      <c r="J91" s="39"/>
      <c r="K91" s="39"/>
      <c r="L91" s="39"/>
      <c r="M91" s="39"/>
      <c r="N91" s="39"/>
    </row>
  </sheetData>
  <sheetProtection/>
  <mergeCells count="13">
    <mergeCell ref="N56:O56"/>
    <mergeCell ref="I41:K41"/>
    <mergeCell ref="C42:D42"/>
    <mergeCell ref="F42:G42"/>
    <mergeCell ref="I42:J42"/>
    <mergeCell ref="A2:L2"/>
    <mergeCell ref="A3:L3"/>
    <mergeCell ref="A4:L4"/>
    <mergeCell ref="A5:L5"/>
    <mergeCell ref="B40:K40"/>
    <mergeCell ref="B41:B43"/>
    <mergeCell ref="C41:E41"/>
    <mergeCell ref="F41:H41"/>
  </mergeCells>
  <printOptions/>
  <pageMargins left="0.7" right="0.7" top="0.75" bottom="0.75" header="0.3" footer="0.3"/>
  <pageSetup orientation="portrait" paperSize="9"/>
  <ignoredErrors>
    <ignoredError sqref="C22 C36" formulaRange="1"/>
    <ignoredError sqref="N78" evalError="1"/>
  </ignoredErrors>
  <drawing r:id="rId1"/>
</worksheet>
</file>

<file path=xl/worksheets/sheet2.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
    </sheetView>
  </sheetViews>
  <sheetFormatPr defaultColWidth="11.421875" defaultRowHeight="12.75"/>
  <cols>
    <col min="1" max="1" width="5.140625" style="0" customWidth="1"/>
    <col min="6" max="6" width="8.140625" style="0" customWidth="1"/>
    <col min="7" max="7" width="12.140625" style="0" customWidth="1"/>
    <col min="8" max="8" width="14.00390625" style="0" customWidth="1"/>
    <col min="9" max="9" width="13.57421875" style="0" customWidth="1"/>
  </cols>
  <sheetData>
    <row r="1" spans="1:9" ht="15.75">
      <c r="A1" s="251" t="s">
        <v>257</v>
      </c>
      <c r="B1" s="1"/>
      <c r="C1" s="1"/>
      <c r="D1" s="1"/>
      <c r="E1" s="1"/>
      <c r="F1" s="1"/>
      <c r="G1" s="1"/>
      <c r="H1" s="1"/>
      <c r="I1" s="1"/>
    </row>
    <row r="2" spans="1:9" ht="13.5" thickBot="1">
      <c r="A2" s="1"/>
      <c r="B2" s="1"/>
      <c r="C2" s="1"/>
      <c r="D2" s="1"/>
      <c r="E2" s="1"/>
      <c r="F2" s="1"/>
      <c r="G2" s="1"/>
      <c r="H2" s="1"/>
      <c r="I2" s="1"/>
    </row>
    <row r="3" spans="1:9" ht="45.75" thickBot="1">
      <c r="A3" s="1"/>
      <c r="B3" s="1"/>
      <c r="C3" s="1"/>
      <c r="D3" s="1"/>
      <c r="E3" s="1"/>
      <c r="F3" s="1"/>
      <c r="G3" s="256" t="s">
        <v>258</v>
      </c>
      <c r="H3" s="257" t="s">
        <v>259</v>
      </c>
      <c r="I3" s="258" t="s">
        <v>260</v>
      </c>
    </row>
    <row r="4" spans="1:9" ht="15.75" thickBot="1">
      <c r="A4" s="1"/>
      <c r="B4" s="252" t="s">
        <v>278</v>
      </c>
      <c r="C4" s="201"/>
      <c r="D4" s="1"/>
      <c r="E4" s="1"/>
      <c r="F4" s="1"/>
      <c r="G4" s="202" t="s">
        <v>261</v>
      </c>
      <c r="H4" s="203" t="s">
        <v>262</v>
      </c>
      <c r="I4" s="204" t="s">
        <v>263</v>
      </c>
    </row>
    <row r="5" spans="1:9" ht="18.75" thickBot="1">
      <c r="A5" s="1"/>
      <c r="B5" s="253" t="s">
        <v>279</v>
      </c>
      <c r="C5" s="1"/>
      <c r="D5" s="1"/>
      <c r="E5" s="1"/>
      <c r="F5" s="1"/>
      <c r="G5" s="205">
        <v>0</v>
      </c>
      <c r="H5" s="233">
        <v>1</v>
      </c>
      <c r="I5" s="230">
        <v>1</v>
      </c>
    </row>
    <row r="6" spans="1:9" ht="12.75">
      <c r="A6" s="1"/>
      <c r="B6" s="206"/>
      <c r="C6" s="207"/>
      <c r="D6" s="207"/>
      <c r="E6" s="208"/>
      <c r="F6" s="1"/>
      <c r="G6" s="209">
        <v>1</v>
      </c>
      <c r="H6" s="234">
        <v>0.5</v>
      </c>
      <c r="I6" s="231">
        <f>H6*I5</f>
        <v>0.5</v>
      </c>
    </row>
    <row r="7" spans="1:9" ht="12.75">
      <c r="A7" s="1"/>
      <c r="B7" s="210"/>
      <c r="C7" s="211"/>
      <c r="D7" s="211"/>
      <c r="E7" s="212"/>
      <c r="F7" s="1"/>
      <c r="G7" s="209">
        <v>2</v>
      </c>
      <c r="H7" s="235">
        <v>0.5</v>
      </c>
      <c r="I7" s="231">
        <f>H7*I6</f>
        <v>0.25</v>
      </c>
    </row>
    <row r="8" spans="1:9" ht="12.75">
      <c r="A8" s="1"/>
      <c r="B8" s="210"/>
      <c r="C8" s="211"/>
      <c r="D8" s="211"/>
      <c r="E8" s="212"/>
      <c r="F8" s="1"/>
      <c r="G8" s="209">
        <v>3</v>
      </c>
      <c r="H8" s="236">
        <v>0.5</v>
      </c>
      <c r="I8" s="231">
        <f>H8*I7</f>
        <v>0.125</v>
      </c>
    </row>
    <row r="9" spans="1:9" ht="13.5" thickBot="1">
      <c r="A9" s="1"/>
      <c r="B9" s="210"/>
      <c r="C9" s="211"/>
      <c r="D9" s="211"/>
      <c r="E9" s="212"/>
      <c r="F9" s="1"/>
      <c r="G9" s="213">
        <v>4</v>
      </c>
      <c r="H9" s="237">
        <v>0.5</v>
      </c>
      <c r="I9" s="232">
        <f>H9*I8</f>
        <v>0.0625</v>
      </c>
    </row>
    <row r="10" spans="1:9" ht="12.75">
      <c r="A10" s="1"/>
      <c r="B10" s="210"/>
      <c r="C10" s="211"/>
      <c r="D10" s="211"/>
      <c r="E10" s="212"/>
      <c r="F10" s="1"/>
      <c r="G10" s="1"/>
      <c r="H10" s="1"/>
      <c r="I10" s="1"/>
    </row>
    <row r="11" spans="1:9" ht="12.75">
      <c r="A11" s="1"/>
      <c r="B11" s="210"/>
      <c r="C11" s="211"/>
      <c r="D11" s="211"/>
      <c r="E11" s="212"/>
      <c r="F11" s="1"/>
      <c r="G11" s="1"/>
      <c r="H11" s="1"/>
      <c r="I11" s="1"/>
    </row>
    <row r="12" spans="1:9" ht="12.75">
      <c r="A12" s="1"/>
      <c r="B12" s="210"/>
      <c r="C12" s="211"/>
      <c r="D12" s="211"/>
      <c r="E12" s="212"/>
      <c r="F12" s="1"/>
      <c r="G12" s="1"/>
      <c r="H12" s="1"/>
      <c r="I12" s="1"/>
    </row>
    <row r="13" spans="1:9" ht="13.5" thickBot="1">
      <c r="A13" s="1"/>
      <c r="B13" s="214"/>
      <c r="C13" s="215"/>
      <c r="D13" s="215"/>
      <c r="E13" s="216"/>
      <c r="F13" s="1"/>
      <c r="G13" s="1"/>
      <c r="H13" s="1"/>
      <c r="I13" s="1"/>
    </row>
    <row r="14" spans="1:9" ht="12.75">
      <c r="A14" s="1"/>
      <c r="B14" s="1"/>
      <c r="C14" s="1"/>
      <c r="D14" s="1"/>
      <c r="E14" s="1"/>
      <c r="F14" s="1"/>
      <c r="G14" s="1"/>
      <c r="H14" s="1"/>
      <c r="I14" s="1"/>
    </row>
    <row r="15" spans="1:9" ht="15">
      <c r="A15" s="1"/>
      <c r="B15" s="254" t="s">
        <v>280</v>
      </c>
      <c r="C15" s="1"/>
      <c r="D15" s="1"/>
      <c r="E15" s="1"/>
      <c r="F15" s="1"/>
      <c r="G15" s="1"/>
      <c r="H15" s="1"/>
      <c r="I15" s="1"/>
    </row>
    <row r="16" spans="1:9" ht="18.75" thickBot="1">
      <c r="A16" s="1"/>
      <c r="B16" s="254" t="s">
        <v>281</v>
      </c>
      <c r="C16" s="1"/>
      <c r="D16" s="1"/>
      <c r="E16" s="1"/>
      <c r="F16" s="1"/>
      <c r="G16" s="1"/>
      <c r="H16" s="1"/>
      <c r="I16" s="1"/>
    </row>
    <row r="17" spans="1:9" ht="12.75">
      <c r="A17" s="1"/>
      <c r="B17" s="217"/>
      <c r="C17" s="218"/>
      <c r="D17" s="206"/>
      <c r="E17" s="208"/>
      <c r="F17" s="1"/>
      <c r="G17" s="1"/>
      <c r="H17" s="1"/>
      <c r="I17" s="1"/>
    </row>
    <row r="18" spans="1:9" ht="12.75">
      <c r="A18" s="1"/>
      <c r="B18" s="219"/>
      <c r="C18" s="2"/>
      <c r="D18" s="210"/>
      <c r="E18" s="212"/>
      <c r="F18" s="1"/>
      <c r="G18" s="1"/>
      <c r="H18" s="1"/>
      <c r="I18" s="1"/>
    </row>
    <row r="19" spans="1:9" ht="12.75">
      <c r="A19" s="1"/>
      <c r="B19" s="219"/>
      <c r="C19" s="2"/>
      <c r="D19" s="210"/>
      <c r="E19" s="212"/>
      <c r="F19" s="1"/>
      <c r="G19" s="1"/>
      <c r="H19" s="1"/>
      <c r="I19" s="1"/>
    </row>
    <row r="20" spans="1:9" ht="12.75">
      <c r="A20" s="1"/>
      <c r="B20" s="219"/>
      <c r="C20" s="2"/>
      <c r="D20" s="210"/>
      <c r="E20" s="212"/>
      <c r="F20" s="1"/>
      <c r="G20" s="1"/>
      <c r="H20" s="1"/>
      <c r="I20" s="1"/>
    </row>
    <row r="21" spans="1:9" ht="12.75">
      <c r="A21" s="1"/>
      <c r="B21" s="219"/>
      <c r="C21" s="2"/>
      <c r="D21" s="210"/>
      <c r="E21" s="212"/>
      <c r="F21" s="1"/>
      <c r="G21" s="1"/>
      <c r="H21" s="1"/>
      <c r="I21" s="1"/>
    </row>
    <row r="22" spans="1:9" ht="12.75">
      <c r="A22" s="1"/>
      <c r="B22" s="219"/>
      <c r="C22" s="2"/>
      <c r="D22" s="210"/>
      <c r="E22" s="212"/>
      <c r="F22" s="1"/>
      <c r="G22" s="1"/>
      <c r="H22" s="1"/>
      <c r="I22" s="1"/>
    </row>
    <row r="23" spans="1:9" ht="12.75">
      <c r="A23" s="1"/>
      <c r="B23" s="219"/>
      <c r="C23" s="2"/>
      <c r="D23" s="210"/>
      <c r="E23" s="212"/>
      <c r="F23" s="1"/>
      <c r="G23" s="1"/>
      <c r="H23" s="1"/>
      <c r="I23" s="1"/>
    </row>
    <row r="24" spans="1:9" ht="13.5" thickBot="1">
      <c r="A24" s="1"/>
      <c r="B24" s="220"/>
      <c r="C24" s="221"/>
      <c r="D24" s="214"/>
      <c r="E24" s="216"/>
      <c r="F24" s="1"/>
      <c r="G24" s="1"/>
      <c r="H24" s="1"/>
      <c r="I24" s="1"/>
    </row>
    <row r="25" spans="1:9" ht="12.75">
      <c r="A25" s="1"/>
      <c r="B25" s="1"/>
      <c r="C25" s="1"/>
      <c r="D25" s="1"/>
      <c r="E25" s="1"/>
      <c r="F25" s="1"/>
      <c r="G25" s="1"/>
      <c r="H25" s="1"/>
      <c r="I25" s="1"/>
    </row>
    <row r="26" spans="1:9" ht="15">
      <c r="A26" s="1"/>
      <c r="B26" s="254" t="s">
        <v>282</v>
      </c>
      <c r="C26" s="1"/>
      <c r="D26" s="1"/>
      <c r="E26" s="1"/>
      <c r="F26" s="1"/>
      <c r="G26" s="1"/>
      <c r="H26" s="1"/>
      <c r="I26" s="1"/>
    </row>
    <row r="27" spans="1:9" ht="18.75" thickBot="1">
      <c r="A27" s="1"/>
      <c r="B27" s="254" t="s">
        <v>283</v>
      </c>
      <c r="C27" s="1"/>
      <c r="D27" s="1"/>
      <c r="E27" s="1"/>
      <c r="F27" s="1"/>
      <c r="G27" s="1"/>
      <c r="H27" s="1"/>
      <c r="I27" s="1"/>
    </row>
    <row r="28" spans="1:9" ht="12.75">
      <c r="A28" s="1"/>
      <c r="B28" s="217"/>
      <c r="C28" s="222"/>
      <c r="D28" s="218"/>
      <c r="E28" s="222"/>
      <c r="F28" s="1"/>
      <c r="G28" s="1"/>
      <c r="H28" s="1"/>
      <c r="I28" s="1"/>
    </row>
    <row r="29" spans="1:9" ht="12.75">
      <c r="A29" s="1"/>
      <c r="B29" s="219"/>
      <c r="C29" s="223"/>
      <c r="D29" s="2"/>
      <c r="E29" s="223"/>
      <c r="F29" s="1"/>
      <c r="G29" s="1"/>
      <c r="H29" s="1"/>
      <c r="I29" s="1"/>
    </row>
    <row r="30" spans="1:9" ht="12.75">
      <c r="A30" s="1"/>
      <c r="B30" s="219"/>
      <c r="C30" s="223"/>
      <c r="D30" s="2"/>
      <c r="E30" s="223"/>
      <c r="F30" s="1"/>
      <c r="G30" s="1"/>
      <c r="H30" s="1"/>
      <c r="I30" s="1"/>
    </row>
    <row r="31" spans="1:9" ht="13.5" thickBot="1">
      <c r="A31" s="1"/>
      <c r="B31" s="219"/>
      <c r="C31" s="223"/>
      <c r="D31" s="2"/>
      <c r="E31" s="223"/>
      <c r="F31" s="1"/>
      <c r="G31" s="1"/>
      <c r="H31" s="1"/>
      <c r="I31" s="1"/>
    </row>
    <row r="32" spans="1:9" ht="12.75">
      <c r="A32" s="1"/>
      <c r="B32" s="219"/>
      <c r="C32" s="223"/>
      <c r="D32" s="206"/>
      <c r="E32" s="208"/>
      <c r="F32" s="1"/>
      <c r="G32" s="1"/>
      <c r="H32" s="1"/>
      <c r="I32" s="1"/>
    </row>
    <row r="33" spans="1:9" ht="12.75">
      <c r="A33" s="1"/>
      <c r="B33" s="219"/>
      <c r="C33" s="223"/>
      <c r="D33" s="210"/>
      <c r="E33" s="212"/>
      <c r="F33" s="1"/>
      <c r="G33" s="1"/>
      <c r="H33" s="1"/>
      <c r="I33" s="1"/>
    </row>
    <row r="34" spans="1:9" ht="12.75">
      <c r="A34" s="1"/>
      <c r="B34" s="219"/>
      <c r="C34" s="223"/>
      <c r="D34" s="210"/>
      <c r="E34" s="212"/>
      <c r="F34" s="1"/>
      <c r="G34" s="1"/>
      <c r="H34" s="1"/>
      <c r="I34" s="1"/>
    </row>
    <row r="35" spans="1:9" ht="13.5" thickBot="1">
      <c r="A35" s="1"/>
      <c r="B35" s="220"/>
      <c r="C35" s="224"/>
      <c r="D35" s="214"/>
      <c r="E35" s="216"/>
      <c r="F35" s="1"/>
      <c r="G35" s="1"/>
      <c r="H35" s="1"/>
      <c r="I35" s="1"/>
    </row>
    <row r="36" spans="1:9" ht="12.75">
      <c r="A36" s="1"/>
      <c r="B36" s="1"/>
      <c r="C36" s="1"/>
      <c r="D36" s="1"/>
      <c r="E36" s="1"/>
      <c r="F36" s="1"/>
      <c r="G36" s="1"/>
      <c r="H36" s="1"/>
      <c r="I36" s="1"/>
    </row>
    <row r="37" spans="1:9" ht="15">
      <c r="A37" s="1"/>
      <c r="B37" s="255" t="s">
        <v>284</v>
      </c>
      <c r="C37" s="1"/>
      <c r="D37" s="1"/>
      <c r="E37" s="1"/>
      <c r="F37" s="1"/>
      <c r="G37" s="1"/>
      <c r="H37" s="1"/>
      <c r="I37" s="1"/>
    </row>
    <row r="38" spans="1:9" ht="18.75" thickBot="1">
      <c r="A38" s="1"/>
      <c r="B38" s="254" t="s">
        <v>285</v>
      </c>
      <c r="C38" s="1"/>
      <c r="D38" s="1"/>
      <c r="E38" s="1"/>
      <c r="F38" s="1"/>
      <c r="G38" s="1"/>
      <c r="H38" s="1"/>
      <c r="I38" s="1"/>
    </row>
    <row r="39" spans="1:9" ht="12.75">
      <c r="A39" s="1"/>
      <c r="B39" s="217"/>
      <c r="C39" s="218"/>
      <c r="D39" s="217"/>
      <c r="E39" s="222"/>
      <c r="F39" s="1"/>
      <c r="G39" s="1"/>
      <c r="H39" s="1"/>
      <c r="I39" s="1"/>
    </row>
    <row r="40" spans="1:9" ht="12.75">
      <c r="A40" s="1"/>
      <c r="B40" s="219"/>
      <c r="C40" s="2"/>
      <c r="D40" s="219"/>
      <c r="E40" s="223"/>
      <c r="F40" s="1"/>
      <c r="G40" s="1"/>
      <c r="H40" s="1"/>
      <c r="I40" s="1"/>
    </row>
    <row r="41" spans="1:9" ht="12.75">
      <c r="A41" s="1"/>
      <c r="B41" s="219"/>
      <c r="C41" s="2"/>
      <c r="D41" s="219"/>
      <c r="E41" s="223"/>
      <c r="F41" s="1"/>
      <c r="G41" s="1"/>
      <c r="H41" s="1"/>
      <c r="I41" s="1"/>
    </row>
    <row r="42" spans="1:9" ht="13.5" thickBot="1">
      <c r="A42" s="1"/>
      <c r="B42" s="219"/>
      <c r="C42" s="2"/>
      <c r="D42" s="219"/>
      <c r="E42" s="223"/>
      <c r="F42" s="1"/>
      <c r="G42" s="1"/>
      <c r="H42" s="1"/>
      <c r="I42" s="1"/>
    </row>
    <row r="43" spans="1:9" ht="12.75">
      <c r="A43" s="1"/>
      <c r="B43" s="219"/>
      <c r="C43" s="2"/>
      <c r="D43" s="217"/>
      <c r="E43" s="225"/>
      <c r="F43" s="1"/>
      <c r="G43" s="1"/>
      <c r="H43" s="1"/>
      <c r="I43" s="1"/>
    </row>
    <row r="44" spans="1:9" ht="12.75">
      <c r="A44" s="1"/>
      <c r="B44" s="219"/>
      <c r="C44" s="2"/>
      <c r="D44" s="219"/>
      <c r="E44" s="226"/>
      <c r="F44" s="1"/>
      <c r="G44" s="1"/>
      <c r="H44" s="1"/>
      <c r="I44" s="1"/>
    </row>
    <row r="45" spans="1:9" ht="12.75">
      <c r="A45" s="1"/>
      <c r="B45" s="219"/>
      <c r="C45" s="2"/>
      <c r="D45" s="219"/>
      <c r="E45" s="226"/>
      <c r="F45" s="1"/>
      <c r="G45" s="1"/>
      <c r="H45" s="1"/>
      <c r="I45" s="1"/>
    </row>
    <row r="46" spans="1:9" ht="13.5" thickBot="1">
      <c r="A46" s="1"/>
      <c r="B46" s="220"/>
      <c r="C46" s="221"/>
      <c r="D46" s="220"/>
      <c r="E46" s="227"/>
      <c r="F46" s="1"/>
      <c r="G46" s="1"/>
      <c r="H46" s="1"/>
      <c r="I46" s="1"/>
    </row>
    <row r="47" spans="1:9" ht="12.75">
      <c r="A47" s="1"/>
      <c r="B47" s="1"/>
      <c r="C47" s="1"/>
      <c r="D47" s="1"/>
      <c r="E47" s="1"/>
      <c r="F47" s="1"/>
      <c r="G47" s="1"/>
      <c r="H47" s="1"/>
      <c r="I47" s="1"/>
    </row>
    <row r="48" spans="1:9" ht="15">
      <c r="A48" s="1"/>
      <c r="B48" s="255" t="s">
        <v>286</v>
      </c>
      <c r="C48" s="1"/>
      <c r="D48" s="1"/>
      <c r="E48" s="1"/>
      <c r="F48" s="1"/>
      <c r="G48" s="1"/>
      <c r="H48" s="1"/>
      <c r="I48" s="1"/>
    </row>
    <row r="49" spans="1:9" ht="18.75" thickBot="1">
      <c r="A49" s="1"/>
      <c r="B49" s="254" t="s">
        <v>287</v>
      </c>
      <c r="C49" s="1"/>
      <c r="D49" s="1"/>
      <c r="E49" s="1"/>
      <c r="F49" s="1"/>
      <c r="G49" s="1"/>
      <c r="H49" s="1"/>
      <c r="I49" s="1"/>
    </row>
    <row r="50" spans="1:9" ht="12.75">
      <c r="A50" s="1"/>
      <c r="B50" s="217"/>
      <c r="C50" s="218"/>
      <c r="D50" s="217"/>
      <c r="E50" s="222"/>
      <c r="F50" s="1"/>
      <c r="G50" s="1"/>
      <c r="H50" s="1"/>
      <c r="I50" s="1"/>
    </row>
    <row r="51" spans="1:9" ht="12.75">
      <c r="A51" s="1"/>
      <c r="B51" s="219"/>
      <c r="C51" s="2"/>
      <c r="D51" s="219"/>
      <c r="E51" s="223"/>
      <c r="F51" s="1"/>
      <c r="G51" s="1"/>
      <c r="H51" s="1"/>
      <c r="I51" s="1"/>
    </row>
    <row r="52" spans="1:9" ht="12.75">
      <c r="A52" s="1"/>
      <c r="B52" s="219"/>
      <c r="C52" s="2"/>
      <c r="D52" s="219"/>
      <c r="E52" s="223"/>
      <c r="F52" s="1"/>
      <c r="G52" s="1"/>
      <c r="H52" s="1"/>
      <c r="I52" s="1"/>
    </row>
    <row r="53" spans="1:9" ht="13.5" thickBot="1">
      <c r="A53" s="1"/>
      <c r="B53" s="219"/>
      <c r="C53" s="2"/>
      <c r="D53" s="219"/>
      <c r="E53" s="223"/>
      <c r="F53" s="1"/>
      <c r="G53" s="1"/>
      <c r="H53" s="1"/>
      <c r="I53" s="1"/>
    </row>
    <row r="54" spans="1:9" ht="12.75">
      <c r="A54" s="1"/>
      <c r="B54" s="219"/>
      <c r="C54" s="2"/>
      <c r="D54" s="217"/>
      <c r="E54" s="228"/>
      <c r="F54" s="1"/>
      <c r="G54" s="1"/>
      <c r="H54" s="1"/>
      <c r="I54" s="1"/>
    </row>
    <row r="55" spans="1:9" ht="13.5" thickBot="1">
      <c r="A55" s="1"/>
      <c r="B55" s="219"/>
      <c r="C55" s="2"/>
      <c r="D55" s="219"/>
      <c r="E55" s="229"/>
      <c r="F55" s="1"/>
      <c r="G55" s="1"/>
      <c r="H55" s="1"/>
      <c r="I55" s="1"/>
    </row>
    <row r="56" spans="1:9" ht="12.75">
      <c r="A56" s="1"/>
      <c r="B56" s="219"/>
      <c r="C56" s="2"/>
      <c r="D56" s="219"/>
      <c r="E56" s="225"/>
      <c r="F56" s="1"/>
      <c r="G56" s="1"/>
      <c r="H56" s="1"/>
      <c r="I56" s="1"/>
    </row>
    <row r="57" spans="1:9" ht="13.5" thickBot="1">
      <c r="A57" s="1"/>
      <c r="B57" s="220"/>
      <c r="C57" s="221"/>
      <c r="D57" s="220"/>
      <c r="E57" s="227"/>
      <c r="F57" s="1"/>
      <c r="G57" s="1"/>
      <c r="H57" s="1"/>
      <c r="I57" s="1"/>
    </row>
  </sheetData>
  <sheetProtection/>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AC99"/>
  <sheetViews>
    <sheetView zoomScalePageLayoutView="0" workbookViewId="0" topLeftCell="A1">
      <selection activeCell="A1" sqref="A1"/>
    </sheetView>
  </sheetViews>
  <sheetFormatPr defaultColWidth="11.421875" defaultRowHeight="12.75"/>
  <cols>
    <col min="1" max="1" width="2.57421875" style="1" customWidth="1"/>
    <col min="2" max="2" width="9.57421875" style="1" customWidth="1"/>
    <col min="3" max="3" width="12.57421875" style="1" customWidth="1"/>
    <col min="4" max="4" width="9.28125" style="1" customWidth="1"/>
    <col min="5" max="5" width="10.57421875" style="1" customWidth="1"/>
    <col min="6" max="6" width="13.00390625" style="1" customWidth="1"/>
    <col min="7" max="7" width="13.28125" style="1" customWidth="1"/>
    <col min="8" max="8" width="12.7109375" style="1" customWidth="1"/>
    <col min="9" max="9" width="13.421875" style="1" customWidth="1"/>
    <col min="10" max="10" width="10.7109375" style="1" customWidth="1"/>
    <col min="11" max="11" width="12.57421875" style="1" customWidth="1"/>
    <col min="12" max="14" width="11.421875" style="1" customWidth="1"/>
    <col min="15" max="15" width="10.8515625" style="1" customWidth="1"/>
    <col min="16" max="16" width="10.57421875" style="2" customWidth="1"/>
    <col min="17" max="17" width="12.421875" style="2" customWidth="1"/>
    <col min="18" max="18" width="11.28125" style="2" customWidth="1"/>
    <col min="19" max="19" width="10.140625" style="2" customWidth="1"/>
    <col min="20" max="20" width="13.00390625" style="2" customWidth="1"/>
    <col min="21" max="21" width="12.8515625" style="2" customWidth="1"/>
    <col min="22" max="22" width="11.8515625" style="2" customWidth="1"/>
    <col min="23" max="23" width="12.140625" style="2" customWidth="1"/>
    <col min="24" max="24" width="11.421875" style="2" customWidth="1"/>
    <col min="25" max="16384" width="11.421875" style="1" customWidth="1"/>
  </cols>
  <sheetData>
    <row r="1" ht="18.75" customHeight="1">
      <c r="B1" s="62" t="s">
        <v>124</v>
      </c>
    </row>
    <row r="2" spans="2:13" ht="27.75" customHeight="1">
      <c r="B2" s="273" t="s">
        <v>164</v>
      </c>
      <c r="C2" s="273"/>
      <c r="D2" s="273"/>
      <c r="E2" s="273"/>
      <c r="F2" s="273"/>
      <c r="G2" s="273"/>
      <c r="H2" s="273"/>
      <c r="I2" s="273"/>
      <c r="J2" s="273"/>
      <c r="K2" s="273"/>
      <c r="L2" s="273"/>
      <c r="M2" s="273"/>
    </row>
    <row r="3" spans="2:13" ht="54" customHeight="1">
      <c r="B3" s="273" t="s">
        <v>137</v>
      </c>
      <c r="C3" s="273"/>
      <c r="D3" s="273"/>
      <c r="E3" s="273"/>
      <c r="F3" s="273"/>
      <c r="G3" s="273"/>
      <c r="H3" s="273"/>
      <c r="I3" s="273"/>
      <c r="J3" s="273"/>
      <c r="K3" s="273"/>
      <c r="L3" s="273"/>
      <c r="M3" s="273"/>
    </row>
    <row r="4" spans="2:13" ht="34.5" customHeight="1">
      <c r="B4" s="273" t="s">
        <v>238</v>
      </c>
      <c r="C4" s="273"/>
      <c r="D4" s="273"/>
      <c r="E4" s="273"/>
      <c r="F4" s="273"/>
      <c r="G4" s="273"/>
      <c r="H4" s="273"/>
      <c r="I4" s="273"/>
      <c r="J4" s="273"/>
      <c r="K4" s="273"/>
      <c r="L4" s="273"/>
      <c r="M4" s="273"/>
    </row>
    <row r="5" spans="2:13" ht="29.25" customHeight="1">
      <c r="B5" s="273" t="s">
        <v>138</v>
      </c>
      <c r="C5" s="273"/>
      <c r="D5" s="273"/>
      <c r="E5" s="273"/>
      <c r="F5" s="273"/>
      <c r="G5" s="273"/>
      <c r="H5" s="273"/>
      <c r="I5" s="273"/>
      <c r="J5" s="273"/>
      <c r="K5" s="273"/>
      <c r="L5" s="273"/>
      <c r="M5" s="273"/>
    </row>
    <row r="6" spans="2:12" ht="12.75" customHeight="1">
      <c r="B6" s="50"/>
      <c r="C6" s="50"/>
      <c r="D6" s="50"/>
      <c r="E6" s="50"/>
      <c r="F6" s="50"/>
      <c r="G6" s="50"/>
      <c r="H6" s="50"/>
      <c r="I6" s="50"/>
      <c r="J6" s="50"/>
      <c r="K6" s="50"/>
      <c r="L6" s="50"/>
    </row>
    <row r="7" ht="12.75">
      <c r="D7" s="4"/>
    </row>
    <row r="8" spans="2:15" ht="12.75">
      <c r="B8" s="48" t="s">
        <v>121</v>
      </c>
      <c r="D8" s="4"/>
      <c r="L8" s="47"/>
      <c r="M8" s="2"/>
      <c r="N8" s="2"/>
      <c r="O8" s="2"/>
    </row>
    <row r="9" spans="2:15" ht="12.75">
      <c r="B9" s="49" t="s">
        <v>266</v>
      </c>
      <c r="D9" s="4"/>
      <c r="L9" s="47"/>
      <c r="M9" s="2"/>
      <c r="N9" s="2"/>
      <c r="O9" s="2"/>
    </row>
    <row r="10" spans="2:20" ht="12.75">
      <c r="B10" s="3" t="s">
        <v>101</v>
      </c>
      <c r="C10" s="7"/>
      <c r="D10" s="4"/>
      <c r="R10" s="5"/>
      <c r="S10" s="5"/>
      <c r="T10" s="6"/>
    </row>
    <row r="11" spans="2:29" ht="59.25" customHeight="1">
      <c r="B11" s="8" t="s">
        <v>126</v>
      </c>
      <c r="C11" s="8" t="s">
        <v>165</v>
      </c>
      <c r="D11" s="8" t="s">
        <v>166</v>
      </c>
      <c r="E11" s="42" t="s">
        <v>168</v>
      </c>
      <c r="F11" s="42" t="s">
        <v>167</v>
      </c>
      <c r="G11" s="9" t="s">
        <v>127</v>
      </c>
      <c r="H11" s="9" t="s">
        <v>102</v>
      </c>
      <c r="I11" s="10" t="s">
        <v>169</v>
      </c>
      <c r="J11" s="11" t="s">
        <v>139</v>
      </c>
      <c r="K11" s="11" t="s">
        <v>140</v>
      </c>
      <c r="L11" s="11" t="s">
        <v>141</v>
      </c>
      <c r="M11" s="11" t="s">
        <v>142</v>
      </c>
      <c r="N11" s="11" t="s">
        <v>143</v>
      </c>
      <c r="O11" s="8" t="s">
        <v>103</v>
      </c>
      <c r="P11" s="8" t="s">
        <v>144</v>
      </c>
      <c r="Q11" s="12" t="s">
        <v>104</v>
      </c>
      <c r="R11" s="12" t="s">
        <v>105</v>
      </c>
      <c r="S11" s="13" t="s">
        <v>106</v>
      </c>
      <c r="T11" s="14" t="s">
        <v>107</v>
      </c>
      <c r="U11" s="14" t="s">
        <v>108</v>
      </c>
      <c r="W11" s="8" t="s">
        <v>289</v>
      </c>
      <c r="X11" s="8" t="s">
        <v>290</v>
      </c>
      <c r="Y11" s="8" t="s">
        <v>291</v>
      </c>
      <c r="Z11" s="8" t="s">
        <v>292</v>
      </c>
      <c r="AA11" s="42" t="s">
        <v>293</v>
      </c>
      <c r="AC11" s="297" t="s">
        <v>294</v>
      </c>
    </row>
    <row r="12" spans="2:27" ht="12.75">
      <c r="B12" s="8">
        <v>0</v>
      </c>
      <c r="C12" s="8">
        <v>1000</v>
      </c>
      <c r="D12" s="8">
        <v>0</v>
      </c>
      <c r="E12" s="267">
        <v>0</v>
      </c>
      <c r="F12" s="268">
        <f>C12-D12-E12</f>
        <v>1000</v>
      </c>
      <c r="G12" s="41">
        <f>D12/C12</f>
        <v>0</v>
      </c>
      <c r="H12" s="45">
        <f>1-G12</f>
        <v>1</v>
      </c>
      <c r="I12" s="269">
        <f>H12</f>
        <v>1</v>
      </c>
      <c r="J12" s="17">
        <f>(LN(I12))^2</f>
        <v>0</v>
      </c>
      <c r="K12" s="18">
        <f>C12-F12</f>
        <v>0</v>
      </c>
      <c r="L12" s="18">
        <f>C12*F12</f>
        <v>1000000</v>
      </c>
      <c r="M12" s="19">
        <f>K12/L12</f>
        <v>0</v>
      </c>
      <c r="N12" s="19">
        <f>M12</f>
        <v>0</v>
      </c>
      <c r="O12" s="20">
        <v>0</v>
      </c>
      <c r="P12" s="21">
        <f>-NORMSINV(2.5/100)</f>
        <v>1.9599639845400538</v>
      </c>
      <c r="Q12" s="17">
        <f>P12*O12</f>
        <v>0</v>
      </c>
      <c r="R12" s="22">
        <f>EXP(Q12)</f>
        <v>1</v>
      </c>
      <c r="S12" s="22">
        <f>EXP(Q12)</f>
        <v>1</v>
      </c>
      <c r="T12" s="266">
        <f>I12^R12</f>
        <v>1</v>
      </c>
      <c r="U12" s="266">
        <f>I12^S12</f>
        <v>1</v>
      </c>
      <c r="W12" s="263"/>
      <c r="X12" s="263"/>
      <c r="Y12" s="263"/>
      <c r="Z12" s="263"/>
      <c r="AA12" s="263"/>
    </row>
    <row r="13" spans="2:29" ht="12.75">
      <c r="B13" s="63">
        <v>3</v>
      </c>
      <c r="C13" s="15">
        <v>1000</v>
      </c>
      <c r="D13" s="15">
        <f>C13*10%</f>
        <v>100</v>
      </c>
      <c r="E13" s="43">
        <v>0</v>
      </c>
      <c r="F13" s="44">
        <f>C13-D13-E13</f>
        <v>900</v>
      </c>
      <c r="G13" s="16">
        <f>D13/C13</f>
        <v>0.1</v>
      </c>
      <c r="H13" s="45">
        <f>1-G13</f>
        <v>0.9</v>
      </c>
      <c r="I13" s="46">
        <f>H13*I12</f>
        <v>0.9</v>
      </c>
      <c r="J13" s="17">
        <f>(LN(I13))^2</f>
        <v>0.011100838259683056</v>
      </c>
      <c r="K13" s="18">
        <f>C13-F13</f>
        <v>100</v>
      </c>
      <c r="L13" s="18">
        <f>C13*F13</f>
        <v>900000</v>
      </c>
      <c r="M13" s="19">
        <f>K13/L13</f>
        <v>0.00011111111111111112</v>
      </c>
      <c r="N13" s="19">
        <f>M13</f>
        <v>0.00011111111111111112</v>
      </c>
      <c r="O13" s="20">
        <v>0</v>
      </c>
      <c r="P13" s="21">
        <f>-NORMSINV(2.5/100)</f>
        <v>1.9599639845400538</v>
      </c>
      <c r="Q13" s="17">
        <f>P13*O13</f>
        <v>0</v>
      </c>
      <c r="R13" s="22">
        <f>EXP(Q13)</f>
        <v>1</v>
      </c>
      <c r="S13" s="22">
        <f>EXP(Q13)</f>
        <v>1</v>
      </c>
      <c r="T13" s="23">
        <f>I13^R13</f>
        <v>0.9</v>
      </c>
      <c r="U13" s="23">
        <f>I13^S13</f>
        <v>0.9</v>
      </c>
      <c r="V13" s="24"/>
      <c r="W13" s="18">
        <f aca="true" t="shared" si="0" ref="W13:W20">B13</f>
        <v>3</v>
      </c>
      <c r="X13" s="264">
        <f aca="true" t="shared" si="1" ref="X13:X20">I13*(B13-B12)</f>
        <v>2.7</v>
      </c>
      <c r="Y13" s="264">
        <f aca="true" t="shared" si="2" ref="Y13:Y20">(I12-I13)*(B13-B12)/2</f>
        <v>0.14999999999999997</v>
      </c>
      <c r="Z13" s="20">
        <f aca="true" t="shared" si="3" ref="Z13:Z20">SUM(X13:Y13)</f>
        <v>2.85</v>
      </c>
      <c r="AA13" s="265">
        <f>Z13</f>
        <v>2.85</v>
      </c>
      <c r="AC13" s="296">
        <f>AA13-AA27</f>
        <v>0.1499999999999999</v>
      </c>
    </row>
    <row r="14" spans="2:29" ht="12.75">
      <c r="B14" s="63">
        <v>6</v>
      </c>
      <c r="C14" s="15">
        <f>F13</f>
        <v>900</v>
      </c>
      <c r="D14" s="15">
        <f aca="true" t="shared" si="4" ref="D14:D20">C14*10%</f>
        <v>90</v>
      </c>
      <c r="E14" s="43">
        <v>0</v>
      </c>
      <c r="F14" s="44">
        <f aca="true" t="shared" si="5" ref="F14:F20">C14-D14-E14</f>
        <v>810</v>
      </c>
      <c r="G14" s="16">
        <f aca="true" t="shared" si="6" ref="G14:G20">D14/C14</f>
        <v>0.1</v>
      </c>
      <c r="H14" s="45">
        <f aca="true" t="shared" si="7" ref="H14:H20">1-G14</f>
        <v>0.9</v>
      </c>
      <c r="I14" s="46">
        <f>H14*I13</f>
        <v>0.81</v>
      </c>
      <c r="J14" s="17">
        <f aca="true" t="shared" si="8" ref="J14:J20">(LN(I14))^2</f>
        <v>0.04440335303873222</v>
      </c>
      <c r="K14" s="18">
        <f aca="true" t="shared" si="9" ref="K14:K20">C14-F14</f>
        <v>90</v>
      </c>
      <c r="L14" s="18">
        <f aca="true" t="shared" si="10" ref="L14:L20">C14*F14</f>
        <v>729000</v>
      </c>
      <c r="M14" s="19">
        <f aca="true" t="shared" si="11" ref="M14:M20">K14/L14</f>
        <v>0.0001234567901234568</v>
      </c>
      <c r="N14" s="19">
        <f>N13+M14</f>
        <v>0.0002345679012345679</v>
      </c>
      <c r="O14" s="20">
        <f>SQRT((1/J14)*N14)</f>
        <v>0.07268192277211503</v>
      </c>
      <c r="P14" s="21">
        <f aca="true" t="shared" si="12" ref="P14:P20">-NORMSINV(2.5/100)</f>
        <v>1.9599639845400538</v>
      </c>
      <c r="Q14" s="17">
        <f aca="true" t="shared" si="13" ref="Q14:Q20">P14*O14</f>
        <v>0.14245395096046706</v>
      </c>
      <c r="R14" s="22">
        <f aca="true" t="shared" si="14" ref="R14:R20">EXP(Q14)</f>
        <v>1.153099980588177</v>
      </c>
      <c r="S14" s="22">
        <f>EXP(-Q14)</f>
        <v>0.8672274883656809</v>
      </c>
      <c r="T14" s="23">
        <f aca="true" t="shared" si="15" ref="T14:T20">I14^R14</f>
        <v>0.784285303645017</v>
      </c>
      <c r="U14" s="23">
        <f>I14^S14</f>
        <v>0.8329821457373128</v>
      </c>
      <c r="W14" s="18">
        <f t="shared" si="0"/>
        <v>6</v>
      </c>
      <c r="X14" s="264">
        <f t="shared" si="1"/>
        <v>2.43</v>
      </c>
      <c r="Y14" s="264">
        <f t="shared" si="2"/>
        <v>0.13499999999999995</v>
      </c>
      <c r="Z14" s="20">
        <f t="shared" si="3"/>
        <v>2.565</v>
      </c>
      <c r="AA14" s="265">
        <f aca="true" t="shared" si="16" ref="AA14:AA20">Z14+AA13</f>
        <v>5.415</v>
      </c>
      <c r="AC14" s="296">
        <f aca="true" t="shared" si="17" ref="AC14:AC20">AA14-AA28</f>
        <v>0.5549999999999997</v>
      </c>
    </row>
    <row r="15" spans="2:29" ht="12.75">
      <c r="B15" s="63">
        <v>9</v>
      </c>
      <c r="C15" s="15">
        <f aca="true" t="shared" si="18" ref="C15:C20">F14</f>
        <v>810</v>
      </c>
      <c r="D15" s="15">
        <f t="shared" si="4"/>
        <v>81</v>
      </c>
      <c r="E15" s="43">
        <v>0</v>
      </c>
      <c r="F15" s="44">
        <f t="shared" si="5"/>
        <v>729</v>
      </c>
      <c r="G15" s="16">
        <f t="shared" si="6"/>
        <v>0.1</v>
      </c>
      <c r="H15" s="45">
        <f t="shared" si="7"/>
        <v>0.9</v>
      </c>
      <c r="I15" s="46">
        <f aca="true" t="shared" si="19" ref="I15:I20">H15*I14</f>
        <v>0.7290000000000001</v>
      </c>
      <c r="J15" s="17">
        <f t="shared" si="8"/>
        <v>0.09990754433714748</v>
      </c>
      <c r="K15" s="18">
        <f t="shared" si="9"/>
        <v>81</v>
      </c>
      <c r="L15" s="18">
        <f t="shared" si="10"/>
        <v>590490</v>
      </c>
      <c r="M15" s="19">
        <f t="shared" si="11"/>
        <v>0.00013717421124828533</v>
      </c>
      <c r="N15" s="19">
        <f aca="true" t="shared" si="20" ref="N15:N20">N14+M15</f>
        <v>0.0003717421124828532</v>
      </c>
      <c r="O15" s="20">
        <f aca="true" t="shared" si="21" ref="O15:O20">SQRT((1/J15)*N15)</f>
        <v>0.06099886287285346</v>
      </c>
      <c r="P15" s="21">
        <f t="shared" si="12"/>
        <v>1.9599639845400538</v>
      </c>
      <c r="Q15" s="17">
        <f t="shared" si="13"/>
        <v>0.11955557432869021</v>
      </c>
      <c r="R15" s="22">
        <f t="shared" si="14"/>
        <v>1.1269958743660258</v>
      </c>
      <c r="S15" s="22">
        <f aca="true" t="shared" si="22" ref="S15:S20">EXP(-Q15)</f>
        <v>0.8873146945303012</v>
      </c>
      <c r="T15" s="23">
        <f t="shared" si="15"/>
        <v>0.7003167128017258</v>
      </c>
      <c r="U15" s="23">
        <f aca="true" t="shared" si="23" ref="U15:U20">I15^S15</f>
        <v>0.755433289250721</v>
      </c>
      <c r="W15" s="18">
        <f t="shared" si="0"/>
        <v>9</v>
      </c>
      <c r="X15" s="264">
        <f t="shared" si="1"/>
        <v>2.1870000000000003</v>
      </c>
      <c r="Y15" s="264">
        <f t="shared" si="2"/>
        <v>0.12149999999999994</v>
      </c>
      <c r="Z15" s="20">
        <f t="shared" si="3"/>
        <v>2.3085000000000004</v>
      </c>
      <c r="AA15" s="265">
        <f t="shared" si="16"/>
        <v>7.7235000000000005</v>
      </c>
      <c r="AC15" s="296">
        <f t="shared" si="17"/>
        <v>1.1354999999999995</v>
      </c>
    </row>
    <row r="16" spans="2:29" ht="12.75">
      <c r="B16" s="63">
        <v>12</v>
      </c>
      <c r="C16" s="15">
        <f t="shared" si="18"/>
        <v>729</v>
      </c>
      <c r="D16" s="15">
        <f t="shared" si="4"/>
        <v>72.9</v>
      </c>
      <c r="E16" s="43">
        <v>0</v>
      </c>
      <c r="F16" s="44">
        <f t="shared" si="5"/>
        <v>656.1</v>
      </c>
      <c r="G16" s="16">
        <f t="shared" si="6"/>
        <v>0.1</v>
      </c>
      <c r="H16" s="45">
        <f t="shared" si="7"/>
        <v>0.9</v>
      </c>
      <c r="I16" s="46">
        <f t="shared" si="19"/>
        <v>0.6561000000000001</v>
      </c>
      <c r="J16" s="17">
        <f t="shared" si="8"/>
        <v>0.17761341215492882</v>
      </c>
      <c r="K16" s="18">
        <f t="shared" si="9"/>
        <v>72.89999999999998</v>
      </c>
      <c r="L16" s="18">
        <f t="shared" si="10"/>
        <v>478296.9</v>
      </c>
      <c r="M16" s="19">
        <f t="shared" si="11"/>
        <v>0.00015241579027587253</v>
      </c>
      <c r="N16" s="19">
        <f t="shared" si="20"/>
        <v>0.0005241579027587258</v>
      </c>
      <c r="O16" s="20">
        <f t="shared" si="21"/>
        <v>0.05432418133302674</v>
      </c>
      <c r="P16" s="21">
        <f t="shared" si="12"/>
        <v>1.9599639845400538</v>
      </c>
      <c r="Q16" s="17">
        <f t="shared" si="13"/>
        <v>0.1064734389023555</v>
      </c>
      <c r="R16" s="22">
        <f t="shared" si="14"/>
        <v>1.112348380859346</v>
      </c>
      <c r="S16" s="22">
        <f t="shared" si="22"/>
        <v>0.8989989262423782</v>
      </c>
      <c r="T16" s="23">
        <f t="shared" si="15"/>
        <v>0.6257587309481035</v>
      </c>
      <c r="U16" s="23">
        <f t="shared" si="23"/>
        <v>0.6846305277525733</v>
      </c>
      <c r="W16" s="18">
        <f t="shared" si="0"/>
        <v>12</v>
      </c>
      <c r="X16" s="264">
        <f t="shared" si="1"/>
        <v>1.9683000000000004</v>
      </c>
      <c r="Y16" s="264">
        <f t="shared" si="2"/>
        <v>0.10934999999999995</v>
      </c>
      <c r="Z16" s="20">
        <f t="shared" si="3"/>
        <v>2.07765</v>
      </c>
      <c r="AA16" s="265">
        <f t="shared" si="16"/>
        <v>9.80115</v>
      </c>
      <c r="AC16" s="296">
        <f t="shared" si="17"/>
        <v>1.8307499999999983</v>
      </c>
    </row>
    <row r="17" spans="2:29" ht="12.75">
      <c r="B17" s="63">
        <v>15</v>
      </c>
      <c r="C17" s="15">
        <f t="shared" si="18"/>
        <v>656.1</v>
      </c>
      <c r="D17" s="15">
        <f t="shared" si="4"/>
        <v>65.61</v>
      </c>
      <c r="E17" s="43">
        <v>0</v>
      </c>
      <c r="F17" s="44">
        <f t="shared" si="5"/>
        <v>590.49</v>
      </c>
      <c r="G17" s="16">
        <f t="shared" si="6"/>
        <v>0.09999999999999999</v>
      </c>
      <c r="H17" s="45">
        <f t="shared" si="7"/>
        <v>0.9</v>
      </c>
      <c r="I17" s="46">
        <f t="shared" si="19"/>
        <v>0.5904900000000002</v>
      </c>
      <c r="J17" s="17">
        <f t="shared" si="8"/>
        <v>0.27752095649207625</v>
      </c>
      <c r="K17" s="18">
        <f t="shared" si="9"/>
        <v>65.61000000000001</v>
      </c>
      <c r="L17" s="18">
        <f t="shared" si="10"/>
        <v>387420.489</v>
      </c>
      <c r="M17" s="19">
        <f t="shared" si="11"/>
        <v>0.0001693508780843029</v>
      </c>
      <c r="N17" s="19">
        <f t="shared" si="20"/>
        <v>0.0006935087808430287</v>
      </c>
      <c r="O17" s="20">
        <f t="shared" si="21"/>
        <v>0.04998941912492991</v>
      </c>
      <c r="P17" s="21">
        <f t="shared" si="12"/>
        <v>1.9599639845400538</v>
      </c>
      <c r="Q17" s="17">
        <f t="shared" si="13"/>
        <v>0.0979774610929404</v>
      </c>
      <c r="R17" s="22">
        <f t="shared" si="14"/>
        <v>1.1029379258129557</v>
      </c>
      <c r="S17" s="22">
        <f t="shared" si="22"/>
        <v>0.9066693388595899</v>
      </c>
      <c r="T17" s="23">
        <f t="shared" si="15"/>
        <v>0.5593216644260127</v>
      </c>
      <c r="U17" s="23">
        <f t="shared" si="23"/>
        <v>0.6202480840775614</v>
      </c>
      <c r="W17" s="18">
        <f t="shared" si="0"/>
        <v>15</v>
      </c>
      <c r="X17" s="264">
        <f t="shared" si="1"/>
        <v>1.7714700000000005</v>
      </c>
      <c r="Y17" s="264">
        <f t="shared" si="2"/>
        <v>0.09841499999999992</v>
      </c>
      <c r="Z17" s="20">
        <f t="shared" si="3"/>
        <v>1.8698850000000005</v>
      </c>
      <c r="AA17" s="265">
        <f t="shared" si="16"/>
        <v>11.671035</v>
      </c>
      <c r="AC17" s="296">
        <f t="shared" si="17"/>
        <v>2.594714999999997</v>
      </c>
    </row>
    <row r="18" spans="2:29" ht="12.75">
      <c r="B18" s="63">
        <v>18</v>
      </c>
      <c r="C18" s="15">
        <f t="shared" si="18"/>
        <v>590.49</v>
      </c>
      <c r="D18" s="15">
        <f t="shared" si="4"/>
        <v>59.04900000000001</v>
      </c>
      <c r="E18" s="43">
        <v>0</v>
      </c>
      <c r="F18" s="44">
        <f t="shared" si="5"/>
        <v>531.441</v>
      </c>
      <c r="G18" s="16">
        <f t="shared" si="6"/>
        <v>0.1</v>
      </c>
      <c r="H18" s="45">
        <f t="shared" si="7"/>
        <v>0.9</v>
      </c>
      <c r="I18" s="46">
        <f t="shared" si="19"/>
        <v>0.5314410000000002</v>
      </c>
      <c r="J18" s="17">
        <f t="shared" si="8"/>
        <v>0.3996301773485898</v>
      </c>
      <c r="K18" s="18">
        <f t="shared" si="9"/>
        <v>59.04899999999998</v>
      </c>
      <c r="L18" s="18">
        <f t="shared" si="10"/>
        <v>313810.59609</v>
      </c>
      <c r="M18" s="19">
        <f t="shared" si="11"/>
        <v>0.000188167642315892</v>
      </c>
      <c r="N18" s="19">
        <f t="shared" si="20"/>
        <v>0.0008816764231589207</v>
      </c>
      <c r="O18" s="20">
        <f t="shared" si="21"/>
        <v>0.046970531647486</v>
      </c>
      <c r="P18" s="21">
        <f t="shared" si="12"/>
        <v>1.9599639845400538</v>
      </c>
      <c r="Q18" s="17">
        <f t="shared" si="13"/>
        <v>0.09206055036377135</v>
      </c>
      <c r="R18" s="22">
        <f t="shared" si="14"/>
        <v>1.0964312093794872</v>
      </c>
      <c r="S18" s="22">
        <f t="shared" si="22"/>
        <v>0.9120499229185007</v>
      </c>
      <c r="T18" s="23">
        <f t="shared" si="15"/>
        <v>0.5000119176113293</v>
      </c>
      <c r="U18" s="23">
        <f t="shared" si="23"/>
        <v>0.5618253170794206</v>
      </c>
      <c r="W18" s="18">
        <f t="shared" si="0"/>
        <v>18</v>
      </c>
      <c r="X18" s="264">
        <f t="shared" si="1"/>
        <v>1.5943230000000006</v>
      </c>
      <c r="Y18" s="264">
        <f t="shared" si="2"/>
        <v>0.08857350000000003</v>
      </c>
      <c r="Z18" s="20">
        <f t="shared" si="3"/>
        <v>1.6828965000000007</v>
      </c>
      <c r="AA18" s="265">
        <f t="shared" si="16"/>
        <v>13.3539315</v>
      </c>
      <c r="AC18" s="296">
        <f t="shared" si="17"/>
        <v>3.392875499999997</v>
      </c>
    </row>
    <row r="19" spans="2:29" ht="12.75">
      <c r="B19" s="63">
        <v>21</v>
      </c>
      <c r="C19" s="15">
        <f t="shared" si="18"/>
        <v>531.441</v>
      </c>
      <c r="D19" s="15">
        <f t="shared" si="4"/>
        <v>53.14410000000001</v>
      </c>
      <c r="E19" s="43">
        <v>0</v>
      </c>
      <c r="F19" s="44">
        <f t="shared" si="5"/>
        <v>478.29690000000005</v>
      </c>
      <c r="G19" s="16">
        <f t="shared" si="6"/>
        <v>0.1</v>
      </c>
      <c r="H19" s="45">
        <f t="shared" si="7"/>
        <v>0.9</v>
      </c>
      <c r="I19" s="46">
        <f t="shared" si="19"/>
        <v>0.47829690000000014</v>
      </c>
      <c r="J19" s="17">
        <f t="shared" si="8"/>
        <v>0.5439410747244695</v>
      </c>
      <c r="K19" s="18">
        <f t="shared" si="9"/>
        <v>53.14409999999998</v>
      </c>
      <c r="L19" s="18">
        <f t="shared" si="10"/>
        <v>254186.58283290005</v>
      </c>
      <c r="M19" s="19">
        <f t="shared" si="11"/>
        <v>0.00020907515812876884</v>
      </c>
      <c r="N19" s="19">
        <f t="shared" si="20"/>
        <v>0.0010907515812876895</v>
      </c>
      <c r="O19" s="20">
        <f t="shared" si="21"/>
        <v>0.044780299935224484</v>
      </c>
      <c r="P19" s="21">
        <f t="shared" si="12"/>
        <v>1.9599639845400538</v>
      </c>
      <c r="Q19" s="17">
        <f t="shared" si="13"/>
        <v>0.0877677750899413</v>
      </c>
      <c r="R19" s="22">
        <f t="shared" si="14"/>
        <v>1.0917345646270862</v>
      </c>
      <c r="S19" s="22">
        <f t="shared" si="22"/>
        <v>0.915973563905233</v>
      </c>
      <c r="T19" s="23">
        <f t="shared" si="15"/>
        <v>0.4470074504500083</v>
      </c>
      <c r="U19" s="23">
        <f t="shared" si="23"/>
        <v>0.5088753780968346</v>
      </c>
      <c r="W19" s="18">
        <f t="shared" si="0"/>
        <v>21</v>
      </c>
      <c r="X19" s="264">
        <f t="shared" si="1"/>
        <v>1.4348907000000004</v>
      </c>
      <c r="Y19" s="264">
        <f t="shared" si="2"/>
        <v>0.07971615000000004</v>
      </c>
      <c r="Z19" s="20">
        <f t="shared" si="3"/>
        <v>1.5146068500000005</v>
      </c>
      <c r="AA19" s="265">
        <f t="shared" si="16"/>
        <v>14.86853835</v>
      </c>
      <c r="AC19" s="296">
        <f t="shared" si="17"/>
        <v>4.199693549999997</v>
      </c>
    </row>
    <row r="20" spans="2:29" ht="12.75">
      <c r="B20" s="63">
        <v>24</v>
      </c>
      <c r="C20" s="15">
        <f t="shared" si="18"/>
        <v>478.29690000000005</v>
      </c>
      <c r="D20" s="15">
        <f t="shared" si="4"/>
        <v>47.82969000000001</v>
      </c>
      <c r="E20" s="43">
        <v>0</v>
      </c>
      <c r="F20" s="44">
        <f t="shared" si="5"/>
        <v>430.46721</v>
      </c>
      <c r="G20" s="16">
        <f t="shared" si="6"/>
        <v>0.1</v>
      </c>
      <c r="H20" s="45">
        <f t="shared" si="7"/>
        <v>0.9</v>
      </c>
      <c r="I20" s="46">
        <f t="shared" si="19"/>
        <v>0.43046721000000016</v>
      </c>
      <c r="J20" s="17">
        <f t="shared" si="8"/>
        <v>0.7104536486197153</v>
      </c>
      <c r="K20" s="18">
        <f t="shared" si="9"/>
        <v>47.82969000000003</v>
      </c>
      <c r="L20" s="18">
        <f t="shared" si="10"/>
        <v>205891.13209464905</v>
      </c>
      <c r="M20" s="19">
        <f t="shared" si="11"/>
        <v>0.00023230573125418782</v>
      </c>
      <c r="N20" s="19">
        <f t="shared" si="20"/>
        <v>0.0013230573125418772</v>
      </c>
      <c r="O20" s="20">
        <f t="shared" si="21"/>
        <v>0.04315403945021749</v>
      </c>
      <c r="P20" s="21">
        <f t="shared" si="12"/>
        <v>1.9599639845400538</v>
      </c>
      <c r="Q20" s="17">
        <f t="shared" si="13"/>
        <v>0.08458036310984696</v>
      </c>
      <c r="R20" s="22">
        <f t="shared" si="14"/>
        <v>1.0882602966997466</v>
      </c>
      <c r="S20" s="22">
        <f t="shared" si="22"/>
        <v>0.9188978069241298</v>
      </c>
      <c r="T20" s="23">
        <f t="shared" si="15"/>
        <v>0.3996055560634169</v>
      </c>
      <c r="U20" s="23">
        <f t="shared" si="23"/>
        <v>0.46092295572412684</v>
      </c>
      <c r="W20" s="18">
        <f t="shared" si="0"/>
        <v>24</v>
      </c>
      <c r="X20" s="264">
        <f t="shared" si="1"/>
        <v>1.2914016300000004</v>
      </c>
      <c r="Y20" s="264">
        <f t="shared" si="2"/>
        <v>0.07174453499999997</v>
      </c>
      <c r="Z20" s="20">
        <f t="shared" si="3"/>
        <v>1.3631461650000003</v>
      </c>
      <c r="AA20" s="265">
        <f t="shared" si="16"/>
        <v>16.231684515</v>
      </c>
      <c r="AC20" s="296">
        <f t="shared" si="17"/>
        <v>4.996608674999999</v>
      </c>
    </row>
    <row r="21" spans="2:15" ht="5.25" customHeight="1">
      <c r="B21" s="25"/>
      <c r="C21" s="25"/>
      <c r="D21" s="26"/>
      <c r="E21" s="26"/>
      <c r="F21" s="25"/>
      <c r="G21" s="27"/>
      <c r="H21" s="28"/>
      <c r="I21" s="28"/>
      <c r="J21" s="28"/>
      <c r="K21" s="29"/>
      <c r="L21" s="29"/>
      <c r="M21" s="29"/>
      <c r="N21" s="29"/>
      <c r="O21" s="28"/>
    </row>
    <row r="22" spans="2:15" ht="12.75">
      <c r="B22" s="30"/>
      <c r="C22" s="31" t="s">
        <v>109</v>
      </c>
      <c r="D22" s="64">
        <f>SUM(D13:D20)</f>
        <v>569.53279</v>
      </c>
      <c r="E22" s="64">
        <f>SUM(E13:E20)</f>
        <v>0</v>
      </c>
      <c r="F22" s="32"/>
      <c r="G22" s="27"/>
      <c r="H22" s="28"/>
      <c r="I22" s="38"/>
      <c r="J22" s="28"/>
      <c r="K22" s="28"/>
      <c r="L22" s="28"/>
      <c r="M22" s="29"/>
      <c r="N22" s="29"/>
      <c r="O22" s="28"/>
    </row>
    <row r="23" spans="2:15" ht="12.75">
      <c r="B23" s="30"/>
      <c r="D23" s="26"/>
      <c r="E23" s="33"/>
      <c r="G23" s="27"/>
      <c r="H23" s="27"/>
      <c r="I23" s="27"/>
      <c r="J23" s="27"/>
      <c r="K23" s="27"/>
      <c r="L23" s="27"/>
      <c r="M23" s="27"/>
      <c r="N23" s="27"/>
      <c r="O23" s="27"/>
    </row>
    <row r="24" spans="2:15" ht="12.75">
      <c r="B24" s="3" t="s">
        <v>110</v>
      </c>
      <c r="C24" s="7"/>
      <c r="D24" s="4"/>
      <c r="O24" s="34"/>
    </row>
    <row r="25" spans="2:27" ht="61.5">
      <c r="B25" s="8" t="s">
        <v>126</v>
      </c>
      <c r="C25" s="8" t="s">
        <v>165</v>
      </c>
      <c r="D25" s="8" t="s">
        <v>166</v>
      </c>
      <c r="E25" s="42" t="s">
        <v>168</v>
      </c>
      <c r="F25" s="42" t="s">
        <v>167</v>
      </c>
      <c r="G25" s="9" t="s">
        <v>127</v>
      </c>
      <c r="H25" s="9" t="s">
        <v>102</v>
      </c>
      <c r="I25" s="10" t="s">
        <v>169</v>
      </c>
      <c r="J25" s="11" t="s">
        <v>139</v>
      </c>
      <c r="K25" s="11" t="s">
        <v>140</v>
      </c>
      <c r="L25" s="11" t="s">
        <v>141</v>
      </c>
      <c r="M25" s="11" t="s">
        <v>142</v>
      </c>
      <c r="N25" s="11" t="s">
        <v>143</v>
      </c>
      <c r="O25" s="8" t="s">
        <v>103</v>
      </c>
      <c r="P25" s="8" t="s">
        <v>144</v>
      </c>
      <c r="Q25" s="12" t="s">
        <v>104</v>
      </c>
      <c r="R25" s="12" t="s">
        <v>105</v>
      </c>
      <c r="S25" s="13" t="s">
        <v>106</v>
      </c>
      <c r="T25" s="14" t="s">
        <v>107</v>
      </c>
      <c r="U25" s="14" t="s">
        <v>108</v>
      </c>
      <c r="W25" s="8" t="s">
        <v>289</v>
      </c>
      <c r="X25" s="8" t="s">
        <v>290</v>
      </c>
      <c r="Y25" s="8" t="s">
        <v>291</v>
      </c>
      <c r="Z25" s="8" t="s">
        <v>292</v>
      </c>
      <c r="AA25" s="42" t="s">
        <v>293</v>
      </c>
    </row>
    <row r="26" spans="2:27" ht="12.75">
      <c r="B26" s="8">
        <v>0</v>
      </c>
      <c r="C26" s="8">
        <v>1000</v>
      </c>
      <c r="D26" s="8">
        <v>0</v>
      </c>
      <c r="E26" s="267">
        <v>0</v>
      </c>
      <c r="F26" s="268">
        <f>C26-D26-E26</f>
        <v>1000</v>
      </c>
      <c r="G26" s="41">
        <f>D26/C26</f>
        <v>0</v>
      </c>
      <c r="H26" s="45">
        <f>1-G26</f>
        <v>1</v>
      </c>
      <c r="I26" s="269">
        <f>H26</f>
        <v>1</v>
      </c>
      <c r="J26" s="189">
        <f>(LN(I26))^2</f>
        <v>0</v>
      </c>
      <c r="K26" s="268">
        <f>C26-F26</f>
        <v>0</v>
      </c>
      <c r="L26" s="268">
        <f>C26*F26</f>
        <v>1000000</v>
      </c>
      <c r="M26" s="270">
        <f>K26/L26</f>
        <v>0</v>
      </c>
      <c r="N26" s="270">
        <f>M26</f>
        <v>0</v>
      </c>
      <c r="O26" s="271">
        <v>0</v>
      </c>
      <c r="P26" s="21">
        <f>-NORMSINV(2.5/100)</f>
        <v>1.9599639845400538</v>
      </c>
      <c r="Q26" s="189">
        <f>P26*O26</f>
        <v>0</v>
      </c>
      <c r="R26" s="272">
        <f>EXP(Q26)</f>
        <v>1</v>
      </c>
      <c r="S26" s="272">
        <f>EXP(Q26)</f>
        <v>1</v>
      </c>
      <c r="T26" s="266">
        <f>I26^R26</f>
        <v>1</v>
      </c>
      <c r="U26" s="266">
        <f>I26^S26</f>
        <v>1</v>
      </c>
      <c r="W26" s="263"/>
      <c r="X26" s="263"/>
      <c r="Y26" s="263"/>
      <c r="Z26" s="263"/>
      <c r="AA26" s="263"/>
    </row>
    <row r="27" spans="2:27" ht="12.75">
      <c r="B27" s="63">
        <v>3</v>
      </c>
      <c r="C27" s="15">
        <v>1000</v>
      </c>
      <c r="D27" s="15">
        <f>C27*20%</f>
        <v>200</v>
      </c>
      <c r="E27" s="43">
        <v>0</v>
      </c>
      <c r="F27" s="44">
        <f>C27-D27-E27</f>
        <v>800</v>
      </c>
      <c r="G27" s="16">
        <f>D27/C27</f>
        <v>0.2</v>
      </c>
      <c r="H27" s="45">
        <f>1-G27</f>
        <v>0.8</v>
      </c>
      <c r="I27" s="46">
        <f>H27*I26</f>
        <v>0.8</v>
      </c>
      <c r="J27" s="17">
        <f>(LN(I27))^2</f>
        <v>0.04979304449311734</v>
      </c>
      <c r="K27" s="18">
        <f>C27-F27</f>
        <v>200</v>
      </c>
      <c r="L27" s="18">
        <f>C27*F27</f>
        <v>800000</v>
      </c>
      <c r="M27" s="19">
        <f>K27/L27</f>
        <v>0.00025</v>
      </c>
      <c r="N27" s="19">
        <f>M27</f>
        <v>0.00025</v>
      </c>
      <c r="O27" s="20">
        <v>0</v>
      </c>
      <c r="P27" s="21">
        <f>-NORMSINV(2.5/100)</f>
        <v>1.9599639845400538</v>
      </c>
      <c r="Q27" s="17">
        <f>P27*O27</f>
        <v>0</v>
      </c>
      <c r="R27" s="22">
        <f aca="true" t="shared" si="24" ref="R27:R34">EXP(Q27)</f>
        <v>1</v>
      </c>
      <c r="S27" s="22">
        <f>EXP(Q27)</f>
        <v>1</v>
      </c>
      <c r="T27" s="23">
        <f>I27^R27</f>
        <v>0.8</v>
      </c>
      <c r="U27" s="23">
        <f>I27^S27</f>
        <v>0.8</v>
      </c>
      <c r="W27" s="18">
        <f aca="true" t="shared" si="25" ref="W27:W34">B27</f>
        <v>3</v>
      </c>
      <c r="X27" s="264">
        <f>I27*(B27-B26)</f>
        <v>2.4000000000000004</v>
      </c>
      <c r="Y27" s="264">
        <f>(I26-I27)*(B27-B26)/2</f>
        <v>0.29999999999999993</v>
      </c>
      <c r="Z27" s="20">
        <f>SUM(X27:Y27)</f>
        <v>2.7</v>
      </c>
      <c r="AA27" s="265">
        <f>Z27</f>
        <v>2.7</v>
      </c>
    </row>
    <row r="28" spans="2:27" ht="12.75">
      <c r="B28" s="63">
        <v>6</v>
      </c>
      <c r="C28" s="15">
        <f>F27</f>
        <v>800</v>
      </c>
      <c r="D28" s="15">
        <f>C28*20%</f>
        <v>160</v>
      </c>
      <c r="E28" s="43">
        <v>0</v>
      </c>
      <c r="F28" s="44">
        <f aca="true" t="shared" si="26" ref="F28:F34">C28-D28-E28</f>
        <v>640</v>
      </c>
      <c r="G28" s="16">
        <f aca="true" t="shared" si="27" ref="G28:G34">D28/C28</f>
        <v>0.2</v>
      </c>
      <c r="H28" s="45">
        <f aca="true" t="shared" si="28" ref="H28:H34">1-G28</f>
        <v>0.8</v>
      </c>
      <c r="I28" s="46">
        <f>H28*I27</f>
        <v>0.6400000000000001</v>
      </c>
      <c r="J28" s="17">
        <f aca="true" t="shared" si="29" ref="J28:J34">(LN(I28))^2</f>
        <v>0.19917217797246928</v>
      </c>
      <c r="K28" s="18">
        <f aca="true" t="shared" si="30" ref="K28:K34">C28-F28</f>
        <v>160</v>
      </c>
      <c r="L28" s="18">
        <f aca="true" t="shared" si="31" ref="L28:L34">C28*F28</f>
        <v>512000</v>
      </c>
      <c r="M28" s="19">
        <f aca="true" t="shared" si="32" ref="M28:M34">K28/L28</f>
        <v>0.0003125</v>
      </c>
      <c r="N28" s="19">
        <f>N27+M28</f>
        <v>0.0005625000000000001</v>
      </c>
      <c r="O28" s="20">
        <f>SQRT((1/J28)*N28)</f>
        <v>0.05314310521541062</v>
      </c>
      <c r="P28" s="21">
        <f aca="true" t="shared" si="33" ref="P28:P34">-NORMSINV(2.5/100)</f>
        <v>1.9599639845400538</v>
      </c>
      <c r="Q28" s="17">
        <f aca="true" t="shared" si="34" ref="Q28:Q34">P28*O28</f>
        <v>0.10415857224882752</v>
      </c>
      <c r="R28" s="22">
        <f t="shared" si="24"/>
        <v>1.1097764207062955</v>
      </c>
      <c r="S28" s="22">
        <f>EXP(-Q28)</f>
        <v>0.9010823994292199</v>
      </c>
      <c r="T28" s="23">
        <f aca="true" t="shared" si="35" ref="T28:T34">I28^R28</f>
        <v>0.6094009196268416</v>
      </c>
      <c r="U28" s="23">
        <f>I28^S28</f>
        <v>0.6688861228683246</v>
      </c>
      <c r="W28" s="18">
        <f t="shared" si="25"/>
        <v>6</v>
      </c>
      <c r="X28" s="264">
        <f aca="true" t="shared" si="36" ref="X28:X34">I28*(B28-B27)</f>
        <v>1.9200000000000004</v>
      </c>
      <c r="Y28" s="264">
        <f aca="true" t="shared" si="37" ref="Y28:Y34">(I27-I28)*(B28-B27)/2</f>
        <v>0.23999999999999988</v>
      </c>
      <c r="Z28" s="20">
        <f aca="true" t="shared" si="38" ref="Z28:Z34">SUM(X28:Y28)</f>
        <v>2.16</v>
      </c>
      <c r="AA28" s="265">
        <f>Z28+AA27</f>
        <v>4.86</v>
      </c>
    </row>
    <row r="29" spans="2:27" ht="12.75">
      <c r="B29" s="63">
        <v>9</v>
      </c>
      <c r="C29" s="15">
        <f aca="true" t="shared" si="39" ref="C29:C34">F28</f>
        <v>640</v>
      </c>
      <c r="D29" s="15">
        <f aca="true" t="shared" si="40" ref="D29:D34">C29*20%</f>
        <v>128</v>
      </c>
      <c r="E29" s="43">
        <v>0</v>
      </c>
      <c r="F29" s="44">
        <f t="shared" si="26"/>
        <v>512</v>
      </c>
      <c r="G29" s="16">
        <f t="shared" si="27"/>
        <v>0.2</v>
      </c>
      <c r="H29" s="45">
        <f t="shared" si="28"/>
        <v>0.8</v>
      </c>
      <c r="I29" s="46">
        <f aca="true" t="shared" si="41" ref="I29:I34">H29*I28</f>
        <v>0.5120000000000001</v>
      </c>
      <c r="J29" s="17">
        <f t="shared" si="29"/>
        <v>0.44813740043805594</v>
      </c>
      <c r="K29" s="18">
        <f t="shared" si="30"/>
        <v>128</v>
      </c>
      <c r="L29" s="18">
        <f t="shared" si="31"/>
        <v>327680</v>
      </c>
      <c r="M29" s="19">
        <f t="shared" si="32"/>
        <v>0.000390625</v>
      </c>
      <c r="N29" s="19">
        <f aca="true" t="shared" si="42" ref="N29:N34">N28+M29</f>
        <v>0.0009531250000000001</v>
      </c>
      <c r="O29" s="20">
        <f aca="true" t="shared" si="43" ref="O29:O34">SQRT((1/J29)*N29)</f>
        <v>0.04611788003170378</v>
      </c>
      <c r="P29" s="21">
        <f t="shared" si="33"/>
        <v>1.9599639845400538</v>
      </c>
      <c r="Q29" s="17">
        <f t="shared" si="34"/>
        <v>0.09038938390547832</v>
      </c>
      <c r="R29" s="22">
        <f t="shared" si="24"/>
        <v>1.094600420521098</v>
      </c>
      <c r="S29" s="22">
        <f aca="true" t="shared" si="44" ref="S29:S34">EXP(-Q29)</f>
        <v>0.9135753844530204</v>
      </c>
      <c r="T29" s="23">
        <f t="shared" si="35"/>
        <v>0.4805811994708935</v>
      </c>
      <c r="U29" s="23">
        <f aca="true" t="shared" si="45" ref="U29:U34">I29^S29</f>
        <v>0.5424955659091532</v>
      </c>
      <c r="W29" s="18">
        <f t="shared" si="25"/>
        <v>9</v>
      </c>
      <c r="X29" s="264">
        <f t="shared" si="36"/>
        <v>1.5360000000000005</v>
      </c>
      <c r="Y29" s="264">
        <f t="shared" si="37"/>
        <v>0.192</v>
      </c>
      <c r="Z29" s="20">
        <f t="shared" si="38"/>
        <v>1.7280000000000004</v>
      </c>
      <c r="AA29" s="265">
        <f aca="true" t="shared" si="46" ref="AA29:AA34">Z29+AA28</f>
        <v>6.588000000000001</v>
      </c>
    </row>
    <row r="30" spans="2:27" ht="12.75">
      <c r="B30" s="63">
        <v>12</v>
      </c>
      <c r="C30" s="15">
        <f t="shared" si="39"/>
        <v>512</v>
      </c>
      <c r="D30" s="15">
        <f t="shared" si="40"/>
        <v>102.4</v>
      </c>
      <c r="E30" s="43">
        <v>0</v>
      </c>
      <c r="F30" s="44">
        <f t="shared" si="26"/>
        <v>409.6</v>
      </c>
      <c r="G30" s="16">
        <f t="shared" si="27"/>
        <v>0.2</v>
      </c>
      <c r="H30" s="45">
        <f t="shared" si="28"/>
        <v>0.8</v>
      </c>
      <c r="I30" s="46">
        <f t="shared" si="41"/>
        <v>0.40960000000000013</v>
      </c>
      <c r="J30" s="17">
        <f t="shared" si="29"/>
        <v>0.7966887118898772</v>
      </c>
      <c r="K30" s="18">
        <f t="shared" si="30"/>
        <v>102.39999999999998</v>
      </c>
      <c r="L30" s="18">
        <f t="shared" si="31"/>
        <v>209715.2</v>
      </c>
      <c r="M30" s="19">
        <f t="shared" si="32"/>
        <v>0.0004882812499999999</v>
      </c>
      <c r="N30" s="19">
        <f t="shared" si="42"/>
        <v>0.00144140625</v>
      </c>
      <c r="O30" s="20">
        <f t="shared" si="43"/>
        <v>0.04253523813215497</v>
      </c>
      <c r="P30" s="21">
        <f t="shared" si="33"/>
        <v>1.9599639845400538</v>
      </c>
      <c r="Q30" s="17">
        <f t="shared" si="34"/>
        <v>0.0833675348128585</v>
      </c>
      <c r="R30" s="22">
        <f t="shared" si="24"/>
        <v>1.0869412238835299</v>
      </c>
      <c r="S30" s="22">
        <f t="shared" si="44"/>
        <v>0.9200129482872148</v>
      </c>
      <c r="T30" s="23">
        <f t="shared" si="35"/>
        <v>0.3790164394174648</v>
      </c>
      <c r="U30" s="23">
        <f t="shared" si="45"/>
        <v>0.4399123281432562</v>
      </c>
      <c r="W30" s="18">
        <f t="shared" si="25"/>
        <v>12</v>
      </c>
      <c r="X30" s="264">
        <f t="shared" si="36"/>
        <v>1.2288000000000003</v>
      </c>
      <c r="Y30" s="264">
        <f t="shared" si="37"/>
        <v>0.1536</v>
      </c>
      <c r="Z30" s="20">
        <f t="shared" si="38"/>
        <v>1.3824000000000003</v>
      </c>
      <c r="AA30" s="265">
        <f t="shared" si="46"/>
        <v>7.9704000000000015</v>
      </c>
    </row>
    <row r="31" spans="2:27" ht="12.75">
      <c r="B31" s="63">
        <v>15</v>
      </c>
      <c r="C31" s="15">
        <f t="shared" si="39"/>
        <v>409.6</v>
      </c>
      <c r="D31" s="15">
        <f t="shared" si="40"/>
        <v>81.92000000000002</v>
      </c>
      <c r="E31" s="43">
        <v>0</v>
      </c>
      <c r="F31" s="44">
        <f t="shared" si="26"/>
        <v>327.68</v>
      </c>
      <c r="G31" s="16">
        <f t="shared" si="27"/>
        <v>0.20000000000000004</v>
      </c>
      <c r="H31" s="45">
        <f t="shared" si="28"/>
        <v>0.7999999999999999</v>
      </c>
      <c r="I31" s="46">
        <f t="shared" si="41"/>
        <v>0.3276800000000001</v>
      </c>
      <c r="J31" s="17">
        <f t="shared" si="29"/>
        <v>1.2448261123279336</v>
      </c>
      <c r="K31" s="18">
        <f t="shared" si="30"/>
        <v>81.92000000000002</v>
      </c>
      <c r="L31" s="18">
        <f t="shared" si="31"/>
        <v>134217.728</v>
      </c>
      <c r="M31" s="19">
        <f t="shared" si="32"/>
        <v>0.0006103515625000001</v>
      </c>
      <c r="N31" s="19">
        <f t="shared" si="42"/>
        <v>0.0020517578125</v>
      </c>
      <c r="O31" s="20">
        <f t="shared" si="43"/>
        <v>0.04059837988248751</v>
      </c>
      <c r="P31" s="21">
        <f t="shared" si="33"/>
        <v>1.9599639845400538</v>
      </c>
      <c r="Q31" s="17">
        <f t="shared" si="34"/>
        <v>0.07957136240035098</v>
      </c>
      <c r="R31" s="22">
        <f t="shared" si="24"/>
        <v>1.0828228296085927</v>
      </c>
      <c r="S31" s="22">
        <f t="shared" si="44"/>
        <v>0.9235121135758372</v>
      </c>
      <c r="T31" s="23">
        <f t="shared" si="35"/>
        <v>0.2987570259421949</v>
      </c>
      <c r="U31" s="23">
        <f t="shared" si="45"/>
        <v>0.3568717292723298</v>
      </c>
      <c r="W31" s="18">
        <f t="shared" si="25"/>
        <v>15</v>
      </c>
      <c r="X31" s="264">
        <f t="shared" si="36"/>
        <v>0.9830400000000002</v>
      </c>
      <c r="Y31" s="264">
        <f t="shared" si="37"/>
        <v>0.12288000000000007</v>
      </c>
      <c r="Z31" s="20">
        <f t="shared" si="38"/>
        <v>1.1059200000000002</v>
      </c>
      <c r="AA31" s="265">
        <f t="shared" si="46"/>
        <v>9.076320000000003</v>
      </c>
    </row>
    <row r="32" spans="2:27" ht="12.75">
      <c r="B32" s="63">
        <v>18</v>
      </c>
      <c r="C32" s="15">
        <f t="shared" si="39"/>
        <v>327.68</v>
      </c>
      <c r="D32" s="15">
        <f t="shared" si="40"/>
        <v>65.536</v>
      </c>
      <c r="E32" s="43">
        <v>0</v>
      </c>
      <c r="F32" s="44">
        <f t="shared" si="26"/>
        <v>262.144</v>
      </c>
      <c r="G32" s="16">
        <f t="shared" si="27"/>
        <v>0.2</v>
      </c>
      <c r="H32" s="45">
        <f t="shared" si="28"/>
        <v>0.8</v>
      </c>
      <c r="I32" s="46">
        <f t="shared" si="41"/>
        <v>0.2621440000000001</v>
      </c>
      <c r="J32" s="17">
        <f t="shared" si="29"/>
        <v>1.7925496017522242</v>
      </c>
      <c r="K32" s="18">
        <f t="shared" si="30"/>
        <v>65.536</v>
      </c>
      <c r="L32" s="18">
        <f t="shared" si="31"/>
        <v>85899.34592</v>
      </c>
      <c r="M32" s="19">
        <f t="shared" si="32"/>
        <v>0.000762939453125</v>
      </c>
      <c r="N32" s="19">
        <f t="shared" si="42"/>
        <v>0.002814697265625</v>
      </c>
      <c r="O32" s="20">
        <f t="shared" si="43"/>
        <v>0.039626001775532806</v>
      </c>
      <c r="P32" s="21">
        <f t="shared" si="33"/>
        <v>1.9599639845400538</v>
      </c>
      <c r="Q32" s="17">
        <f t="shared" si="34"/>
        <v>0.07766553633136453</v>
      </c>
      <c r="R32" s="22">
        <f t="shared" si="24"/>
        <v>1.0807611228830825</v>
      </c>
      <c r="S32" s="22">
        <f t="shared" si="44"/>
        <v>0.9252738452807769</v>
      </c>
      <c r="T32" s="23">
        <f t="shared" si="35"/>
        <v>0.23527758468476434</v>
      </c>
      <c r="U32" s="23">
        <f t="shared" si="45"/>
        <v>0.28972781936160197</v>
      </c>
      <c r="W32" s="18">
        <f t="shared" si="25"/>
        <v>18</v>
      </c>
      <c r="X32" s="264">
        <f t="shared" si="36"/>
        <v>0.7864320000000002</v>
      </c>
      <c r="Y32" s="264">
        <f t="shared" si="37"/>
        <v>0.09830399999999997</v>
      </c>
      <c r="Z32" s="20">
        <f t="shared" si="38"/>
        <v>0.8847360000000002</v>
      </c>
      <c r="AA32" s="265">
        <f t="shared" si="46"/>
        <v>9.961056000000003</v>
      </c>
    </row>
    <row r="33" spans="2:27" ht="12.75">
      <c r="B33" s="63">
        <v>21</v>
      </c>
      <c r="C33" s="15">
        <f t="shared" si="39"/>
        <v>262.144</v>
      </c>
      <c r="D33" s="15">
        <f t="shared" si="40"/>
        <v>52.4288</v>
      </c>
      <c r="E33" s="43">
        <v>0</v>
      </c>
      <c r="F33" s="44">
        <f t="shared" si="26"/>
        <v>209.7152</v>
      </c>
      <c r="G33" s="16">
        <f t="shared" si="27"/>
        <v>0.2</v>
      </c>
      <c r="H33" s="45">
        <f t="shared" si="28"/>
        <v>0.8</v>
      </c>
      <c r="I33" s="46">
        <f t="shared" si="41"/>
        <v>0.2097152000000001</v>
      </c>
      <c r="J33" s="17">
        <f t="shared" si="29"/>
        <v>2.439859180162749</v>
      </c>
      <c r="K33" s="18">
        <f t="shared" si="30"/>
        <v>52.428799999999995</v>
      </c>
      <c r="L33" s="18">
        <f t="shared" si="31"/>
        <v>54975.581388800005</v>
      </c>
      <c r="M33" s="19">
        <f t="shared" si="32"/>
        <v>0.0009536743164062498</v>
      </c>
      <c r="N33" s="19">
        <f t="shared" si="42"/>
        <v>0.00376837158203125</v>
      </c>
      <c r="O33" s="20">
        <f t="shared" si="43"/>
        <v>0.03930017456471601</v>
      </c>
      <c r="P33" s="21">
        <f t="shared" si="33"/>
        <v>1.9599639845400538</v>
      </c>
      <c r="Q33" s="17">
        <f t="shared" si="34"/>
        <v>0.07702692673298046</v>
      </c>
      <c r="R33" s="22">
        <f t="shared" si="24"/>
        <v>1.0800711587887442</v>
      </c>
      <c r="S33" s="22">
        <f t="shared" si="44"/>
        <v>0.9258649227532927</v>
      </c>
      <c r="T33" s="23">
        <f t="shared" si="35"/>
        <v>0.18505977493979436</v>
      </c>
      <c r="U33" s="23">
        <f t="shared" si="45"/>
        <v>0.23546205393339092</v>
      </c>
      <c r="W33" s="18">
        <f t="shared" si="25"/>
        <v>21</v>
      </c>
      <c r="X33" s="264">
        <f t="shared" si="36"/>
        <v>0.6291456000000003</v>
      </c>
      <c r="Y33" s="264">
        <f t="shared" si="37"/>
        <v>0.0786432</v>
      </c>
      <c r="Z33" s="20">
        <f t="shared" si="38"/>
        <v>0.7077888000000003</v>
      </c>
      <c r="AA33" s="265">
        <f t="shared" si="46"/>
        <v>10.668844800000002</v>
      </c>
    </row>
    <row r="34" spans="2:27" ht="12.75">
      <c r="B34" s="63">
        <v>24</v>
      </c>
      <c r="C34" s="15">
        <f t="shared" si="39"/>
        <v>209.7152</v>
      </c>
      <c r="D34" s="15">
        <f t="shared" si="40"/>
        <v>41.94304</v>
      </c>
      <c r="E34" s="43">
        <v>0</v>
      </c>
      <c r="F34" s="44">
        <f t="shared" si="26"/>
        <v>167.77216</v>
      </c>
      <c r="G34" s="16">
        <f t="shared" si="27"/>
        <v>0.2</v>
      </c>
      <c r="H34" s="45">
        <f t="shared" si="28"/>
        <v>0.8</v>
      </c>
      <c r="I34" s="46">
        <f t="shared" si="41"/>
        <v>0.1677721600000001</v>
      </c>
      <c r="J34" s="17">
        <f t="shared" si="29"/>
        <v>3.186754847559509</v>
      </c>
      <c r="K34" s="18">
        <f t="shared" si="30"/>
        <v>41.943039999999996</v>
      </c>
      <c r="L34" s="18">
        <f t="shared" si="31"/>
        <v>35184.372088832</v>
      </c>
      <c r="M34" s="19">
        <f t="shared" si="32"/>
        <v>0.0011920928955078123</v>
      </c>
      <c r="N34" s="19">
        <f t="shared" si="42"/>
        <v>0.0049604644775390625</v>
      </c>
      <c r="O34" s="20">
        <f t="shared" si="43"/>
        <v>0.039453618827194004</v>
      </c>
      <c r="P34" s="21">
        <f t="shared" si="33"/>
        <v>1.9599639845400538</v>
      </c>
      <c r="Q34" s="17">
        <f t="shared" si="34"/>
        <v>0.07732767196107164</v>
      </c>
      <c r="R34" s="22">
        <f t="shared" si="24"/>
        <v>1.0803960338856178</v>
      </c>
      <c r="S34" s="22">
        <f t="shared" si="44"/>
        <v>0.9255865151628933</v>
      </c>
      <c r="T34" s="23">
        <f t="shared" si="35"/>
        <v>0.14534177187653197</v>
      </c>
      <c r="U34" s="23">
        <f t="shared" si="45"/>
        <v>0.1916069201631369</v>
      </c>
      <c r="W34" s="18">
        <f t="shared" si="25"/>
        <v>24</v>
      </c>
      <c r="X34" s="264">
        <f t="shared" si="36"/>
        <v>0.5033164800000003</v>
      </c>
      <c r="Y34" s="264">
        <f t="shared" si="37"/>
        <v>0.06291456000000002</v>
      </c>
      <c r="Z34" s="20">
        <f t="shared" si="38"/>
        <v>0.5662310400000004</v>
      </c>
      <c r="AA34" s="265">
        <f t="shared" si="46"/>
        <v>11.235075840000002</v>
      </c>
    </row>
    <row r="35" spans="2:15" ht="6.75" customHeight="1">
      <c r="B35" s="25"/>
      <c r="C35" s="25"/>
      <c r="D35" s="26"/>
      <c r="E35" s="26"/>
      <c r="F35" s="25"/>
      <c r="G35" s="27"/>
      <c r="H35" s="28"/>
      <c r="I35" s="28"/>
      <c r="J35" s="28"/>
      <c r="K35" s="29"/>
      <c r="L35" s="29"/>
      <c r="M35" s="29"/>
      <c r="N35" s="29"/>
      <c r="O35" s="28"/>
    </row>
    <row r="36" spans="2:23" ht="12.75">
      <c r="B36" s="30"/>
      <c r="C36" s="31" t="s">
        <v>109</v>
      </c>
      <c r="D36" s="64">
        <f>SUM(D27:D34)</f>
        <v>832.22784</v>
      </c>
      <c r="E36" s="64">
        <f>SUM(E27:E34)</f>
        <v>0</v>
      </c>
      <c r="F36" s="32"/>
      <c r="G36" s="27"/>
      <c r="H36" s="28"/>
      <c r="I36" s="28"/>
      <c r="J36" s="28"/>
      <c r="K36" s="29"/>
      <c r="L36" s="29"/>
      <c r="M36" s="29"/>
      <c r="N36" s="35"/>
      <c r="O36" s="28"/>
      <c r="U36" s="1"/>
      <c r="V36" s="1"/>
      <c r="W36" s="1"/>
    </row>
    <row r="37" spans="2:23" ht="12.75">
      <c r="B37" s="30"/>
      <c r="D37" s="26"/>
      <c r="E37" s="33"/>
      <c r="G37" s="27"/>
      <c r="H37" s="27"/>
      <c r="I37" s="27"/>
      <c r="J37" s="27"/>
      <c r="K37" s="27"/>
      <c r="L37" s="27"/>
      <c r="M37" s="241"/>
      <c r="N37" s="2"/>
      <c r="O37" s="2"/>
      <c r="Q37" s="37"/>
      <c r="R37" s="37"/>
      <c r="U37" s="1"/>
      <c r="V37" s="1"/>
      <c r="W37" s="1"/>
    </row>
    <row r="38" spans="2:23" ht="33.75">
      <c r="B38" s="30"/>
      <c r="C38" s="30"/>
      <c r="D38" s="30"/>
      <c r="E38" s="30"/>
      <c r="G38" s="27"/>
      <c r="H38" s="27"/>
      <c r="I38" s="27"/>
      <c r="J38" s="27"/>
      <c r="K38" s="27"/>
      <c r="L38" s="27"/>
      <c r="M38" s="241"/>
      <c r="N38" s="99" t="s">
        <v>170</v>
      </c>
      <c r="O38" s="185" t="s">
        <v>171</v>
      </c>
      <c r="P38" s="186" t="s">
        <v>172</v>
      </c>
      <c r="Q38" s="37"/>
      <c r="R38" s="37"/>
      <c r="U38" s="1"/>
      <c r="V38" s="1"/>
      <c r="W38" s="1"/>
    </row>
    <row r="39" spans="2:23" ht="12.75">
      <c r="B39" s="30"/>
      <c r="D39" s="26"/>
      <c r="E39" s="33"/>
      <c r="G39" s="27"/>
      <c r="H39" s="27"/>
      <c r="I39" s="27"/>
      <c r="J39" s="27"/>
      <c r="K39" s="27"/>
      <c r="L39" s="27"/>
      <c r="M39" s="27"/>
      <c r="N39" s="5">
        <v>0</v>
      </c>
      <c r="O39" s="41">
        <f>I26</f>
        <v>1</v>
      </c>
      <c r="P39" s="41">
        <f aca="true" t="shared" si="47" ref="P39:P47">I12</f>
        <v>1</v>
      </c>
      <c r="Q39" s="37"/>
      <c r="R39" s="37"/>
      <c r="U39" s="1"/>
      <c r="V39" s="1"/>
      <c r="W39" s="1"/>
    </row>
    <row r="40" spans="2:23" ht="15.75" customHeight="1">
      <c r="B40" s="39"/>
      <c r="C40" s="274" t="s">
        <v>125</v>
      </c>
      <c r="D40" s="275"/>
      <c r="E40" s="275"/>
      <c r="F40" s="275"/>
      <c r="G40" s="275"/>
      <c r="H40" s="275"/>
      <c r="I40" s="275"/>
      <c r="J40" s="275"/>
      <c r="K40" s="275"/>
      <c r="L40" s="276"/>
      <c r="M40" s="244"/>
      <c r="N40" s="5">
        <v>3</v>
      </c>
      <c r="O40" s="41">
        <f>I27</f>
        <v>0.8</v>
      </c>
      <c r="P40" s="41">
        <f t="shared" si="47"/>
        <v>0.9</v>
      </c>
      <c r="Q40" s="37"/>
      <c r="R40" s="37"/>
      <c r="U40" s="1"/>
      <c r="V40" s="1"/>
      <c r="W40" s="1"/>
    </row>
    <row r="41" spans="2:23" ht="12.75">
      <c r="B41" s="39"/>
      <c r="C41" s="277" t="s">
        <v>111</v>
      </c>
      <c r="D41" s="280" t="s">
        <v>112</v>
      </c>
      <c r="E41" s="281"/>
      <c r="F41" s="282"/>
      <c r="G41" s="283" t="s">
        <v>113</v>
      </c>
      <c r="H41" s="284"/>
      <c r="I41" s="285"/>
      <c r="J41" s="283" t="s">
        <v>114</v>
      </c>
      <c r="K41" s="284"/>
      <c r="L41" s="285"/>
      <c r="M41" s="27"/>
      <c r="N41" s="5">
        <v>6</v>
      </c>
      <c r="O41" s="41">
        <f aca="true" t="shared" si="48" ref="O41:O47">I28</f>
        <v>0.6400000000000001</v>
      </c>
      <c r="P41" s="41">
        <f t="shared" si="47"/>
        <v>0.81</v>
      </c>
      <c r="Q41" s="37"/>
      <c r="R41" s="37"/>
      <c r="U41" s="1"/>
      <c r="V41" s="1"/>
      <c r="W41" s="1"/>
    </row>
    <row r="42" spans="2:23" ht="12.75">
      <c r="B42" s="39"/>
      <c r="C42" s="278"/>
      <c r="D42" s="280" t="s">
        <v>115</v>
      </c>
      <c r="E42" s="282"/>
      <c r="F42" s="65"/>
      <c r="G42" s="280" t="s">
        <v>115</v>
      </c>
      <c r="H42" s="282"/>
      <c r="I42" s="66"/>
      <c r="J42" s="280" t="s">
        <v>115</v>
      </c>
      <c r="K42" s="282"/>
      <c r="L42" s="65"/>
      <c r="M42" s="27"/>
      <c r="N42" s="5">
        <v>9</v>
      </c>
      <c r="O42" s="41">
        <f t="shared" si="48"/>
        <v>0.5120000000000001</v>
      </c>
      <c r="P42" s="41">
        <f t="shared" si="47"/>
        <v>0.7290000000000001</v>
      </c>
      <c r="Q42" s="37"/>
      <c r="R42" s="37"/>
      <c r="U42" s="1"/>
      <c r="V42" s="1"/>
      <c r="W42" s="1"/>
    </row>
    <row r="43" spans="2:23" ht="12.75">
      <c r="B43" s="39"/>
      <c r="C43" s="279"/>
      <c r="D43" s="67" t="s">
        <v>116</v>
      </c>
      <c r="E43" s="67" t="s">
        <v>117</v>
      </c>
      <c r="F43" s="67" t="s">
        <v>118</v>
      </c>
      <c r="G43" s="67" t="s">
        <v>116</v>
      </c>
      <c r="H43" s="67" t="s">
        <v>117</v>
      </c>
      <c r="I43" s="67" t="s">
        <v>118</v>
      </c>
      <c r="J43" s="68" t="s">
        <v>116</v>
      </c>
      <c r="K43" s="68" t="s">
        <v>117</v>
      </c>
      <c r="L43" s="67" t="s">
        <v>118</v>
      </c>
      <c r="M43" s="27"/>
      <c r="N43" s="5">
        <v>12</v>
      </c>
      <c r="O43" s="41">
        <f t="shared" si="48"/>
        <v>0.40960000000000013</v>
      </c>
      <c r="P43" s="41">
        <f t="shared" si="47"/>
        <v>0.6561000000000001</v>
      </c>
      <c r="Q43" s="37"/>
      <c r="R43" s="37"/>
      <c r="U43" s="1"/>
      <c r="V43" s="1"/>
      <c r="W43" s="1"/>
    </row>
    <row r="44" spans="2:23" ht="12.75">
      <c r="B44" s="39"/>
      <c r="C44" s="69">
        <v>3</v>
      </c>
      <c r="D44" s="70">
        <f aca="true" t="shared" si="49" ref="D44:D51">C13</f>
        <v>1000</v>
      </c>
      <c r="E44" s="70">
        <f aca="true" t="shared" si="50" ref="E44:E51">C27</f>
        <v>1000</v>
      </c>
      <c r="F44" s="71">
        <f>D44+E44</f>
        <v>2000</v>
      </c>
      <c r="G44" s="70">
        <f aca="true" t="shared" si="51" ref="G44:G51">D13</f>
        <v>100</v>
      </c>
      <c r="H44" s="70">
        <f aca="true" t="shared" si="52" ref="H44:H51">D27</f>
        <v>200</v>
      </c>
      <c r="I44" s="71">
        <f>G44+H44</f>
        <v>300</v>
      </c>
      <c r="J44" s="72">
        <f aca="true" t="shared" si="53" ref="J44:J51">I44*D44/F44</f>
        <v>150</v>
      </c>
      <c r="K44" s="72">
        <f aca="true" t="shared" si="54" ref="K44:K51">I44*E44/F44</f>
        <v>150</v>
      </c>
      <c r="L44" s="73">
        <f>J44+K44</f>
        <v>300</v>
      </c>
      <c r="M44" s="27"/>
      <c r="N44" s="5">
        <v>15</v>
      </c>
      <c r="O44" s="41">
        <f t="shared" si="48"/>
        <v>0.3276800000000001</v>
      </c>
      <c r="P44" s="41">
        <f t="shared" si="47"/>
        <v>0.5904900000000002</v>
      </c>
      <c r="Q44" s="37"/>
      <c r="R44" s="37"/>
      <c r="U44" s="1"/>
      <c r="V44" s="1"/>
      <c r="W44" s="1"/>
    </row>
    <row r="45" spans="2:23" ht="12.75">
      <c r="B45" s="39"/>
      <c r="C45" s="69">
        <v>6</v>
      </c>
      <c r="D45" s="70">
        <f t="shared" si="49"/>
        <v>900</v>
      </c>
      <c r="E45" s="70">
        <f t="shared" si="50"/>
        <v>800</v>
      </c>
      <c r="F45" s="71">
        <f aca="true" t="shared" si="55" ref="F45:F51">D45+E45</f>
        <v>1700</v>
      </c>
      <c r="G45" s="70">
        <f t="shared" si="51"/>
        <v>90</v>
      </c>
      <c r="H45" s="70">
        <f t="shared" si="52"/>
        <v>160</v>
      </c>
      <c r="I45" s="71">
        <f aca="true" t="shared" si="56" ref="I45:I51">G45+H45</f>
        <v>250</v>
      </c>
      <c r="J45" s="72">
        <f t="shared" si="53"/>
        <v>132.35294117647058</v>
      </c>
      <c r="K45" s="72">
        <f t="shared" si="54"/>
        <v>117.6470588235294</v>
      </c>
      <c r="L45" s="73">
        <f aca="true" t="shared" si="57" ref="L45:L52">J45+K45</f>
        <v>250</v>
      </c>
      <c r="M45" s="27"/>
      <c r="N45" s="5">
        <v>18</v>
      </c>
      <c r="O45" s="41">
        <f t="shared" si="48"/>
        <v>0.2621440000000001</v>
      </c>
      <c r="P45" s="41">
        <f t="shared" si="47"/>
        <v>0.5314410000000002</v>
      </c>
      <c r="Q45" s="37"/>
      <c r="R45" s="37"/>
      <c r="U45" s="1"/>
      <c r="V45" s="1"/>
      <c r="W45" s="1"/>
    </row>
    <row r="46" spans="2:23" ht="12.75">
      <c r="B46" s="39"/>
      <c r="C46" s="69">
        <v>9</v>
      </c>
      <c r="D46" s="70">
        <f t="shared" si="49"/>
        <v>810</v>
      </c>
      <c r="E46" s="70">
        <f t="shared" si="50"/>
        <v>640</v>
      </c>
      <c r="F46" s="71">
        <f t="shared" si="55"/>
        <v>1450</v>
      </c>
      <c r="G46" s="70">
        <f t="shared" si="51"/>
        <v>81</v>
      </c>
      <c r="H46" s="70">
        <f t="shared" si="52"/>
        <v>128</v>
      </c>
      <c r="I46" s="71">
        <f t="shared" si="56"/>
        <v>209</v>
      </c>
      <c r="J46" s="72">
        <f t="shared" si="53"/>
        <v>116.75172413793103</v>
      </c>
      <c r="K46" s="72">
        <f t="shared" si="54"/>
        <v>92.24827586206897</v>
      </c>
      <c r="L46" s="73">
        <f t="shared" si="57"/>
        <v>209</v>
      </c>
      <c r="M46" s="27"/>
      <c r="N46" s="5">
        <v>21</v>
      </c>
      <c r="O46" s="41">
        <f t="shared" si="48"/>
        <v>0.2097152000000001</v>
      </c>
      <c r="P46" s="41">
        <f t="shared" si="47"/>
        <v>0.47829690000000014</v>
      </c>
      <c r="U46" s="1"/>
      <c r="V46" s="1"/>
      <c r="W46" s="1"/>
    </row>
    <row r="47" spans="2:16" ht="12.75">
      <c r="B47" s="39"/>
      <c r="C47" s="69">
        <v>12</v>
      </c>
      <c r="D47" s="70">
        <f t="shared" si="49"/>
        <v>729</v>
      </c>
      <c r="E47" s="70">
        <f t="shared" si="50"/>
        <v>512</v>
      </c>
      <c r="F47" s="71">
        <f t="shared" si="55"/>
        <v>1241</v>
      </c>
      <c r="G47" s="70">
        <f t="shared" si="51"/>
        <v>72.9</v>
      </c>
      <c r="H47" s="70">
        <f t="shared" si="52"/>
        <v>102.4</v>
      </c>
      <c r="I47" s="71">
        <f t="shared" si="56"/>
        <v>175.3</v>
      </c>
      <c r="J47" s="72">
        <f t="shared" si="53"/>
        <v>102.97639000805803</v>
      </c>
      <c r="K47" s="72">
        <f t="shared" si="54"/>
        <v>72.32360999194199</v>
      </c>
      <c r="L47" s="73">
        <f t="shared" si="57"/>
        <v>175.3</v>
      </c>
      <c r="M47" s="27"/>
      <c r="N47" s="5">
        <v>24</v>
      </c>
      <c r="O47" s="41">
        <f t="shared" si="48"/>
        <v>0.1677721600000001</v>
      </c>
      <c r="P47" s="41">
        <f t="shared" si="47"/>
        <v>0.43046721000000016</v>
      </c>
    </row>
    <row r="48" spans="2:15" ht="12.75">
      <c r="B48" s="39"/>
      <c r="C48" s="69">
        <v>15</v>
      </c>
      <c r="D48" s="70">
        <f t="shared" si="49"/>
        <v>656.1</v>
      </c>
      <c r="E48" s="70">
        <f t="shared" si="50"/>
        <v>409.6</v>
      </c>
      <c r="F48" s="71">
        <f t="shared" si="55"/>
        <v>1065.7</v>
      </c>
      <c r="G48" s="70">
        <f t="shared" si="51"/>
        <v>65.61</v>
      </c>
      <c r="H48" s="70">
        <f t="shared" si="52"/>
        <v>81.92000000000002</v>
      </c>
      <c r="I48" s="71">
        <f t="shared" si="56"/>
        <v>147.53000000000003</v>
      </c>
      <c r="J48" s="72">
        <f t="shared" si="53"/>
        <v>90.82709299052267</v>
      </c>
      <c r="K48" s="72">
        <f t="shared" si="54"/>
        <v>56.70290700947735</v>
      </c>
      <c r="L48" s="73">
        <f t="shared" si="57"/>
        <v>147.53000000000003</v>
      </c>
      <c r="M48" s="27"/>
      <c r="N48" s="39"/>
      <c r="O48" s="39"/>
    </row>
    <row r="49" spans="2:15" ht="12.75">
      <c r="B49" s="39"/>
      <c r="C49" s="69">
        <v>18</v>
      </c>
      <c r="D49" s="70">
        <f t="shared" si="49"/>
        <v>590.49</v>
      </c>
      <c r="E49" s="70">
        <f t="shared" si="50"/>
        <v>327.68</v>
      </c>
      <c r="F49" s="71">
        <f t="shared" si="55"/>
        <v>918.1700000000001</v>
      </c>
      <c r="G49" s="70">
        <f t="shared" si="51"/>
        <v>59.04900000000001</v>
      </c>
      <c r="H49" s="70">
        <f t="shared" si="52"/>
        <v>65.536</v>
      </c>
      <c r="I49" s="71">
        <f t="shared" si="56"/>
        <v>124.58500000000001</v>
      </c>
      <c r="J49" s="72">
        <f t="shared" si="53"/>
        <v>80.12263159327794</v>
      </c>
      <c r="K49" s="72">
        <f t="shared" si="54"/>
        <v>44.46236840672207</v>
      </c>
      <c r="L49" s="73">
        <f t="shared" si="57"/>
        <v>124.58500000000001</v>
      </c>
      <c r="M49" s="27"/>
      <c r="N49" s="39"/>
      <c r="O49" s="39"/>
    </row>
    <row r="50" spans="2:15" ht="12.75">
      <c r="B50" s="39"/>
      <c r="C50" s="69">
        <v>21</v>
      </c>
      <c r="D50" s="70">
        <f t="shared" si="49"/>
        <v>531.441</v>
      </c>
      <c r="E50" s="70">
        <f t="shared" si="50"/>
        <v>262.144</v>
      </c>
      <c r="F50" s="71">
        <f t="shared" si="55"/>
        <v>793.585</v>
      </c>
      <c r="G50" s="70">
        <f t="shared" si="51"/>
        <v>53.14410000000001</v>
      </c>
      <c r="H50" s="70">
        <f t="shared" si="52"/>
        <v>52.4288</v>
      </c>
      <c r="I50" s="71">
        <f t="shared" si="56"/>
        <v>105.5729</v>
      </c>
      <c r="J50" s="72">
        <f t="shared" si="53"/>
        <v>70.69912806933095</v>
      </c>
      <c r="K50" s="72">
        <f t="shared" si="54"/>
        <v>34.87377193066906</v>
      </c>
      <c r="L50" s="73">
        <f t="shared" si="57"/>
        <v>105.5729</v>
      </c>
      <c r="M50" s="27"/>
      <c r="N50" s="39"/>
      <c r="O50" s="39"/>
    </row>
    <row r="51" spans="2:15" ht="12.75">
      <c r="B51" s="39"/>
      <c r="C51" s="69">
        <v>24</v>
      </c>
      <c r="D51" s="70">
        <f t="shared" si="49"/>
        <v>478.29690000000005</v>
      </c>
      <c r="E51" s="70">
        <f t="shared" si="50"/>
        <v>209.7152</v>
      </c>
      <c r="F51" s="71">
        <f t="shared" si="55"/>
        <v>688.0121</v>
      </c>
      <c r="G51" s="70">
        <f t="shared" si="51"/>
        <v>47.82969000000001</v>
      </c>
      <c r="H51" s="70">
        <f t="shared" si="52"/>
        <v>41.94304</v>
      </c>
      <c r="I51" s="71">
        <f t="shared" si="56"/>
        <v>89.77273000000001</v>
      </c>
      <c r="J51" s="72">
        <f t="shared" si="53"/>
        <v>62.40881296061073</v>
      </c>
      <c r="K51" s="72">
        <f t="shared" si="54"/>
        <v>27.36391703938928</v>
      </c>
      <c r="L51" s="73">
        <f t="shared" si="57"/>
        <v>89.77273000000001</v>
      </c>
      <c r="M51" s="27"/>
      <c r="N51" s="39"/>
      <c r="O51" s="39"/>
    </row>
    <row r="52" spans="2:15" ht="12.75">
      <c r="B52" s="39"/>
      <c r="C52" s="74"/>
      <c r="D52" s="75"/>
      <c r="E52" s="75"/>
      <c r="F52" s="75"/>
      <c r="G52" s="76">
        <f>SUM(G44:G51)</f>
        <v>569.53279</v>
      </c>
      <c r="H52" s="76">
        <f>SUM(H44:H51)</f>
        <v>832.22784</v>
      </c>
      <c r="I52" s="76">
        <f>SUM(I44:I51)</f>
        <v>1401.76063</v>
      </c>
      <c r="J52" s="77">
        <f>SUM(J44:J51)</f>
        <v>806.1387209362019</v>
      </c>
      <c r="K52" s="77">
        <f>SUM(K44:K51)</f>
        <v>595.6219090637981</v>
      </c>
      <c r="L52" s="78">
        <f t="shared" si="57"/>
        <v>1401.76063</v>
      </c>
      <c r="M52" s="39"/>
      <c r="N52" s="39"/>
      <c r="O52" s="39"/>
    </row>
    <row r="53" spans="2:15" ht="12.75">
      <c r="B53" s="39"/>
      <c r="C53" s="39"/>
      <c r="D53" s="39"/>
      <c r="E53" s="39"/>
      <c r="F53" s="39"/>
      <c r="G53" s="39"/>
      <c r="H53" s="39"/>
      <c r="I53" s="39"/>
      <c r="J53" s="79"/>
      <c r="K53" s="39"/>
      <c r="L53" s="39"/>
      <c r="M53" s="39"/>
      <c r="N53" s="39"/>
      <c r="O53" s="39"/>
    </row>
    <row r="54" spans="2:15" ht="12.75">
      <c r="B54" s="39"/>
      <c r="C54" s="80" t="s">
        <v>119</v>
      </c>
      <c r="D54" s="81">
        <f>((G52-J52)^2)/J52</f>
        <v>69.44507824803671</v>
      </c>
      <c r="E54" s="82"/>
      <c r="F54" s="83">
        <f>((H52-K52)^2)/K52</f>
        <v>93.98977052771644</v>
      </c>
      <c r="G54" s="82"/>
      <c r="H54" s="84">
        <f>D54+F54</f>
        <v>163.43484877575315</v>
      </c>
      <c r="I54" s="85" t="s">
        <v>145</v>
      </c>
      <c r="J54" s="82"/>
      <c r="K54" s="86" t="s">
        <v>146</v>
      </c>
      <c r="L54" s="87">
        <f>CHIDIST(H54,1)</f>
        <v>2.0101266387620514E-37</v>
      </c>
      <c r="M54" s="39"/>
      <c r="N54" s="39"/>
      <c r="O54" s="39"/>
    </row>
    <row r="55" spans="2:15" ht="12.75">
      <c r="B55" s="39"/>
      <c r="C55" s="39"/>
      <c r="D55" s="39"/>
      <c r="E55" s="39"/>
      <c r="F55" s="39"/>
      <c r="G55" s="39"/>
      <c r="H55" s="39"/>
      <c r="I55" s="88"/>
      <c r="J55" s="39"/>
      <c r="K55" s="39"/>
      <c r="L55" s="39"/>
      <c r="M55" s="39"/>
      <c r="N55" s="39"/>
      <c r="O55" s="39"/>
    </row>
    <row r="56" spans="2:15" ht="12.75">
      <c r="B56" s="39"/>
      <c r="C56" s="39"/>
      <c r="D56" s="39"/>
      <c r="E56" s="39"/>
      <c r="F56" s="39"/>
      <c r="G56" s="39"/>
      <c r="H56" s="39"/>
      <c r="I56" s="89"/>
      <c r="J56" s="90" t="s">
        <v>120</v>
      </c>
      <c r="K56" s="187">
        <f>(G52/J52)/(H52/K52)</f>
        <v>0.5056352878998621</v>
      </c>
      <c r="O56" s="39"/>
    </row>
    <row r="57" spans="2:16" ht="25.5" customHeight="1">
      <c r="B57" s="39"/>
      <c r="C57" s="39"/>
      <c r="D57" s="39"/>
      <c r="E57" s="39"/>
      <c r="F57" s="39"/>
      <c r="G57" s="39"/>
      <c r="H57" s="39"/>
      <c r="O57" s="286" t="s">
        <v>239</v>
      </c>
      <c r="P57" s="287"/>
    </row>
    <row r="58" spans="2:16" ht="25.5">
      <c r="B58" s="39"/>
      <c r="C58" s="39"/>
      <c r="D58" s="39"/>
      <c r="E58" s="39"/>
      <c r="F58" s="39"/>
      <c r="G58" s="39"/>
      <c r="H58" s="39"/>
      <c r="I58" s="39"/>
      <c r="N58" s="99" t="s">
        <v>170</v>
      </c>
      <c r="O58" s="188" t="s">
        <v>240</v>
      </c>
      <c r="P58" s="9" t="s">
        <v>241</v>
      </c>
    </row>
    <row r="59" spans="2:16" ht="12.75" customHeight="1">
      <c r="B59" s="39"/>
      <c r="C59" s="39"/>
      <c r="D59" s="39"/>
      <c r="E59" s="39"/>
      <c r="F59" s="39"/>
      <c r="G59" s="39"/>
      <c r="H59" s="39"/>
      <c r="I59" s="39"/>
      <c r="J59" s="39"/>
      <c r="N59" s="5">
        <v>3</v>
      </c>
      <c r="O59" s="41">
        <f aca="true" t="shared" si="58" ref="O59:O66">G27</f>
        <v>0.2</v>
      </c>
      <c r="P59" s="41">
        <f aca="true" t="shared" si="59" ref="P59:P66">G13</f>
        <v>0.1</v>
      </c>
    </row>
    <row r="60" spans="2:16" ht="12.75">
      <c r="B60" s="39"/>
      <c r="C60" s="39"/>
      <c r="D60" s="39"/>
      <c r="E60" s="39"/>
      <c r="F60" s="39"/>
      <c r="G60" s="39"/>
      <c r="H60" s="39"/>
      <c r="I60" s="39"/>
      <c r="J60" s="39"/>
      <c r="N60" s="5">
        <v>6</v>
      </c>
      <c r="O60" s="41">
        <f t="shared" si="58"/>
        <v>0.2</v>
      </c>
      <c r="P60" s="41">
        <f t="shared" si="59"/>
        <v>0.1</v>
      </c>
    </row>
    <row r="61" spans="2:16" ht="12.75">
      <c r="B61" s="39"/>
      <c r="C61" s="39"/>
      <c r="D61" s="39"/>
      <c r="E61" s="39"/>
      <c r="F61" s="39"/>
      <c r="G61" s="39"/>
      <c r="H61" s="39"/>
      <c r="I61" s="39"/>
      <c r="J61" s="39"/>
      <c r="K61" s="39"/>
      <c r="L61" s="39"/>
      <c r="M61" s="39"/>
      <c r="N61" s="5">
        <v>9</v>
      </c>
      <c r="O61" s="41">
        <f t="shared" si="58"/>
        <v>0.2</v>
      </c>
      <c r="P61" s="41">
        <f t="shared" si="59"/>
        <v>0.1</v>
      </c>
    </row>
    <row r="62" spans="2:16" ht="12.75">
      <c r="B62" s="39"/>
      <c r="C62" s="39"/>
      <c r="D62" s="39"/>
      <c r="E62" s="39"/>
      <c r="F62" s="39"/>
      <c r="G62" s="39"/>
      <c r="H62" s="39"/>
      <c r="I62" s="39"/>
      <c r="J62" s="39"/>
      <c r="K62" s="39"/>
      <c r="L62" s="39"/>
      <c r="M62" s="39"/>
      <c r="N62" s="5">
        <v>12</v>
      </c>
      <c r="O62" s="41">
        <f t="shared" si="58"/>
        <v>0.2</v>
      </c>
      <c r="P62" s="41">
        <f t="shared" si="59"/>
        <v>0.1</v>
      </c>
    </row>
    <row r="63" spans="2:17" ht="12.75">
      <c r="B63" s="39"/>
      <c r="C63" s="39"/>
      <c r="D63" s="39"/>
      <c r="E63" s="39"/>
      <c r="F63" s="39"/>
      <c r="G63" s="39"/>
      <c r="H63" s="39"/>
      <c r="I63" s="39"/>
      <c r="J63" s="39"/>
      <c r="K63" s="39"/>
      <c r="N63" s="5">
        <v>15</v>
      </c>
      <c r="O63" s="41">
        <f t="shared" si="58"/>
        <v>0.20000000000000004</v>
      </c>
      <c r="P63" s="41">
        <f t="shared" si="59"/>
        <v>0.09999999999999999</v>
      </c>
      <c r="Q63" s="40"/>
    </row>
    <row r="64" spans="2:17" ht="12.75">
      <c r="B64" s="39"/>
      <c r="C64" s="39"/>
      <c r="D64" s="39"/>
      <c r="E64" s="39"/>
      <c r="F64" s="39"/>
      <c r="G64" s="39"/>
      <c r="H64" s="39"/>
      <c r="I64" s="39"/>
      <c r="J64" s="39"/>
      <c r="K64" s="39"/>
      <c r="N64" s="5">
        <v>18</v>
      </c>
      <c r="O64" s="41">
        <f t="shared" si="58"/>
        <v>0.2</v>
      </c>
      <c r="P64" s="41">
        <f t="shared" si="59"/>
        <v>0.1</v>
      </c>
      <c r="Q64" s="40"/>
    </row>
    <row r="65" spans="2:17" ht="12.75">
      <c r="B65" s="39"/>
      <c r="C65" s="39"/>
      <c r="D65" s="39"/>
      <c r="E65" s="39"/>
      <c r="F65" s="39"/>
      <c r="G65" s="39"/>
      <c r="H65" s="39"/>
      <c r="I65" s="39"/>
      <c r="J65" s="39"/>
      <c r="K65" s="39"/>
      <c r="N65" s="5">
        <v>21</v>
      </c>
      <c r="O65" s="41">
        <f t="shared" si="58"/>
        <v>0.2</v>
      </c>
      <c r="P65" s="41">
        <f t="shared" si="59"/>
        <v>0.1</v>
      </c>
      <c r="Q65" s="40"/>
    </row>
    <row r="66" spans="2:17" ht="12.75">
      <c r="B66" s="39"/>
      <c r="C66" s="39"/>
      <c r="D66" s="39"/>
      <c r="E66" s="39"/>
      <c r="F66" s="39"/>
      <c r="G66" s="39"/>
      <c r="H66" s="39"/>
      <c r="I66" s="39"/>
      <c r="J66" s="39"/>
      <c r="K66" s="39"/>
      <c r="L66" s="39"/>
      <c r="M66" s="39"/>
      <c r="N66" s="5">
        <v>24</v>
      </c>
      <c r="O66" s="41">
        <f t="shared" si="58"/>
        <v>0.2</v>
      </c>
      <c r="P66" s="41">
        <f t="shared" si="59"/>
        <v>0.1</v>
      </c>
      <c r="Q66" s="40"/>
    </row>
    <row r="67" spans="2:17" ht="12.75">
      <c r="B67" s="39"/>
      <c r="C67" s="39"/>
      <c r="D67" s="39"/>
      <c r="E67" s="39"/>
      <c r="F67" s="39"/>
      <c r="G67" s="39"/>
      <c r="H67" s="39"/>
      <c r="I67" s="39"/>
      <c r="J67" s="39"/>
      <c r="Q67" s="40"/>
    </row>
    <row r="68" spans="2:17" ht="12.75">
      <c r="B68" s="39"/>
      <c r="C68" s="39"/>
      <c r="D68" s="39"/>
      <c r="E68" s="39"/>
      <c r="F68" s="39"/>
      <c r="G68" s="39"/>
      <c r="H68" s="39"/>
      <c r="I68" s="39"/>
      <c r="J68" s="39"/>
      <c r="P68" s="39"/>
      <c r="Q68" s="39"/>
    </row>
    <row r="69" spans="2:17" ht="12.75">
      <c r="B69" s="39"/>
      <c r="C69" s="39"/>
      <c r="D69" s="39"/>
      <c r="E69" s="39"/>
      <c r="F69" s="39"/>
      <c r="G69" s="39"/>
      <c r="H69" s="39"/>
      <c r="I69" s="39"/>
      <c r="J69" s="39"/>
      <c r="K69" s="39"/>
      <c r="L69" s="39"/>
      <c r="N69" s="246" t="s">
        <v>274</v>
      </c>
      <c r="O69" s="40"/>
      <c r="P69" s="40" t="s">
        <v>274</v>
      </c>
      <c r="Q69" s="40"/>
    </row>
    <row r="70" spans="2:19" ht="13.5" thickBot="1">
      <c r="B70" s="39"/>
      <c r="C70" s="39"/>
      <c r="D70" s="39"/>
      <c r="E70" s="39"/>
      <c r="F70" s="39"/>
      <c r="G70" s="39"/>
      <c r="H70" s="39"/>
      <c r="I70" s="39"/>
      <c r="J70" s="39"/>
      <c r="K70" s="39"/>
      <c r="L70" s="39"/>
      <c r="N70" s="246" t="s">
        <v>275</v>
      </c>
      <c r="P70" s="1" t="s">
        <v>269</v>
      </c>
      <c r="Q70" s="40"/>
      <c r="R70" s="1"/>
      <c r="S70" s="1"/>
    </row>
    <row r="71" spans="2:19" ht="12.75" customHeight="1" thickBot="1">
      <c r="B71" s="39"/>
      <c r="C71" s="39"/>
      <c r="D71" s="39"/>
      <c r="E71" s="39"/>
      <c r="F71" s="39"/>
      <c r="G71" s="39"/>
      <c r="H71" s="39"/>
      <c r="I71" s="39"/>
      <c r="J71" s="39"/>
      <c r="K71" s="39"/>
      <c r="L71" s="241" t="s">
        <v>270</v>
      </c>
      <c r="M71" s="243" t="s">
        <v>271</v>
      </c>
      <c r="N71" s="250" t="s">
        <v>243</v>
      </c>
      <c r="O71" s="5" t="s">
        <v>170</v>
      </c>
      <c r="P71" s="250" t="s">
        <v>243</v>
      </c>
      <c r="Q71" s="1"/>
      <c r="R71" s="1"/>
      <c r="S71" s="1"/>
    </row>
    <row r="72" spans="2:19" ht="14.25">
      <c r="B72" s="39"/>
      <c r="C72" s="39"/>
      <c r="D72" s="39"/>
      <c r="E72" s="39"/>
      <c r="F72" s="39"/>
      <c r="G72" s="39"/>
      <c r="H72" s="39"/>
      <c r="I72" s="39"/>
      <c r="J72" s="39"/>
      <c r="K72" s="39"/>
      <c r="L72" s="39"/>
      <c r="M72" s="247" t="s">
        <v>272</v>
      </c>
      <c r="N72" s="249">
        <f>LOG(P40,O40)</f>
        <v>0.4721647344828152</v>
      </c>
      <c r="O72" s="5">
        <v>3</v>
      </c>
      <c r="P72" s="249">
        <f aca="true" t="shared" si="60" ref="P72:P79">P59/O59</f>
        <v>0.5</v>
      </c>
      <c r="Q72" s="40"/>
      <c r="R72" s="1"/>
      <c r="S72" s="1"/>
    </row>
    <row r="73" spans="2:19" ht="12.75">
      <c r="B73" s="39"/>
      <c r="C73" s="39"/>
      <c r="D73" s="39"/>
      <c r="E73" s="39"/>
      <c r="F73" s="39"/>
      <c r="G73" s="39"/>
      <c r="H73" s="39"/>
      <c r="I73" s="39"/>
      <c r="J73" s="39"/>
      <c r="K73" s="39"/>
      <c r="L73" s="39"/>
      <c r="N73" s="189">
        <f aca="true" t="shared" si="61" ref="N73:N79">LOG(P41,O41)</f>
        <v>0.47216473448281526</v>
      </c>
      <c r="O73" s="5">
        <v>6</v>
      </c>
      <c r="P73" s="189">
        <f t="shared" si="60"/>
        <v>0.5</v>
      </c>
      <c r="Q73" s="1"/>
      <c r="R73" s="1"/>
      <c r="S73" s="1"/>
    </row>
    <row r="74" spans="2:19" ht="12.75">
      <c r="B74" s="39"/>
      <c r="C74" s="39"/>
      <c r="D74" s="39"/>
      <c r="E74" s="39"/>
      <c r="F74" s="39"/>
      <c r="G74" s="39"/>
      <c r="H74" s="39"/>
      <c r="I74" s="39"/>
      <c r="J74" s="39"/>
      <c r="K74" s="39"/>
      <c r="L74" s="39"/>
      <c r="N74" s="189">
        <f t="shared" si="61"/>
        <v>0.4721647344828152</v>
      </c>
      <c r="O74" s="5">
        <v>9</v>
      </c>
      <c r="P74" s="189">
        <f t="shared" si="60"/>
        <v>0.5</v>
      </c>
      <c r="Q74" s="1"/>
      <c r="R74" s="1"/>
      <c r="S74" s="1"/>
    </row>
    <row r="75" spans="2:19" ht="12.75">
      <c r="B75" s="39"/>
      <c r="C75" s="39"/>
      <c r="D75" s="39"/>
      <c r="E75" s="39"/>
      <c r="F75" s="39"/>
      <c r="G75" s="39"/>
      <c r="H75" s="39"/>
      <c r="I75" s="39"/>
      <c r="J75" s="39"/>
      <c r="K75" s="39"/>
      <c r="L75" s="39"/>
      <c r="N75" s="189">
        <f t="shared" si="61"/>
        <v>0.47216473448281515</v>
      </c>
      <c r="O75" s="5">
        <v>12</v>
      </c>
      <c r="P75" s="189">
        <f t="shared" si="60"/>
        <v>0.5</v>
      </c>
      <c r="Q75" s="1"/>
      <c r="R75" s="1"/>
      <c r="S75" s="1"/>
    </row>
    <row r="76" spans="2:19" ht="12.75">
      <c r="B76" s="39"/>
      <c r="C76" s="39"/>
      <c r="D76" s="39"/>
      <c r="E76" s="39"/>
      <c r="F76" s="39"/>
      <c r="G76" s="39"/>
      <c r="H76" s="39"/>
      <c r="I76" s="39"/>
      <c r="J76" s="39"/>
      <c r="K76" s="39"/>
      <c r="L76" s="39"/>
      <c r="N76" s="189">
        <f t="shared" si="61"/>
        <v>0.4721647344828151</v>
      </c>
      <c r="O76" s="5">
        <v>15</v>
      </c>
      <c r="P76" s="189">
        <f t="shared" si="60"/>
        <v>0.4999999999999999</v>
      </c>
      <c r="Q76" s="1"/>
      <c r="R76" s="1"/>
      <c r="S76" s="1"/>
    </row>
    <row r="77" spans="2:16" ht="12.75">
      <c r="B77" s="39"/>
      <c r="C77" s="39"/>
      <c r="D77" s="39"/>
      <c r="E77" s="39"/>
      <c r="F77" s="39"/>
      <c r="G77" s="39"/>
      <c r="H77" s="39"/>
      <c r="I77" s="39"/>
      <c r="J77" s="39"/>
      <c r="K77" s="39"/>
      <c r="L77" s="39"/>
      <c r="N77" s="189">
        <f t="shared" si="61"/>
        <v>0.47216473448281504</v>
      </c>
      <c r="O77" s="5">
        <v>18</v>
      </c>
      <c r="P77" s="189">
        <f t="shared" si="60"/>
        <v>0.5</v>
      </c>
    </row>
    <row r="78" spans="2:16" ht="12.75">
      <c r="B78" s="39"/>
      <c r="C78" s="36"/>
      <c r="D78" s="39"/>
      <c r="E78" s="39"/>
      <c r="F78" s="39"/>
      <c r="G78" s="39"/>
      <c r="H78" s="39"/>
      <c r="I78" s="39"/>
      <c r="J78" s="39"/>
      <c r="K78" s="39"/>
      <c r="L78" s="39"/>
      <c r="N78" s="189">
        <f t="shared" si="61"/>
        <v>0.4721647344828152</v>
      </c>
      <c r="O78" s="5">
        <v>21</v>
      </c>
      <c r="P78" s="189">
        <f t="shared" si="60"/>
        <v>0.5</v>
      </c>
    </row>
    <row r="79" spans="2:16" ht="13.5" thickBot="1">
      <c r="B79" s="39"/>
      <c r="C79" s="39"/>
      <c r="D79" s="39"/>
      <c r="E79" s="39"/>
      <c r="F79" s="39"/>
      <c r="G79" s="39"/>
      <c r="H79" s="39"/>
      <c r="I79" s="39"/>
      <c r="J79" s="39"/>
      <c r="K79" s="39"/>
      <c r="L79" s="39"/>
      <c r="N79" s="189">
        <f t="shared" si="61"/>
        <v>0.47216473448281515</v>
      </c>
      <c r="O79" s="5">
        <v>24</v>
      </c>
      <c r="P79" s="239">
        <f t="shared" si="60"/>
        <v>0.5</v>
      </c>
    </row>
    <row r="80" spans="2:16" ht="18" customHeight="1" thickBot="1">
      <c r="B80" s="39"/>
      <c r="C80" s="36"/>
      <c r="D80" s="39"/>
      <c r="E80" s="39"/>
      <c r="F80" s="39"/>
      <c r="G80" s="200" t="s">
        <v>253</v>
      </c>
      <c r="H80" s="200" t="s">
        <v>254</v>
      </c>
      <c r="I80" s="199" t="s">
        <v>255</v>
      </c>
      <c r="J80" s="199" t="s">
        <v>209</v>
      </c>
      <c r="K80" s="199" t="s">
        <v>210</v>
      </c>
      <c r="N80" s="245">
        <f>N78</f>
        <v>0.4721647344828152</v>
      </c>
      <c r="O80" s="248" t="s">
        <v>267</v>
      </c>
      <c r="P80" s="240">
        <v>0.5</v>
      </c>
    </row>
    <row r="81" spans="2:15" ht="12.75" customHeight="1">
      <c r="B81" s="39"/>
      <c r="C81" s="39"/>
      <c r="D81" s="39"/>
      <c r="E81" s="39"/>
      <c r="F81" s="39"/>
      <c r="G81" s="196" t="s">
        <v>273</v>
      </c>
      <c r="H81" s="196" t="s">
        <v>256</v>
      </c>
      <c r="I81" s="196" t="s">
        <v>276</v>
      </c>
      <c r="J81" s="198">
        <v>0.2627</v>
      </c>
      <c r="K81" s="196" t="s">
        <v>277</v>
      </c>
      <c r="O81" s="39"/>
    </row>
    <row r="82" spans="2:15" ht="12.75" customHeight="1">
      <c r="B82" s="39"/>
      <c r="C82" s="39"/>
      <c r="D82" s="39"/>
      <c r="E82" s="39"/>
      <c r="F82" s="39"/>
      <c r="G82" s="39"/>
      <c r="H82" s="39"/>
      <c r="I82" s="39"/>
      <c r="J82" s="39"/>
      <c r="K82" s="39"/>
      <c r="M82" s="288" t="s">
        <v>244</v>
      </c>
      <c r="N82" s="288" t="s">
        <v>245</v>
      </c>
      <c r="O82" s="290" t="s">
        <v>123</v>
      </c>
    </row>
    <row r="83" spans="2:15" ht="19.5" customHeight="1">
      <c r="B83" s="39"/>
      <c r="C83" s="39"/>
      <c r="D83" s="39"/>
      <c r="E83" s="39"/>
      <c r="F83" s="39"/>
      <c r="G83" s="200" t="s">
        <v>206</v>
      </c>
      <c r="H83" s="200" t="s">
        <v>207</v>
      </c>
      <c r="I83" s="197" t="s">
        <v>208</v>
      </c>
      <c r="J83" s="197" t="s">
        <v>209</v>
      </c>
      <c r="K83" s="197" t="s">
        <v>210</v>
      </c>
      <c r="M83" s="289"/>
      <c r="N83" s="289"/>
      <c r="O83" s="291"/>
    </row>
    <row r="84" spans="2:15" ht="12.75">
      <c r="B84" s="39"/>
      <c r="C84" s="39"/>
      <c r="D84" s="39"/>
      <c r="E84" s="39"/>
      <c r="F84" s="39"/>
      <c r="G84" s="196" t="s">
        <v>249</v>
      </c>
      <c r="H84" s="196" t="s">
        <v>250</v>
      </c>
      <c r="I84" s="196" t="s">
        <v>251</v>
      </c>
      <c r="J84" s="198">
        <v>0.262</v>
      </c>
      <c r="K84" s="196" t="s">
        <v>252</v>
      </c>
      <c r="L84" s="39"/>
      <c r="M84" s="194">
        <f>D22/C12</f>
        <v>0.56953279</v>
      </c>
      <c r="N84" s="242">
        <f>D36/C27</f>
        <v>0.83222784</v>
      </c>
      <c r="O84" s="195">
        <v>0.69</v>
      </c>
    </row>
    <row r="85" spans="2:15" ht="12.75">
      <c r="B85" s="39"/>
      <c r="C85" s="39"/>
      <c r="D85" s="39"/>
      <c r="E85" s="39"/>
      <c r="F85" s="39"/>
      <c r="G85" s="39"/>
      <c r="H85" s="39"/>
      <c r="O85" s="39"/>
    </row>
    <row r="86" spans="2:15" ht="12.75">
      <c r="B86" s="39"/>
      <c r="C86" s="39"/>
      <c r="D86" s="39"/>
      <c r="E86" s="39"/>
      <c r="F86" s="39"/>
      <c r="G86" s="39"/>
      <c r="H86" s="39"/>
      <c r="O86" s="39"/>
    </row>
    <row r="87" spans="2:8" ht="12.75">
      <c r="B87" s="39"/>
      <c r="C87" s="39"/>
      <c r="D87" s="39"/>
      <c r="E87" s="39"/>
      <c r="F87" s="39"/>
      <c r="G87" s="39"/>
      <c r="H87" s="39"/>
    </row>
    <row r="88" spans="2:13" ht="12.75">
      <c r="B88" s="39"/>
      <c r="C88" s="39"/>
      <c r="D88" s="39"/>
      <c r="E88" s="39"/>
      <c r="F88" s="39"/>
      <c r="G88" s="39"/>
      <c r="H88" s="39"/>
      <c r="I88" s="39"/>
      <c r="J88" s="39"/>
      <c r="K88" s="39"/>
      <c r="L88" s="39"/>
      <c r="M88" s="39"/>
    </row>
    <row r="89" spans="2:15" ht="12.75">
      <c r="B89" s="39"/>
      <c r="C89" s="39"/>
      <c r="D89" s="39"/>
      <c r="E89" s="39"/>
      <c r="F89" s="39"/>
      <c r="G89" s="39"/>
      <c r="H89" s="39"/>
      <c r="I89" s="39"/>
      <c r="J89" s="39"/>
      <c r="K89" s="39"/>
      <c r="L89" s="39"/>
      <c r="M89" s="39"/>
      <c r="N89" s="39"/>
      <c r="O89" s="39" t="s">
        <v>248</v>
      </c>
    </row>
    <row r="90" spans="2:16" ht="24">
      <c r="B90" s="39"/>
      <c r="C90" s="39"/>
      <c r="D90" s="39"/>
      <c r="E90" s="39"/>
      <c r="F90" s="39"/>
      <c r="G90" s="39"/>
      <c r="H90" s="39"/>
      <c r="I90" s="39"/>
      <c r="J90" s="39"/>
      <c r="K90" s="39"/>
      <c r="L90" s="39"/>
      <c r="M90" s="39"/>
      <c r="N90" s="99"/>
      <c r="O90" s="9" t="s">
        <v>246</v>
      </c>
      <c r="P90" s="9" t="s">
        <v>247</v>
      </c>
    </row>
    <row r="91" spans="14:16" ht="12.75">
      <c r="N91" s="5">
        <v>0</v>
      </c>
      <c r="O91" s="193">
        <v>0</v>
      </c>
      <c r="P91" s="193">
        <v>0</v>
      </c>
    </row>
    <row r="92" spans="14:16" ht="12.75">
      <c r="N92" s="5">
        <v>3</v>
      </c>
      <c r="O92" s="193">
        <f>D27</f>
        <v>200</v>
      </c>
      <c r="P92" s="193">
        <f>D13</f>
        <v>100</v>
      </c>
    </row>
    <row r="93" spans="14:16" ht="12.75">
      <c r="N93" s="5">
        <v>6</v>
      </c>
      <c r="O93" s="193">
        <f aca="true" t="shared" si="62" ref="O93:O99">O92+D28</f>
        <v>360</v>
      </c>
      <c r="P93" s="193">
        <f aca="true" t="shared" si="63" ref="P93:P99">P92+D14</f>
        <v>190</v>
      </c>
    </row>
    <row r="94" spans="14:16" ht="12.75">
      <c r="N94" s="5">
        <v>9</v>
      </c>
      <c r="O94" s="193">
        <f t="shared" si="62"/>
        <v>488</v>
      </c>
      <c r="P94" s="193">
        <f t="shared" si="63"/>
        <v>271</v>
      </c>
    </row>
    <row r="95" spans="14:16" ht="12.75">
      <c r="N95" s="5">
        <v>12</v>
      </c>
      <c r="O95" s="193">
        <f t="shared" si="62"/>
        <v>590.4</v>
      </c>
      <c r="P95" s="193">
        <f t="shared" si="63"/>
        <v>343.9</v>
      </c>
    </row>
    <row r="96" spans="14:16" ht="12.75">
      <c r="N96" s="5">
        <v>15</v>
      </c>
      <c r="O96" s="193">
        <f t="shared" si="62"/>
        <v>672.3199999999999</v>
      </c>
      <c r="P96" s="193">
        <f t="shared" si="63"/>
        <v>409.51</v>
      </c>
    </row>
    <row r="97" spans="14:16" ht="12.75">
      <c r="N97" s="5">
        <v>18</v>
      </c>
      <c r="O97" s="193">
        <f t="shared" si="62"/>
        <v>737.856</v>
      </c>
      <c r="P97" s="193">
        <f t="shared" si="63"/>
        <v>468.55899999999997</v>
      </c>
    </row>
    <row r="98" spans="14:16" ht="12.75">
      <c r="N98" s="5">
        <v>21</v>
      </c>
      <c r="O98" s="193">
        <f t="shared" si="62"/>
        <v>790.2848</v>
      </c>
      <c r="P98" s="193">
        <f t="shared" si="63"/>
        <v>521.7031</v>
      </c>
    </row>
    <row r="99" spans="14:16" ht="12.75">
      <c r="N99" s="5">
        <v>24</v>
      </c>
      <c r="O99" s="193">
        <f t="shared" si="62"/>
        <v>832.22784</v>
      </c>
      <c r="P99" s="193">
        <f t="shared" si="63"/>
        <v>569.53279</v>
      </c>
    </row>
  </sheetData>
  <sheetProtection/>
  <mergeCells count="16">
    <mergeCell ref="D41:F41"/>
    <mergeCell ref="G41:I41"/>
    <mergeCell ref="J41:L41"/>
    <mergeCell ref="D42:E42"/>
    <mergeCell ref="G42:H42"/>
    <mergeCell ref="J42:K42"/>
    <mergeCell ref="M82:M83"/>
    <mergeCell ref="N82:N83"/>
    <mergeCell ref="O82:O83"/>
    <mergeCell ref="O57:P57"/>
    <mergeCell ref="B2:M2"/>
    <mergeCell ref="B3:M3"/>
    <mergeCell ref="B4:M4"/>
    <mergeCell ref="B5:M5"/>
    <mergeCell ref="C40:L40"/>
    <mergeCell ref="C41:C43"/>
  </mergeCells>
  <printOptions/>
  <pageMargins left="0.7" right="0.7" top="0.75" bottom="0.75" header="0.3" footer="0.3"/>
  <pageSetup horizontalDpi="300" verticalDpi="300" orientation="portrait" paperSize="9" r:id="rId2"/>
  <ignoredErrors>
    <ignoredError sqref="G82:H84 G81:H81" numberStoredAsText="1"/>
    <ignoredError sqref="E22 E36" formulaRange="1"/>
  </ignoredErrors>
  <drawing r:id="rId1"/>
</worksheet>
</file>

<file path=xl/worksheets/sheet4.xml><?xml version="1.0" encoding="utf-8"?>
<worksheet xmlns="http://schemas.openxmlformats.org/spreadsheetml/2006/main" xmlns:r="http://schemas.openxmlformats.org/officeDocument/2006/relationships">
  <dimension ref="A2:K19"/>
  <sheetViews>
    <sheetView zoomScalePageLayoutView="0" workbookViewId="0" topLeftCell="A1">
      <selection activeCell="A1" sqref="A1"/>
    </sheetView>
  </sheetViews>
  <sheetFormatPr defaultColWidth="19.28125" defaultRowHeight="12.75"/>
  <cols>
    <col min="1" max="1" width="16.28125" style="1" customWidth="1"/>
    <col min="2" max="2" width="11.421875" style="1" customWidth="1"/>
    <col min="3" max="3" width="10.7109375" style="1" customWidth="1"/>
    <col min="4" max="4" width="8.8515625" style="1" customWidth="1"/>
    <col min="5" max="5" width="9.57421875" style="1" customWidth="1"/>
    <col min="6" max="6" width="27.7109375" style="1" customWidth="1"/>
    <col min="7" max="7" width="4.28125" style="1" customWidth="1"/>
    <col min="8" max="8" width="29.140625" style="1" customWidth="1"/>
    <col min="9" max="9" width="11.00390625" style="1" customWidth="1"/>
    <col min="10" max="10" width="14.421875" style="1" customWidth="1"/>
    <col min="11" max="11" width="13.421875" style="1" customWidth="1"/>
    <col min="12" max="12" width="14.7109375" style="1" bestFit="1" customWidth="1"/>
    <col min="13" max="13" width="14.28125" style="52" bestFit="1" customWidth="1"/>
    <col min="14" max="14" width="14.28125" style="52" customWidth="1"/>
    <col min="15" max="15" width="14.00390625" style="1" bestFit="1" customWidth="1"/>
    <col min="16" max="16" width="11.57421875" style="1" bestFit="1" customWidth="1"/>
    <col min="17" max="17" width="13.8515625" style="1" bestFit="1" customWidth="1"/>
    <col min="18" max="18" width="11.421875" style="1" customWidth="1"/>
    <col min="19" max="20" width="11.421875" style="52" customWidth="1"/>
    <col min="21" max="255" width="11.421875" style="1" customWidth="1"/>
    <col min="256" max="16384" width="19.28125" style="1" customWidth="1"/>
  </cols>
  <sheetData>
    <row r="2" ht="15">
      <c r="A2" s="60" t="s">
        <v>136</v>
      </c>
    </row>
    <row r="3" ht="15">
      <c r="A3" s="60"/>
    </row>
    <row r="4" ht="16.5" customHeight="1" thickBot="1">
      <c r="A4" s="48" t="s">
        <v>147</v>
      </c>
    </row>
    <row r="5" spans="2:10" ht="41.25" customHeight="1">
      <c r="B5" s="59" t="s">
        <v>129</v>
      </c>
      <c r="C5" s="59" t="s">
        <v>130</v>
      </c>
      <c r="F5" s="59" t="s">
        <v>148</v>
      </c>
      <c r="H5" s="91" t="s">
        <v>268</v>
      </c>
      <c r="J5" s="8" t="s">
        <v>149</v>
      </c>
    </row>
    <row r="6" spans="1:10" ht="22.5" customHeight="1">
      <c r="A6" s="61" t="s">
        <v>132</v>
      </c>
      <c r="B6" s="92">
        <v>2</v>
      </c>
      <c r="C6" s="92">
        <v>100</v>
      </c>
      <c r="F6" s="58">
        <f>B6/C6</f>
        <v>0.02</v>
      </c>
      <c r="H6" s="93" t="s">
        <v>123</v>
      </c>
      <c r="J6" s="94">
        <v>0.02</v>
      </c>
    </row>
    <row r="7" spans="1:10" ht="21.75" customHeight="1" thickBot="1">
      <c r="A7" s="61" t="s">
        <v>133</v>
      </c>
      <c r="B7" s="92">
        <v>2</v>
      </c>
      <c r="C7" s="92">
        <v>100</v>
      </c>
      <c r="F7" s="58">
        <f>B7/C7</f>
        <v>0.02</v>
      </c>
      <c r="H7" s="95">
        <f>(B6/C6)/(B7/C7)</f>
        <v>1</v>
      </c>
      <c r="J7" s="94">
        <v>0.02</v>
      </c>
    </row>
    <row r="8" spans="2:8" ht="42" customHeight="1">
      <c r="B8" s="53"/>
      <c r="C8" s="54"/>
      <c r="G8" s="56"/>
      <c r="H8" s="55"/>
    </row>
    <row r="9" spans="1:8" ht="13.5" thickBot="1">
      <c r="A9" s="48" t="s">
        <v>150</v>
      </c>
      <c r="D9" s="55"/>
      <c r="H9" s="51"/>
    </row>
    <row r="10" spans="2:11" ht="38.25">
      <c r="B10" s="59" t="s">
        <v>129</v>
      </c>
      <c r="C10" s="59" t="s">
        <v>130</v>
      </c>
      <c r="D10" s="59" t="s">
        <v>148</v>
      </c>
      <c r="E10" s="59" t="s">
        <v>128</v>
      </c>
      <c r="F10" s="59" t="s">
        <v>151</v>
      </c>
      <c r="G10" s="56"/>
      <c r="H10" s="91" t="s">
        <v>152</v>
      </c>
      <c r="J10" s="57" t="s">
        <v>153</v>
      </c>
      <c r="K10" s="57" t="s">
        <v>154</v>
      </c>
    </row>
    <row r="11" spans="1:11" ht="18.75">
      <c r="A11" s="61" t="s">
        <v>132</v>
      </c>
      <c r="B11" s="92">
        <v>2</v>
      </c>
      <c r="C11" s="92">
        <v>100</v>
      </c>
      <c r="D11" s="58">
        <f>B11/C11</f>
        <v>0.02</v>
      </c>
      <c r="E11" s="92">
        <v>2</v>
      </c>
      <c r="F11" s="58" t="s">
        <v>155</v>
      </c>
      <c r="G11" s="56"/>
      <c r="H11" s="93" t="s">
        <v>135</v>
      </c>
      <c r="J11" s="96" t="s">
        <v>156</v>
      </c>
      <c r="K11" s="96" t="s">
        <v>156</v>
      </c>
    </row>
    <row r="12" spans="1:11" ht="19.5" thickBot="1">
      <c r="A12" s="61" t="s">
        <v>133</v>
      </c>
      <c r="B12" s="92">
        <v>2</v>
      </c>
      <c r="C12" s="92">
        <v>100</v>
      </c>
      <c r="D12" s="58">
        <f>B12/C12</f>
        <v>0.02</v>
      </c>
      <c r="E12" s="92">
        <v>1</v>
      </c>
      <c r="F12" s="58" t="s">
        <v>157</v>
      </c>
      <c r="G12" s="56"/>
      <c r="H12" s="95">
        <f>(D11/E11)/(D12/E12)</f>
        <v>0.5</v>
      </c>
      <c r="J12" s="96" t="s">
        <v>158</v>
      </c>
      <c r="K12" s="97"/>
    </row>
    <row r="13" ht="12.75">
      <c r="H13" s="51"/>
    </row>
    <row r="14" spans="1:8" ht="13.5" thickBot="1">
      <c r="A14" s="48" t="s">
        <v>159</v>
      </c>
      <c r="H14" s="51"/>
    </row>
    <row r="15" spans="2:11" ht="51">
      <c r="B15" s="59" t="s">
        <v>129</v>
      </c>
      <c r="C15" s="59" t="s">
        <v>130</v>
      </c>
      <c r="D15" s="59" t="s">
        <v>128</v>
      </c>
      <c r="E15" s="59" t="s">
        <v>131</v>
      </c>
      <c r="F15" s="59" t="s">
        <v>134</v>
      </c>
      <c r="G15" s="56"/>
      <c r="H15" s="91" t="s">
        <v>160</v>
      </c>
      <c r="J15" s="57" t="s">
        <v>153</v>
      </c>
      <c r="K15" s="57" t="s">
        <v>154</v>
      </c>
    </row>
    <row r="16" spans="1:11" ht="18.75">
      <c r="A16" s="61" t="s">
        <v>132</v>
      </c>
      <c r="B16" s="92">
        <v>2</v>
      </c>
      <c r="C16" s="92">
        <v>100</v>
      </c>
      <c r="D16" s="92">
        <v>2</v>
      </c>
      <c r="E16" s="57">
        <f>C16*D16</f>
        <v>200</v>
      </c>
      <c r="F16" s="98" t="s">
        <v>161</v>
      </c>
      <c r="G16" s="56"/>
      <c r="H16" s="93" t="s">
        <v>135</v>
      </c>
      <c r="J16" s="96" t="s">
        <v>156</v>
      </c>
      <c r="K16" s="96" t="s">
        <v>156</v>
      </c>
    </row>
    <row r="17" spans="1:11" ht="19.5" thickBot="1">
      <c r="A17" s="61" t="s">
        <v>133</v>
      </c>
      <c r="B17" s="92">
        <v>2</v>
      </c>
      <c r="C17" s="92">
        <v>100</v>
      </c>
      <c r="D17" s="92">
        <v>1</v>
      </c>
      <c r="E17" s="57">
        <f>C17*D17</f>
        <v>100</v>
      </c>
      <c r="F17" s="98" t="s">
        <v>162</v>
      </c>
      <c r="G17" s="56"/>
      <c r="H17" s="95">
        <f>(B16/E16)/(B17/E17)</f>
        <v>0.5</v>
      </c>
      <c r="J17" s="96" t="s">
        <v>158</v>
      </c>
      <c r="K17" s="97"/>
    </row>
    <row r="18" spans="2:8" ht="12.75">
      <c r="B18" s="53"/>
      <c r="C18" s="54"/>
      <c r="D18" s="55"/>
      <c r="E18" s="51"/>
      <c r="F18" s="32"/>
      <c r="G18" s="56"/>
      <c r="H18" s="32"/>
    </row>
    <row r="19" spans="1:8" ht="28.5" customHeight="1">
      <c r="A19" s="273" t="s">
        <v>163</v>
      </c>
      <c r="B19" s="273"/>
      <c r="C19" s="273"/>
      <c r="D19" s="273"/>
      <c r="E19" s="273"/>
      <c r="F19" s="273"/>
      <c r="G19" s="273"/>
      <c r="H19" s="273"/>
    </row>
  </sheetData>
  <sheetProtection/>
  <mergeCells count="1">
    <mergeCell ref="A19:H19"/>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Q149"/>
  <sheetViews>
    <sheetView zoomScalePageLayoutView="0" workbookViewId="0" topLeftCell="A1">
      <selection activeCell="A1" sqref="A1"/>
    </sheetView>
  </sheetViews>
  <sheetFormatPr defaultColWidth="11.421875" defaultRowHeight="12.75"/>
  <cols>
    <col min="1" max="1" width="14.28125" style="1" customWidth="1"/>
    <col min="2" max="2" width="18.28125" style="1" customWidth="1"/>
    <col min="3" max="3" width="15.57421875" style="1" customWidth="1"/>
    <col min="4" max="4" width="14.57421875" style="1" customWidth="1"/>
    <col min="5" max="5" width="15.28125" style="1" customWidth="1"/>
    <col min="6" max="9" width="11.421875" style="1" customWidth="1"/>
    <col min="10" max="10" width="14.28125" style="1" customWidth="1"/>
    <col min="11" max="12" width="11.421875" style="1" customWidth="1"/>
    <col min="13" max="13" width="12.8515625" style="1" customWidth="1"/>
    <col min="14" max="16384" width="11.421875" style="1" customWidth="1"/>
  </cols>
  <sheetData>
    <row r="1" ht="12.75">
      <c r="A1" s="3" t="s">
        <v>96</v>
      </c>
    </row>
    <row r="3" ht="12.75">
      <c r="A3" s="3" t="s">
        <v>175</v>
      </c>
    </row>
    <row r="4" ht="12.75">
      <c r="A4" s="1" t="s">
        <v>97</v>
      </c>
    </row>
    <row r="5" spans="1:12" ht="12.75">
      <c r="A5" s="1" t="s">
        <v>19</v>
      </c>
      <c r="K5" s="100" t="s">
        <v>87</v>
      </c>
      <c r="L5" s="101">
        <f>EXP(1)</f>
        <v>2.718281828459045</v>
      </c>
    </row>
    <row r="6" spans="1:11" ht="12.75">
      <c r="A6" s="1" t="s">
        <v>98</v>
      </c>
      <c r="K6" s="102">
        <f>L5^-F35</f>
        <v>0.9636404443012861</v>
      </c>
    </row>
    <row r="7" spans="1:10" ht="12.75">
      <c r="A7" s="3" t="s">
        <v>176</v>
      </c>
      <c r="J7" s="101" t="s">
        <v>86</v>
      </c>
    </row>
    <row r="8" ht="12.75">
      <c r="A8" s="1" t="s">
        <v>11</v>
      </c>
    </row>
    <row r="9" spans="1:13" ht="12.75">
      <c r="A9" s="3" t="s">
        <v>177</v>
      </c>
      <c r="M9" s="1" t="s">
        <v>9</v>
      </c>
    </row>
    <row r="10" spans="1:13" ht="12.75">
      <c r="A10" s="1" t="s">
        <v>16</v>
      </c>
      <c r="M10" s="1" t="s">
        <v>12</v>
      </c>
    </row>
    <row r="11" spans="1:13" ht="12.75">
      <c r="A11" s="1" t="s">
        <v>17</v>
      </c>
      <c r="J11" s="103" t="s">
        <v>4</v>
      </c>
      <c r="K11" s="104"/>
      <c r="L11" s="105"/>
      <c r="M11" s="34" t="s">
        <v>99</v>
      </c>
    </row>
    <row r="12" spans="4:14" ht="25.5">
      <c r="D12" s="106"/>
      <c r="F12" s="259" t="s">
        <v>91</v>
      </c>
      <c r="J12" s="261" t="s">
        <v>83</v>
      </c>
      <c r="N12" s="1" t="s">
        <v>8</v>
      </c>
    </row>
    <row r="13" spans="1:15" ht="12.75">
      <c r="A13" s="1" t="s">
        <v>84</v>
      </c>
      <c r="C13" s="4"/>
      <c r="F13" s="149" t="s">
        <v>81</v>
      </c>
      <c r="J13" s="260" t="s">
        <v>80</v>
      </c>
      <c r="K13" s="107" t="s">
        <v>6</v>
      </c>
      <c r="L13" s="108" t="s">
        <v>5</v>
      </c>
      <c r="O13" s="1" t="s">
        <v>85</v>
      </c>
    </row>
    <row r="14" spans="2:12" ht="12.75">
      <c r="B14" s="7" t="s">
        <v>95</v>
      </c>
      <c r="C14" s="4"/>
      <c r="F14" s="150"/>
      <c r="J14" s="260"/>
      <c r="K14" s="109"/>
      <c r="L14" s="110"/>
    </row>
    <row r="15" spans="1:16" ht="15.75" customHeight="1">
      <c r="A15" s="85" t="s">
        <v>10</v>
      </c>
      <c r="B15" s="111" t="s">
        <v>14</v>
      </c>
      <c r="C15" s="85" t="s">
        <v>3</v>
      </c>
      <c r="D15" s="85" t="s">
        <v>13</v>
      </c>
      <c r="E15" s="112" t="s">
        <v>15</v>
      </c>
      <c r="F15" s="151" t="s">
        <v>82</v>
      </c>
      <c r="G15" s="113" t="s">
        <v>1</v>
      </c>
      <c r="H15" s="114" t="s">
        <v>2</v>
      </c>
      <c r="J15" s="262" t="s">
        <v>78</v>
      </c>
      <c r="K15" s="115" t="s">
        <v>79</v>
      </c>
      <c r="L15" s="116" t="s">
        <v>7</v>
      </c>
      <c r="P15" s="34" t="s">
        <v>100</v>
      </c>
    </row>
    <row r="16" spans="1:16" ht="12.75">
      <c r="A16" s="117">
        <v>10</v>
      </c>
      <c r="B16" s="118">
        <v>61</v>
      </c>
      <c r="C16" s="119">
        <v>1</v>
      </c>
      <c r="D16" s="119">
        <v>4</v>
      </c>
      <c r="E16" s="120">
        <f>B16-C16-D16</f>
        <v>56</v>
      </c>
      <c r="F16" s="16">
        <f>C16/B16</f>
        <v>0.01639344262295082</v>
      </c>
      <c r="G16" s="121">
        <v>0.9836</v>
      </c>
      <c r="H16" s="122">
        <v>0.0163</v>
      </c>
      <c r="J16" s="123">
        <f aca="true" t="shared" si="0" ref="J16:J43">C16/B16</f>
        <v>0.01639344262295082</v>
      </c>
      <c r="K16" s="124">
        <f>1-J16</f>
        <v>0.9836065573770492</v>
      </c>
      <c r="L16" s="125">
        <f>K16</f>
        <v>0.9836065573770492</v>
      </c>
      <c r="N16" s="126">
        <f aca="true" t="shared" si="1" ref="N16:N43">(1-L16)/B16</f>
        <v>0.00026874496103198095</v>
      </c>
      <c r="O16" s="127">
        <f>SQRT(N16)</f>
        <v>0.016393442622950827</v>
      </c>
      <c r="P16" s="128">
        <f aca="true" t="shared" si="2" ref="P16:P43">L16*O16</f>
        <v>0.016124697661918846</v>
      </c>
    </row>
    <row r="17" spans="1:17" ht="12.75">
      <c r="A17" s="117">
        <v>25</v>
      </c>
      <c r="B17" s="118">
        <v>56</v>
      </c>
      <c r="C17" s="119">
        <v>1</v>
      </c>
      <c r="D17" s="119">
        <v>1</v>
      </c>
      <c r="E17" s="120">
        <f aca="true" t="shared" si="3" ref="E17:E43">B17-C17-D17</f>
        <v>54</v>
      </c>
      <c r="F17" s="16">
        <f aca="true" t="shared" si="4" ref="F17:F43">C17/B17</f>
        <v>0.017857142857142856</v>
      </c>
      <c r="G17" s="121">
        <v>0.966</v>
      </c>
      <c r="H17" s="122">
        <v>0.0236</v>
      </c>
      <c r="J17" s="123">
        <f t="shared" si="0"/>
        <v>0.017857142857142856</v>
      </c>
      <c r="K17" s="124">
        <f aca="true" t="shared" si="5" ref="K17:K43">1-J17</f>
        <v>0.9821428571428571</v>
      </c>
      <c r="L17" s="125">
        <f>K17*L16</f>
        <v>0.9660421545667447</v>
      </c>
      <c r="M17" s="129"/>
      <c r="N17" s="126">
        <f t="shared" si="1"/>
        <v>0.0006063900970224162</v>
      </c>
      <c r="O17" s="127">
        <f aca="true" t="shared" si="6" ref="O17:O43">SQRT(N17)</f>
        <v>0.024624989279640633</v>
      </c>
      <c r="P17" s="128">
        <f t="shared" si="2"/>
        <v>0.023788777699887027</v>
      </c>
      <c r="Q17" s="4" t="s">
        <v>88</v>
      </c>
    </row>
    <row r="18" spans="1:17" ht="12.75">
      <c r="A18" s="117">
        <v>29</v>
      </c>
      <c r="B18" s="118">
        <v>54</v>
      </c>
      <c r="C18" s="119">
        <v>1</v>
      </c>
      <c r="D18" s="119">
        <v>1</v>
      </c>
      <c r="E18" s="120">
        <f t="shared" si="3"/>
        <v>52</v>
      </c>
      <c r="F18" s="16">
        <f t="shared" si="4"/>
        <v>0.018518518518518517</v>
      </c>
      <c r="G18" s="121">
        <v>0.9482</v>
      </c>
      <c r="H18" s="122">
        <v>0.0292</v>
      </c>
      <c r="J18" s="123">
        <f t="shared" si="0"/>
        <v>0.018518518518518517</v>
      </c>
      <c r="K18" s="124">
        <f t="shared" si="5"/>
        <v>0.9814814814814815</v>
      </c>
      <c r="L18" s="125">
        <f aca="true" t="shared" si="7" ref="L18:L41">K18*L17</f>
        <v>0.948152485037731</v>
      </c>
      <c r="M18" s="130"/>
      <c r="N18" s="126">
        <f t="shared" si="1"/>
        <v>0.0009601391659679449</v>
      </c>
      <c r="O18" s="127">
        <f t="shared" si="6"/>
        <v>0.030986112469426445</v>
      </c>
      <c r="P18" s="128">
        <f t="shared" si="2"/>
        <v>0.029379559539545307</v>
      </c>
      <c r="Q18" s="4" t="s">
        <v>89</v>
      </c>
    </row>
    <row r="19" spans="1:17" ht="12.75">
      <c r="A19" s="117">
        <v>39</v>
      </c>
      <c r="B19" s="118">
        <v>52</v>
      </c>
      <c r="C19" s="119">
        <v>1</v>
      </c>
      <c r="D19" s="119">
        <v>1</v>
      </c>
      <c r="E19" s="120">
        <f t="shared" si="3"/>
        <v>50</v>
      </c>
      <c r="F19" s="16">
        <f t="shared" si="4"/>
        <v>0.019230769230769232</v>
      </c>
      <c r="G19" s="121">
        <v>0.9299</v>
      </c>
      <c r="H19" s="122">
        <v>0.0338</v>
      </c>
      <c r="J19" s="123">
        <f t="shared" si="0"/>
        <v>0.019230769230769232</v>
      </c>
      <c r="K19" s="124">
        <f t="shared" si="5"/>
        <v>0.9807692307692307</v>
      </c>
      <c r="L19" s="125">
        <f t="shared" si="7"/>
        <v>0.92991878340239</v>
      </c>
      <c r="M19" s="130"/>
      <c r="N19" s="126">
        <f t="shared" si="1"/>
        <v>0.0013477157038001926</v>
      </c>
      <c r="O19" s="127">
        <f t="shared" si="6"/>
        <v>0.0367112476470113</v>
      </c>
      <c r="P19" s="128">
        <f t="shared" si="2"/>
        <v>0.0341384787490926</v>
      </c>
      <c r="Q19" s="4" t="s">
        <v>92</v>
      </c>
    </row>
    <row r="20" spans="1:17" ht="12.75">
      <c r="A20" s="117">
        <v>46</v>
      </c>
      <c r="B20" s="118">
        <v>50</v>
      </c>
      <c r="C20" s="119">
        <v>1</v>
      </c>
      <c r="D20" s="119">
        <v>0</v>
      </c>
      <c r="E20" s="120">
        <f t="shared" si="3"/>
        <v>49</v>
      </c>
      <c r="F20" s="16">
        <f t="shared" si="4"/>
        <v>0.02</v>
      </c>
      <c r="G20" s="121">
        <v>0.9113</v>
      </c>
      <c r="H20" s="122">
        <v>0.0379</v>
      </c>
      <c r="J20" s="123">
        <f t="shared" si="0"/>
        <v>0.02</v>
      </c>
      <c r="K20" s="124">
        <f t="shared" si="5"/>
        <v>0.98</v>
      </c>
      <c r="L20" s="125">
        <f t="shared" si="7"/>
        <v>0.9113204077343422</v>
      </c>
      <c r="M20" s="130"/>
      <c r="N20" s="126">
        <f t="shared" si="1"/>
        <v>0.001773591845313156</v>
      </c>
      <c r="O20" s="127">
        <f t="shared" si="6"/>
        <v>0.04211403382856071</v>
      </c>
      <c r="P20" s="128">
        <f t="shared" si="2"/>
        <v>0.038379378479981824</v>
      </c>
      <c r="Q20" s="4" t="s">
        <v>93</v>
      </c>
    </row>
    <row r="21" spans="1:17" ht="12.75">
      <c r="A21" s="117">
        <v>47</v>
      </c>
      <c r="B21" s="118">
        <v>49</v>
      </c>
      <c r="C21" s="119">
        <v>1</v>
      </c>
      <c r="D21" s="119">
        <v>1</v>
      </c>
      <c r="E21" s="120">
        <f t="shared" si="3"/>
        <v>47</v>
      </c>
      <c r="F21" s="16">
        <f t="shared" si="4"/>
        <v>0.02040816326530612</v>
      </c>
      <c r="G21" s="121">
        <v>0.8927</v>
      </c>
      <c r="H21" s="122">
        <v>0.0415</v>
      </c>
      <c r="J21" s="123">
        <f t="shared" si="0"/>
        <v>0.02040816326530612</v>
      </c>
      <c r="K21" s="124">
        <f t="shared" si="5"/>
        <v>0.9795918367346939</v>
      </c>
      <c r="L21" s="125">
        <f t="shared" si="7"/>
        <v>0.8927220320662944</v>
      </c>
      <c r="M21" s="130"/>
      <c r="N21" s="126">
        <f t="shared" si="1"/>
        <v>0.0021893462843613383</v>
      </c>
      <c r="O21" s="127">
        <f t="shared" si="6"/>
        <v>0.04679045078177104</v>
      </c>
      <c r="P21" s="128">
        <f t="shared" si="2"/>
        <v>0.04177086630320058</v>
      </c>
      <c r="Q21" s="4" t="s">
        <v>94</v>
      </c>
    </row>
    <row r="22" spans="1:17" ht="12.75">
      <c r="A22" s="117">
        <v>50</v>
      </c>
      <c r="B22" s="118">
        <v>47</v>
      </c>
      <c r="C22" s="119">
        <v>2</v>
      </c>
      <c r="D22" s="119">
        <v>0</v>
      </c>
      <c r="E22" s="120">
        <f t="shared" si="3"/>
        <v>45</v>
      </c>
      <c r="F22" s="16">
        <f t="shared" si="4"/>
        <v>0.0425531914893617</v>
      </c>
      <c r="G22" s="121">
        <v>0.8547</v>
      </c>
      <c r="H22" s="122">
        <v>0.0476</v>
      </c>
      <c r="J22" s="123">
        <f t="shared" si="0"/>
        <v>0.0425531914893617</v>
      </c>
      <c r="K22" s="124">
        <f t="shared" si="5"/>
        <v>0.9574468085106383</v>
      </c>
      <c r="L22" s="125">
        <f t="shared" si="7"/>
        <v>0.8547338604890053</v>
      </c>
      <c r="M22" s="130"/>
      <c r="N22" s="126">
        <f t="shared" si="1"/>
        <v>0.0030907689257658436</v>
      </c>
      <c r="O22" s="127">
        <f t="shared" si="6"/>
        <v>0.05559468433012138</v>
      </c>
      <c r="P22" s="128">
        <f t="shared" si="2"/>
        <v>0.04751865916015226</v>
      </c>
      <c r="Q22" s="4" t="s">
        <v>90</v>
      </c>
    </row>
    <row r="23" spans="1:16" ht="12.75">
      <c r="A23" s="117">
        <v>51</v>
      </c>
      <c r="B23" s="118">
        <v>45</v>
      </c>
      <c r="C23" s="119">
        <v>2</v>
      </c>
      <c r="D23" s="119">
        <v>0</v>
      </c>
      <c r="E23" s="120">
        <f t="shared" si="3"/>
        <v>43</v>
      </c>
      <c r="F23" s="16">
        <f t="shared" si="4"/>
        <v>0.044444444444444446</v>
      </c>
      <c r="G23" s="121">
        <v>0.8167</v>
      </c>
      <c r="H23" s="122">
        <v>0.0525</v>
      </c>
      <c r="J23" s="123">
        <f t="shared" si="0"/>
        <v>0.044444444444444446</v>
      </c>
      <c r="K23" s="124">
        <f t="shared" si="5"/>
        <v>0.9555555555555556</v>
      </c>
      <c r="L23" s="125">
        <f t="shared" si="7"/>
        <v>0.8167456889117163</v>
      </c>
      <c r="M23" s="130"/>
      <c r="N23" s="126">
        <f t="shared" si="1"/>
        <v>0.004072318024184083</v>
      </c>
      <c r="O23" s="127">
        <f t="shared" si="6"/>
        <v>0.06381471636060199</v>
      </c>
      <c r="P23" s="128">
        <f t="shared" si="2"/>
        <v>0.05212039447664564</v>
      </c>
    </row>
    <row r="24" spans="1:16" ht="12.75">
      <c r="A24" s="117">
        <v>54</v>
      </c>
      <c r="B24" s="118">
        <v>43</v>
      </c>
      <c r="C24" s="119">
        <v>1</v>
      </c>
      <c r="D24" s="119">
        <v>0</v>
      </c>
      <c r="E24" s="120">
        <f t="shared" si="3"/>
        <v>42</v>
      </c>
      <c r="F24" s="16">
        <f t="shared" si="4"/>
        <v>0.023255813953488372</v>
      </c>
      <c r="G24" s="121">
        <v>0.7978</v>
      </c>
      <c r="H24" s="122">
        <v>0.0546</v>
      </c>
      <c r="J24" s="123">
        <f t="shared" si="0"/>
        <v>0.023255813953488372</v>
      </c>
      <c r="K24" s="124">
        <f t="shared" si="5"/>
        <v>0.9767441860465116</v>
      </c>
      <c r="L24" s="125">
        <f t="shared" si="7"/>
        <v>0.7977516031230717</v>
      </c>
      <c r="M24" s="130"/>
      <c r="N24" s="126">
        <f t="shared" si="1"/>
        <v>0.004703451090161123</v>
      </c>
      <c r="O24" s="127">
        <f t="shared" si="6"/>
        <v>0.06858171104719628</v>
      </c>
      <c r="P24" s="128">
        <f t="shared" si="2"/>
        <v>0.05471116993282411</v>
      </c>
    </row>
    <row r="25" spans="1:16" ht="12.75">
      <c r="A25" s="117">
        <v>60</v>
      </c>
      <c r="B25" s="118">
        <v>42</v>
      </c>
      <c r="C25" s="119">
        <v>1</v>
      </c>
      <c r="D25" s="119">
        <v>0</v>
      </c>
      <c r="E25" s="120">
        <f t="shared" si="3"/>
        <v>41</v>
      </c>
      <c r="F25" s="16">
        <f t="shared" si="4"/>
        <v>0.023809523809523808</v>
      </c>
      <c r="G25" s="121">
        <v>0.7788</v>
      </c>
      <c r="H25" s="122">
        <v>0.0565</v>
      </c>
      <c r="J25" s="123">
        <f t="shared" si="0"/>
        <v>0.023809523809523808</v>
      </c>
      <c r="K25" s="124">
        <f t="shared" si="5"/>
        <v>0.9761904761904762</v>
      </c>
      <c r="L25" s="125">
        <f t="shared" si="7"/>
        <v>0.7787575173344271</v>
      </c>
      <c r="M25" s="130"/>
      <c r="N25" s="126">
        <f t="shared" si="1"/>
        <v>0.005267678158704116</v>
      </c>
      <c r="O25" s="127">
        <f t="shared" si="6"/>
        <v>0.07257877209421579</v>
      </c>
      <c r="P25" s="128">
        <f t="shared" si="2"/>
        <v>0.056521264367272686</v>
      </c>
    </row>
    <row r="26" spans="1:16" ht="12.75">
      <c r="A26" s="117">
        <v>63</v>
      </c>
      <c r="B26" s="118">
        <v>41</v>
      </c>
      <c r="C26" s="119">
        <v>1</v>
      </c>
      <c r="D26" s="119">
        <v>0</v>
      </c>
      <c r="E26" s="120">
        <f t="shared" si="3"/>
        <v>40</v>
      </c>
      <c r="F26" s="16">
        <f t="shared" si="4"/>
        <v>0.024390243902439025</v>
      </c>
      <c r="G26" s="121">
        <v>0.7598</v>
      </c>
      <c r="H26" s="122">
        <v>0.0583</v>
      </c>
      <c r="J26" s="123">
        <f t="shared" si="0"/>
        <v>0.024390243902439025</v>
      </c>
      <c r="K26" s="124">
        <f t="shared" si="5"/>
        <v>0.975609756097561</v>
      </c>
      <c r="L26" s="125">
        <f t="shared" si="7"/>
        <v>0.7597634315457825</v>
      </c>
      <c r="M26" s="130"/>
      <c r="N26" s="126">
        <f t="shared" si="1"/>
        <v>0.005859428498883353</v>
      </c>
      <c r="O26" s="127">
        <f t="shared" si="6"/>
        <v>0.07654690391441937</v>
      </c>
      <c r="P26" s="128">
        <f t="shared" si="2"/>
        <v>0.05815753839222455</v>
      </c>
    </row>
    <row r="27" spans="1:16" ht="12.75">
      <c r="A27" s="117">
        <v>64</v>
      </c>
      <c r="B27" s="118">
        <v>40</v>
      </c>
      <c r="C27" s="119">
        <v>1</v>
      </c>
      <c r="D27" s="119">
        <v>0</v>
      </c>
      <c r="E27" s="120">
        <f t="shared" si="3"/>
        <v>39</v>
      </c>
      <c r="F27" s="16">
        <f t="shared" si="4"/>
        <v>0.025</v>
      </c>
      <c r="G27" s="121">
        <v>0.7408</v>
      </c>
      <c r="H27" s="122">
        <v>0.0598</v>
      </c>
      <c r="J27" s="123">
        <f t="shared" si="0"/>
        <v>0.025</v>
      </c>
      <c r="K27" s="124">
        <f t="shared" si="5"/>
        <v>0.975</v>
      </c>
      <c r="L27" s="125">
        <f t="shared" si="7"/>
        <v>0.7407693457571379</v>
      </c>
      <c r="M27" s="130"/>
      <c r="N27" s="126">
        <f t="shared" si="1"/>
        <v>0.006480766356071551</v>
      </c>
      <c r="O27" s="127">
        <f t="shared" si="6"/>
        <v>0.08050320711668295</v>
      </c>
      <c r="P27" s="128">
        <f t="shared" si="2"/>
        <v>0.059634308067176595</v>
      </c>
    </row>
    <row r="28" spans="1:16" ht="12.75">
      <c r="A28" s="117">
        <v>65</v>
      </c>
      <c r="B28" s="118">
        <v>39</v>
      </c>
      <c r="C28" s="119">
        <v>1</v>
      </c>
      <c r="D28" s="119">
        <v>0</v>
      </c>
      <c r="E28" s="120">
        <f t="shared" si="3"/>
        <v>38</v>
      </c>
      <c r="F28" s="16">
        <f t="shared" si="4"/>
        <v>0.02564102564102564</v>
      </c>
      <c r="G28" s="121">
        <v>0.7218</v>
      </c>
      <c r="H28" s="122">
        <v>0.0612</v>
      </c>
      <c r="J28" s="123">
        <f t="shared" si="0"/>
        <v>0.02564102564102564</v>
      </c>
      <c r="K28" s="124">
        <f t="shared" si="5"/>
        <v>0.9743589743589743</v>
      </c>
      <c r="L28" s="125">
        <f t="shared" si="7"/>
        <v>0.7217752599684933</v>
      </c>
      <c r="M28" s="130"/>
      <c r="N28" s="126">
        <f t="shared" si="1"/>
        <v>0.007133967693115555</v>
      </c>
      <c r="O28" s="127">
        <f t="shared" si="6"/>
        <v>0.08446281840618128</v>
      </c>
      <c r="P28" s="128">
        <f t="shared" si="2"/>
        <v>0.06096317271279314</v>
      </c>
    </row>
    <row r="29" spans="1:16" ht="12.75">
      <c r="A29" s="117">
        <v>66</v>
      </c>
      <c r="B29" s="118">
        <v>38</v>
      </c>
      <c r="C29" s="119">
        <v>1</v>
      </c>
      <c r="D29" s="119">
        <v>0</v>
      </c>
      <c r="E29" s="120">
        <f t="shared" si="3"/>
        <v>37</v>
      </c>
      <c r="F29" s="16">
        <f t="shared" si="4"/>
        <v>0.02631578947368421</v>
      </c>
      <c r="G29" s="121">
        <v>0.7028</v>
      </c>
      <c r="H29" s="122">
        <v>0.0625</v>
      </c>
      <c r="J29" s="123">
        <f t="shared" si="0"/>
        <v>0.02631578947368421</v>
      </c>
      <c r="K29" s="124">
        <f t="shared" si="5"/>
        <v>0.9736842105263158</v>
      </c>
      <c r="L29" s="125">
        <f t="shared" si="7"/>
        <v>0.7027811741798488</v>
      </c>
      <c r="M29" s="130"/>
      <c r="N29" s="126">
        <f t="shared" si="1"/>
        <v>0.007821548047898717</v>
      </c>
      <c r="O29" s="127">
        <f t="shared" si="6"/>
        <v>0.08843951632555844</v>
      </c>
      <c r="P29" s="128">
        <f t="shared" si="2"/>
        <v>0.062153627127173865</v>
      </c>
    </row>
    <row r="30" spans="1:16" ht="12.75">
      <c r="A30" s="117">
        <v>68</v>
      </c>
      <c r="B30" s="118">
        <v>37</v>
      </c>
      <c r="C30" s="119">
        <v>1</v>
      </c>
      <c r="D30" s="119">
        <v>2</v>
      </c>
      <c r="E30" s="120">
        <f t="shared" si="3"/>
        <v>34</v>
      </c>
      <c r="F30" s="16">
        <f t="shared" si="4"/>
        <v>0.02702702702702703</v>
      </c>
      <c r="G30" s="121">
        <v>0.6838</v>
      </c>
      <c r="H30" s="122">
        <v>0.0636</v>
      </c>
      <c r="J30" s="123">
        <f t="shared" si="0"/>
        <v>0.02702702702702703</v>
      </c>
      <c r="K30" s="124">
        <f t="shared" si="5"/>
        <v>0.972972972972973</v>
      </c>
      <c r="L30" s="125">
        <f t="shared" si="7"/>
        <v>0.6837870883912043</v>
      </c>
      <c r="M30" s="130"/>
      <c r="N30" s="126">
        <f t="shared" si="1"/>
        <v>0.00854629490834583</v>
      </c>
      <c r="O30" s="127">
        <f t="shared" si="6"/>
        <v>0.09244617303245078</v>
      </c>
      <c r="P30" s="128">
        <f t="shared" si="2"/>
        <v>0.06321349949076899</v>
      </c>
    </row>
    <row r="31" spans="1:16" ht="12.75">
      <c r="A31" s="117">
        <v>136</v>
      </c>
      <c r="B31" s="118">
        <v>34</v>
      </c>
      <c r="C31" s="119">
        <v>1</v>
      </c>
      <c r="D31" s="119">
        <v>0</v>
      </c>
      <c r="E31" s="120">
        <f t="shared" si="3"/>
        <v>33</v>
      </c>
      <c r="F31" s="16">
        <f t="shared" si="4"/>
        <v>0.029411764705882353</v>
      </c>
      <c r="G31" s="121">
        <v>0.6637</v>
      </c>
      <c r="H31" s="122">
        <v>0.0649</v>
      </c>
      <c r="J31" s="123">
        <f t="shared" si="0"/>
        <v>0.029411764705882353</v>
      </c>
      <c r="K31" s="124">
        <f t="shared" si="5"/>
        <v>0.9705882352941176</v>
      </c>
      <c r="L31" s="125">
        <f t="shared" si="7"/>
        <v>0.6636757034385218</v>
      </c>
      <c r="M31" s="130"/>
      <c r="N31" s="126">
        <f t="shared" si="1"/>
        <v>0.009891891075337595</v>
      </c>
      <c r="O31" s="127">
        <f t="shared" si="6"/>
        <v>0.09945798648342724</v>
      </c>
      <c r="P31" s="128">
        <f t="shared" si="2"/>
        <v>0.06600784914196757</v>
      </c>
    </row>
    <row r="32" spans="1:16" ht="12.75">
      <c r="A32" s="117">
        <v>161</v>
      </c>
      <c r="B32" s="118">
        <v>33</v>
      </c>
      <c r="C32" s="119">
        <v>1</v>
      </c>
      <c r="D32" s="119">
        <v>3</v>
      </c>
      <c r="E32" s="120">
        <f t="shared" si="3"/>
        <v>29</v>
      </c>
      <c r="F32" s="16">
        <f t="shared" si="4"/>
        <v>0.030303030303030304</v>
      </c>
      <c r="G32" s="121">
        <v>0.6436</v>
      </c>
      <c r="H32" s="122">
        <v>0.0659</v>
      </c>
      <c r="J32" s="123">
        <f t="shared" si="0"/>
        <v>0.030303030303030304</v>
      </c>
      <c r="K32" s="124">
        <f t="shared" si="5"/>
        <v>0.9696969696969697</v>
      </c>
      <c r="L32" s="125">
        <f t="shared" si="7"/>
        <v>0.6435643184858393</v>
      </c>
      <c r="M32" s="130"/>
      <c r="N32" s="126">
        <f t="shared" si="1"/>
        <v>0.01080108125800487</v>
      </c>
      <c r="O32" s="127">
        <f t="shared" si="6"/>
        <v>0.103928250528934</v>
      </c>
      <c r="P32" s="128">
        <f t="shared" si="2"/>
        <v>0.06688451372307898</v>
      </c>
    </row>
    <row r="33" spans="1:16" ht="12.75">
      <c r="A33" s="117">
        <v>253</v>
      </c>
      <c r="B33" s="118">
        <v>29</v>
      </c>
      <c r="C33" s="119">
        <v>1</v>
      </c>
      <c r="D33" s="119">
        <v>0</v>
      </c>
      <c r="E33" s="120">
        <f t="shared" si="3"/>
        <v>28</v>
      </c>
      <c r="F33" s="16">
        <f t="shared" si="4"/>
        <v>0.034482758620689655</v>
      </c>
      <c r="G33" s="121">
        <v>0.6214</v>
      </c>
      <c r="H33" s="122">
        <v>0.0673</v>
      </c>
      <c r="J33" s="123">
        <f t="shared" si="0"/>
        <v>0.034482758620689655</v>
      </c>
      <c r="K33" s="124">
        <f t="shared" si="5"/>
        <v>0.9655172413793104</v>
      </c>
      <c r="L33" s="125">
        <f t="shared" si="7"/>
        <v>0.6213724454346035</v>
      </c>
      <c r="M33" s="130"/>
      <c r="N33" s="126">
        <f t="shared" si="1"/>
        <v>0.01305612257122057</v>
      </c>
      <c r="O33" s="127">
        <f t="shared" si="6"/>
        <v>0.11426339121179876</v>
      </c>
      <c r="P33" s="128">
        <f t="shared" si="2"/>
        <v>0.07100012282092617</v>
      </c>
    </row>
    <row r="34" spans="1:16" ht="12.75">
      <c r="A34" s="117">
        <v>280</v>
      </c>
      <c r="B34" s="118">
        <v>28</v>
      </c>
      <c r="C34" s="119">
        <v>1</v>
      </c>
      <c r="D34" s="119">
        <v>0</v>
      </c>
      <c r="E34" s="120">
        <f t="shared" si="3"/>
        <v>27</v>
      </c>
      <c r="F34" s="16">
        <f t="shared" si="4"/>
        <v>0.03571428571428571</v>
      </c>
      <c r="G34" s="121">
        <v>0.5992</v>
      </c>
      <c r="H34" s="122">
        <v>0.0685</v>
      </c>
      <c r="J34" s="123">
        <f t="shared" si="0"/>
        <v>0.03571428571428571</v>
      </c>
      <c r="K34" s="124">
        <f t="shared" si="5"/>
        <v>0.9642857142857143</v>
      </c>
      <c r="L34" s="125">
        <f t="shared" si="7"/>
        <v>0.5991805723833676</v>
      </c>
      <c r="M34" s="130"/>
      <c r="N34" s="126">
        <f t="shared" si="1"/>
        <v>0.01431497955773687</v>
      </c>
      <c r="O34" s="127">
        <f t="shared" si="6"/>
        <v>0.11964522371468436</v>
      </c>
      <c r="P34" s="128">
        <f t="shared" si="2"/>
        <v>0.07168909362830064</v>
      </c>
    </row>
    <row r="35" spans="1:16" ht="12.75">
      <c r="A35" s="117">
        <v>297</v>
      </c>
      <c r="B35" s="118">
        <v>27</v>
      </c>
      <c r="C35" s="119">
        <v>1</v>
      </c>
      <c r="D35" s="119">
        <v>1</v>
      </c>
      <c r="E35" s="120">
        <f t="shared" si="3"/>
        <v>25</v>
      </c>
      <c r="F35" s="16">
        <f t="shared" si="4"/>
        <v>0.037037037037037035</v>
      </c>
      <c r="G35" s="121">
        <v>0.577</v>
      </c>
      <c r="H35" s="122">
        <v>0.0694</v>
      </c>
      <c r="J35" s="123">
        <f t="shared" si="0"/>
        <v>0.037037037037037035</v>
      </c>
      <c r="K35" s="124">
        <f t="shared" si="5"/>
        <v>0.962962962962963</v>
      </c>
      <c r="L35" s="125">
        <f t="shared" si="7"/>
        <v>0.5769886993321318</v>
      </c>
      <c r="M35" s="130"/>
      <c r="N35" s="126">
        <f t="shared" si="1"/>
        <v>0.015667085209921043</v>
      </c>
      <c r="O35" s="127">
        <f t="shared" si="6"/>
        <v>0.12516822763753205</v>
      </c>
      <c r="P35" s="128">
        <f t="shared" si="2"/>
        <v>0.0722206528622878</v>
      </c>
    </row>
    <row r="36" spans="1:16" ht="12.75">
      <c r="A36" s="117">
        <v>322</v>
      </c>
      <c r="B36" s="118">
        <v>25</v>
      </c>
      <c r="C36" s="119">
        <v>1</v>
      </c>
      <c r="D36" s="119">
        <v>8</v>
      </c>
      <c r="E36" s="120">
        <f t="shared" si="3"/>
        <v>16</v>
      </c>
      <c r="F36" s="16">
        <f t="shared" si="4"/>
        <v>0.04</v>
      </c>
      <c r="G36" s="121">
        <v>0.5539</v>
      </c>
      <c r="H36" s="122">
        <v>0.0704</v>
      </c>
      <c r="J36" s="123">
        <f t="shared" si="0"/>
        <v>0.04</v>
      </c>
      <c r="K36" s="124">
        <f t="shared" si="5"/>
        <v>0.96</v>
      </c>
      <c r="L36" s="125">
        <f t="shared" si="7"/>
        <v>0.5539091513588466</v>
      </c>
      <c r="M36" s="130"/>
      <c r="N36" s="126">
        <f t="shared" si="1"/>
        <v>0.01784363394564614</v>
      </c>
      <c r="O36" s="127">
        <f t="shared" si="6"/>
        <v>0.13358006567465872</v>
      </c>
      <c r="P36" s="128">
        <f t="shared" si="2"/>
        <v>0.0739912208163092</v>
      </c>
    </row>
    <row r="37" spans="1:16" ht="12.75">
      <c r="A37" s="117">
        <v>624</v>
      </c>
      <c r="B37" s="118">
        <v>16</v>
      </c>
      <c r="C37" s="119">
        <v>1</v>
      </c>
      <c r="D37" s="119">
        <v>1</v>
      </c>
      <c r="E37" s="120">
        <f t="shared" si="3"/>
        <v>14</v>
      </c>
      <c r="F37" s="16">
        <f t="shared" si="4"/>
        <v>0.0625</v>
      </c>
      <c r="G37" s="121">
        <v>0.5193</v>
      </c>
      <c r="H37" s="122">
        <v>0.074</v>
      </c>
      <c r="J37" s="123">
        <f t="shared" si="0"/>
        <v>0.0625</v>
      </c>
      <c r="K37" s="124">
        <f t="shared" si="5"/>
        <v>0.9375</v>
      </c>
      <c r="L37" s="125">
        <f t="shared" si="7"/>
        <v>0.5192898293989187</v>
      </c>
      <c r="M37" s="130"/>
      <c r="N37" s="126">
        <f t="shared" si="1"/>
        <v>0.030044385662567584</v>
      </c>
      <c r="O37" s="127">
        <f t="shared" si="6"/>
        <v>0.17333316377014407</v>
      </c>
      <c r="P37" s="128">
        <f t="shared" si="2"/>
        <v>0.09001014904337294</v>
      </c>
    </row>
    <row r="38" spans="1:16" ht="12.75">
      <c r="A38" s="117">
        <v>730</v>
      </c>
      <c r="B38" s="118">
        <v>14</v>
      </c>
      <c r="C38" s="119">
        <v>1</v>
      </c>
      <c r="D38" s="119">
        <v>1</v>
      </c>
      <c r="E38" s="120">
        <f t="shared" si="3"/>
        <v>12</v>
      </c>
      <c r="F38" s="16">
        <f t="shared" si="4"/>
        <v>0.07142857142857142</v>
      </c>
      <c r="G38" s="121">
        <v>0.4822</v>
      </c>
      <c r="H38" s="122">
        <v>0.0775</v>
      </c>
      <c r="J38" s="123">
        <f t="shared" si="0"/>
        <v>0.07142857142857142</v>
      </c>
      <c r="K38" s="124">
        <f t="shared" si="5"/>
        <v>0.9285714285714286</v>
      </c>
      <c r="L38" s="125">
        <f t="shared" si="7"/>
        <v>0.48219769872756735</v>
      </c>
      <c r="N38" s="126">
        <f t="shared" si="1"/>
        <v>0.03698587866231662</v>
      </c>
      <c r="O38" s="127">
        <f t="shared" si="6"/>
        <v>0.19231713044426546</v>
      </c>
      <c r="P38" s="128">
        <f t="shared" si="2"/>
        <v>0.09273487772611419</v>
      </c>
    </row>
    <row r="39" spans="1:16" ht="12.75">
      <c r="A39" s="117">
        <v>836</v>
      </c>
      <c r="B39" s="118">
        <v>12</v>
      </c>
      <c r="C39" s="119">
        <v>1</v>
      </c>
      <c r="D39" s="119">
        <v>2</v>
      </c>
      <c r="E39" s="120">
        <f t="shared" si="3"/>
        <v>9</v>
      </c>
      <c r="F39" s="16">
        <f t="shared" si="4"/>
        <v>0.08333333333333333</v>
      </c>
      <c r="G39" s="121">
        <v>0.442</v>
      </c>
      <c r="H39" s="122">
        <v>0.0808</v>
      </c>
      <c r="J39" s="123">
        <f t="shared" si="0"/>
        <v>0.08333333333333333</v>
      </c>
      <c r="K39" s="124">
        <f t="shared" si="5"/>
        <v>0.9166666666666666</v>
      </c>
      <c r="L39" s="125">
        <f t="shared" si="7"/>
        <v>0.4420145571669367</v>
      </c>
      <c r="N39" s="126">
        <f t="shared" si="1"/>
        <v>0.046498786902755274</v>
      </c>
      <c r="O39" s="127">
        <f t="shared" si="6"/>
        <v>0.21563577370824924</v>
      </c>
      <c r="P39" s="128">
        <f t="shared" si="2"/>
        <v>0.09531415102500157</v>
      </c>
    </row>
    <row r="40" spans="1:16" ht="12.75">
      <c r="A40" s="117">
        <v>994</v>
      </c>
      <c r="B40" s="118">
        <v>9</v>
      </c>
      <c r="C40" s="119">
        <v>1</v>
      </c>
      <c r="D40" s="119">
        <v>0</v>
      </c>
      <c r="E40" s="120">
        <f t="shared" si="3"/>
        <v>8</v>
      </c>
      <c r="F40" s="16">
        <f t="shared" si="4"/>
        <v>0.1111111111111111</v>
      </c>
      <c r="G40" s="121">
        <v>0.3929</v>
      </c>
      <c r="H40" s="122">
        <v>0.0854</v>
      </c>
      <c r="J40" s="123">
        <f t="shared" si="0"/>
        <v>0.1111111111111111</v>
      </c>
      <c r="K40" s="124">
        <f t="shared" si="5"/>
        <v>0.8888888888888888</v>
      </c>
      <c r="L40" s="125">
        <f t="shared" si="7"/>
        <v>0.3929018285928326</v>
      </c>
      <c r="N40" s="126">
        <f t="shared" si="1"/>
        <v>0.06745535237857415</v>
      </c>
      <c r="O40" s="127">
        <f t="shared" si="6"/>
        <v>0.2597216825345434</v>
      </c>
      <c r="P40" s="128">
        <f t="shared" si="2"/>
        <v>0.10204512399302927</v>
      </c>
    </row>
    <row r="41" spans="1:16" ht="12.75">
      <c r="A41" s="117">
        <v>1024</v>
      </c>
      <c r="B41" s="118">
        <v>8</v>
      </c>
      <c r="C41" s="119">
        <v>1</v>
      </c>
      <c r="D41" s="119">
        <v>2</v>
      </c>
      <c r="E41" s="120">
        <f t="shared" si="3"/>
        <v>5</v>
      </c>
      <c r="F41" s="16">
        <f t="shared" si="4"/>
        <v>0.125</v>
      </c>
      <c r="G41" s="121">
        <v>0.3438</v>
      </c>
      <c r="H41" s="122">
        <v>0.0877</v>
      </c>
      <c r="J41" s="123">
        <f t="shared" si="0"/>
        <v>0.125</v>
      </c>
      <c r="K41" s="124">
        <f t="shared" si="5"/>
        <v>0.875</v>
      </c>
      <c r="L41" s="125">
        <f t="shared" si="7"/>
        <v>0.34378910001872853</v>
      </c>
      <c r="N41" s="126">
        <f t="shared" si="1"/>
        <v>0.08202636249765893</v>
      </c>
      <c r="O41" s="127">
        <f t="shared" si="6"/>
        <v>0.28640244848405005</v>
      </c>
      <c r="P41" s="128">
        <f t="shared" si="2"/>
        <v>0.09846204000749183</v>
      </c>
    </row>
    <row r="42" spans="1:16" ht="12.75">
      <c r="A42" s="117">
        <v>1350</v>
      </c>
      <c r="B42" s="118">
        <v>5</v>
      </c>
      <c r="C42" s="119">
        <v>1</v>
      </c>
      <c r="D42" s="119">
        <v>4</v>
      </c>
      <c r="E42" s="120">
        <f t="shared" si="3"/>
        <v>0</v>
      </c>
      <c r="F42" s="16">
        <f t="shared" si="4"/>
        <v>0.2</v>
      </c>
      <c r="G42" s="121">
        <v>0.275</v>
      </c>
      <c r="H42" s="122">
        <v>0.0933</v>
      </c>
      <c r="J42" s="123">
        <f t="shared" si="0"/>
        <v>0.2</v>
      </c>
      <c r="K42" s="124">
        <f t="shared" si="5"/>
        <v>0.8</v>
      </c>
      <c r="L42" s="125">
        <f>K42*L41</f>
        <v>0.27503128001498284</v>
      </c>
      <c r="N42" s="126">
        <f t="shared" si="1"/>
        <v>0.14499374399700343</v>
      </c>
      <c r="O42" s="127">
        <f t="shared" si="6"/>
        <v>0.3807804406702154</v>
      </c>
      <c r="P42" s="128">
        <f t="shared" si="2"/>
        <v>0.10472653200219857</v>
      </c>
    </row>
    <row r="43" spans="1:16" ht="12.75">
      <c r="A43" s="117">
        <v>1775</v>
      </c>
      <c r="B43" s="118">
        <v>0</v>
      </c>
      <c r="C43" s="119">
        <v>0</v>
      </c>
      <c r="D43" s="119">
        <v>0</v>
      </c>
      <c r="E43" s="120">
        <f t="shared" si="3"/>
        <v>0</v>
      </c>
      <c r="F43" s="16" t="e">
        <f t="shared" si="4"/>
        <v>#DIV/0!</v>
      </c>
      <c r="G43" s="121">
        <v>0.275</v>
      </c>
      <c r="H43" s="122">
        <v>0.0933</v>
      </c>
      <c r="J43" s="124" t="e">
        <f t="shared" si="0"/>
        <v>#DIV/0!</v>
      </c>
      <c r="K43" s="124" t="e">
        <f t="shared" si="5"/>
        <v>#DIV/0!</v>
      </c>
      <c r="L43" s="131" t="e">
        <f>K43*L42</f>
        <v>#DIV/0!</v>
      </c>
      <c r="N43" s="126" t="e">
        <f t="shared" si="1"/>
        <v>#DIV/0!</v>
      </c>
      <c r="O43" s="127" t="e">
        <f t="shared" si="6"/>
        <v>#DIV/0!</v>
      </c>
      <c r="P43" s="128" t="e">
        <f t="shared" si="2"/>
        <v>#DIV/0!</v>
      </c>
    </row>
    <row r="44" spans="1:8" ht="12.75">
      <c r="A44" s="32"/>
      <c r="C44" s="33">
        <f>SUM(C16:C43)</f>
        <v>29</v>
      </c>
      <c r="D44" s="33">
        <f>SUM(D16:D43)</f>
        <v>32</v>
      </c>
      <c r="F44" s="27"/>
      <c r="G44" s="27"/>
      <c r="H44" s="27"/>
    </row>
    <row r="46" ht="12.75">
      <c r="A46" s="48" t="s">
        <v>18</v>
      </c>
    </row>
    <row r="47" spans="1:10" ht="62.25" customHeight="1">
      <c r="A47" s="295" t="s">
        <v>195</v>
      </c>
      <c r="B47" s="295"/>
      <c r="C47" s="295"/>
      <c r="D47" s="295"/>
      <c r="E47" s="295"/>
      <c r="F47" s="295"/>
      <c r="G47" s="295"/>
      <c r="H47" s="295"/>
      <c r="I47" s="295"/>
      <c r="J47" s="295"/>
    </row>
    <row r="48" spans="1:10" ht="62.25" customHeight="1">
      <c r="A48" s="295" t="s">
        <v>196</v>
      </c>
      <c r="B48" s="295"/>
      <c r="C48" s="295"/>
      <c r="D48" s="295"/>
      <c r="E48" s="295"/>
      <c r="F48" s="295"/>
      <c r="G48" s="295"/>
      <c r="H48" s="295"/>
      <c r="I48" s="295"/>
      <c r="J48" s="295"/>
    </row>
    <row r="50" spans="1:9" ht="12.75">
      <c r="A50" s="154" t="s">
        <v>20</v>
      </c>
      <c r="B50" s="155"/>
      <c r="C50" s="155"/>
      <c r="D50" s="155"/>
      <c r="E50" s="155"/>
      <c r="F50" s="155"/>
      <c r="G50" s="155"/>
      <c r="H50" s="155"/>
      <c r="I50" s="155"/>
    </row>
    <row r="51" spans="1:10" ht="28.5" customHeight="1">
      <c r="A51" s="295" t="s">
        <v>178</v>
      </c>
      <c r="B51" s="295"/>
      <c r="C51" s="295"/>
      <c r="D51" s="295"/>
      <c r="E51" s="295"/>
      <c r="F51" s="295"/>
      <c r="G51" s="295"/>
      <c r="H51" s="295"/>
      <c r="I51" s="295"/>
      <c r="J51" s="295"/>
    </row>
    <row r="52" spans="1:10" ht="12.75" customHeight="1">
      <c r="A52" s="295" t="s">
        <v>179</v>
      </c>
      <c r="B52" s="295"/>
      <c r="C52" s="295"/>
      <c r="D52" s="295"/>
      <c r="E52" s="295"/>
      <c r="F52" s="295"/>
      <c r="G52" s="295"/>
      <c r="H52" s="295"/>
      <c r="I52" s="295"/>
      <c r="J52" s="295"/>
    </row>
    <row r="53" spans="1:10" ht="12.75" customHeight="1">
      <c r="A53" s="295" t="s">
        <v>180</v>
      </c>
      <c r="B53" s="295"/>
      <c r="C53" s="295"/>
      <c r="D53" s="295"/>
      <c r="E53" s="295"/>
      <c r="F53" s="295"/>
      <c r="G53" s="295"/>
      <c r="H53" s="295"/>
      <c r="I53" s="295"/>
      <c r="J53" s="295"/>
    </row>
    <row r="54" spans="1:10" ht="12.75" customHeight="1">
      <c r="A54" s="295" t="s">
        <v>181</v>
      </c>
      <c r="B54" s="295"/>
      <c r="C54" s="295"/>
      <c r="D54" s="295"/>
      <c r="E54" s="295"/>
      <c r="F54" s="295"/>
      <c r="G54" s="295"/>
      <c r="H54" s="295"/>
      <c r="I54" s="295"/>
      <c r="J54" s="295"/>
    </row>
    <row r="55" spans="1:10" ht="25.5" customHeight="1">
      <c r="A55" s="295" t="s">
        <v>21</v>
      </c>
      <c r="B55" s="295"/>
      <c r="C55" s="295"/>
      <c r="D55" s="295"/>
      <c r="E55" s="295"/>
      <c r="F55" s="295"/>
      <c r="G55" s="295"/>
      <c r="H55" s="295"/>
      <c r="I55" s="295"/>
      <c r="J55" s="295"/>
    </row>
    <row r="59" ht="12.75">
      <c r="A59" s="3" t="s">
        <v>24</v>
      </c>
    </row>
    <row r="60" ht="12.75">
      <c r="A60" s="135" t="s">
        <v>201</v>
      </c>
    </row>
    <row r="61" ht="12.75">
      <c r="A61" s="135" t="s">
        <v>202</v>
      </c>
    </row>
    <row r="62" ht="12.75">
      <c r="A62" s="135" t="s">
        <v>203</v>
      </c>
    </row>
    <row r="63" ht="12.75">
      <c r="A63" s="135" t="s">
        <v>204</v>
      </c>
    </row>
    <row r="65" ht="12.75">
      <c r="A65" s="134" t="s">
        <v>76</v>
      </c>
    </row>
    <row r="66" ht="12.75">
      <c r="A66" s="1" t="s">
        <v>182</v>
      </c>
    </row>
    <row r="67" ht="12.75">
      <c r="A67" s="135" t="s">
        <v>22</v>
      </c>
    </row>
    <row r="69" ht="12.75">
      <c r="A69" s="136" t="s">
        <v>23</v>
      </c>
    </row>
    <row r="70" ht="12.75">
      <c r="A70" s="135" t="s">
        <v>183</v>
      </c>
    </row>
    <row r="71" ht="12.75">
      <c r="A71" s="135" t="s">
        <v>26</v>
      </c>
    </row>
    <row r="72" ht="12.75">
      <c r="A72" s="135" t="s">
        <v>184</v>
      </c>
    </row>
    <row r="73" ht="12.75">
      <c r="A73" s="135" t="s">
        <v>185</v>
      </c>
    </row>
    <row r="74" ht="12.75">
      <c r="A74" s="135" t="s">
        <v>33</v>
      </c>
    </row>
    <row r="75" ht="12.75">
      <c r="A75" s="135"/>
    </row>
    <row r="76" ht="12.75">
      <c r="A76" s="136" t="s">
        <v>25</v>
      </c>
    </row>
    <row r="77" spans="1:11" ht="26.25" customHeight="1">
      <c r="A77" s="293" t="s">
        <v>197</v>
      </c>
      <c r="B77" s="293"/>
      <c r="C77" s="293"/>
      <c r="D77" s="293"/>
      <c r="E77" s="293"/>
      <c r="F77" s="293"/>
      <c r="G77" s="293"/>
      <c r="H77" s="293"/>
      <c r="I77" s="293"/>
      <c r="J77" s="293"/>
      <c r="K77" s="156"/>
    </row>
    <row r="78" spans="1:3" ht="27.75" customHeight="1">
      <c r="A78" s="157" t="s">
        <v>27</v>
      </c>
      <c r="B78" s="157" t="s">
        <v>31</v>
      </c>
      <c r="C78" s="157" t="s">
        <v>32</v>
      </c>
    </row>
    <row r="79" spans="1:3" ht="18" customHeight="1">
      <c r="A79" s="137" t="s">
        <v>28</v>
      </c>
      <c r="B79" s="137" t="s">
        <v>29</v>
      </c>
      <c r="C79" s="137" t="s">
        <v>173</v>
      </c>
    </row>
    <row r="80" spans="1:3" ht="19.5" customHeight="1">
      <c r="A80" s="137" t="s">
        <v>30</v>
      </c>
      <c r="B80" s="137" t="s">
        <v>29</v>
      </c>
      <c r="C80" s="137" t="s">
        <v>174</v>
      </c>
    </row>
    <row r="81" spans="1:10" ht="25.5" customHeight="1">
      <c r="A81" s="292" t="s">
        <v>198</v>
      </c>
      <c r="B81" s="292"/>
      <c r="C81" s="292"/>
      <c r="D81" s="292"/>
      <c r="E81" s="292"/>
      <c r="F81" s="292"/>
      <c r="G81" s="292"/>
      <c r="H81" s="292"/>
      <c r="I81" s="292"/>
      <c r="J81" s="292"/>
    </row>
    <row r="82" spans="1:10" ht="18" customHeight="1">
      <c r="A82" s="158"/>
      <c r="B82" s="158"/>
      <c r="C82" s="158"/>
      <c r="D82" s="158"/>
      <c r="E82" s="158"/>
      <c r="F82" s="158"/>
      <c r="G82" s="158"/>
      <c r="H82" s="158"/>
      <c r="I82" s="158"/>
      <c r="J82" s="158"/>
    </row>
    <row r="83" spans="1:13" ht="12.75">
      <c r="A83" s="136" t="s">
        <v>34</v>
      </c>
      <c r="M83" s="48" t="s">
        <v>264</v>
      </c>
    </row>
    <row r="84" spans="1:13" ht="12.75">
      <c r="A84" s="135" t="s">
        <v>35</v>
      </c>
      <c r="G84" s="138"/>
      <c r="M84" s="238" t="s">
        <v>265</v>
      </c>
    </row>
    <row r="85" spans="1:7" ht="12.75">
      <c r="A85" s="135" t="s">
        <v>36</v>
      </c>
      <c r="G85" s="132"/>
    </row>
    <row r="86" ht="12.75">
      <c r="A86" s="135" t="s">
        <v>189</v>
      </c>
    </row>
    <row r="87" spans="1:10" ht="32.25" customHeight="1">
      <c r="A87" s="294" t="s">
        <v>190</v>
      </c>
      <c r="B87" s="294"/>
      <c r="C87" s="294"/>
      <c r="D87" s="294"/>
      <c r="E87" s="294"/>
      <c r="F87" s="294"/>
      <c r="G87" s="294"/>
      <c r="H87" s="294"/>
      <c r="I87" s="294"/>
      <c r="J87" s="294"/>
    </row>
    <row r="88" spans="1:10" ht="26.25" customHeight="1">
      <c r="A88" s="294" t="s">
        <v>37</v>
      </c>
      <c r="B88" s="294"/>
      <c r="C88" s="294"/>
      <c r="D88" s="294"/>
      <c r="E88" s="294"/>
      <c r="F88" s="294"/>
      <c r="G88" s="294"/>
      <c r="H88" s="294"/>
      <c r="I88" s="294"/>
      <c r="J88" s="294"/>
    </row>
    <row r="89" ht="16.5" customHeight="1">
      <c r="A89" s="135" t="s">
        <v>38</v>
      </c>
    </row>
    <row r="90" ht="12.75">
      <c r="A90" s="135" t="s">
        <v>39</v>
      </c>
    </row>
    <row r="91" ht="6.75" customHeight="1"/>
    <row r="92" ht="12.75">
      <c r="A92" s="135" t="s">
        <v>40</v>
      </c>
    </row>
    <row r="93" ht="12.75">
      <c r="A93" s="135" t="s">
        <v>199</v>
      </c>
    </row>
    <row r="94" ht="12.75">
      <c r="A94" s="135" t="s">
        <v>41</v>
      </c>
    </row>
    <row r="95" spans="2:9" ht="12.75">
      <c r="B95" s="136"/>
      <c r="C95" s="136"/>
      <c r="D95" s="136"/>
      <c r="E95" s="136"/>
      <c r="F95" s="136"/>
      <c r="G95" s="136"/>
      <c r="H95" s="136"/>
      <c r="I95" s="136"/>
    </row>
    <row r="96" ht="12.75">
      <c r="A96" s="136" t="s">
        <v>191</v>
      </c>
    </row>
    <row r="97" ht="12.75">
      <c r="A97" s="135" t="s">
        <v>42</v>
      </c>
    </row>
    <row r="98" ht="12.75">
      <c r="A98" s="135" t="s">
        <v>43</v>
      </c>
    </row>
    <row r="99" ht="12.75">
      <c r="A99" s="135" t="s">
        <v>186</v>
      </c>
    </row>
    <row r="100" ht="12.75">
      <c r="A100" s="1" t="s">
        <v>49</v>
      </c>
    </row>
    <row r="101" ht="12.75">
      <c r="A101" s="133" t="s">
        <v>44</v>
      </c>
    </row>
    <row r="102" ht="12.75">
      <c r="A102" s="1" t="s">
        <v>45</v>
      </c>
    </row>
    <row r="103" ht="12.75">
      <c r="A103" s="1" t="s">
        <v>46</v>
      </c>
    </row>
    <row r="104" ht="12.75">
      <c r="A104" s="1" t="s">
        <v>47</v>
      </c>
    </row>
    <row r="105" ht="12.75">
      <c r="A105" s="1" t="s">
        <v>48</v>
      </c>
    </row>
    <row r="106" ht="12.75">
      <c r="A106" s="135" t="s">
        <v>205</v>
      </c>
    </row>
    <row r="107" ht="12.75">
      <c r="A107" s="135" t="s">
        <v>50</v>
      </c>
    </row>
    <row r="109" ht="12.75">
      <c r="A109" s="136" t="s">
        <v>77</v>
      </c>
    </row>
    <row r="110" ht="12.75">
      <c r="A110" s="135" t="s">
        <v>200</v>
      </c>
    </row>
    <row r="111" ht="12.75">
      <c r="A111" s="135" t="s">
        <v>63</v>
      </c>
    </row>
    <row r="112" ht="12.75">
      <c r="A112" s="135" t="s">
        <v>64</v>
      </c>
    </row>
    <row r="113" ht="12.75">
      <c r="A113" s="135" t="s">
        <v>51</v>
      </c>
    </row>
    <row r="114" ht="12.75">
      <c r="A114" s="135" t="s">
        <v>65</v>
      </c>
    </row>
    <row r="115" ht="12.75">
      <c r="A115" s="135" t="s">
        <v>66</v>
      </c>
    </row>
    <row r="116" ht="12.75">
      <c r="A116" s="135" t="s">
        <v>67</v>
      </c>
    </row>
    <row r="117" ht="12.75">
      <c r="A117" s="135" t="s">
        <v>68</v>
      </c>
    </row>
    <row r="118" ht="12.75">
      <c r="A118" s="135"/>
    </row>
    <row r="119" ht="13.5" thickBot="1">
      <c r="A119" s="3" t="s">
        <v>52</v>
      </c>
    </row>
    <row r="120" spans="1:8" ht="13.5" thickBot="1">
      <c r="A120" s="152" t="s">
        <v>53</v>
      </c>
      <c r="B120" s="104"/>
      <c r="C120" s="163" t="s">
        <v>54</v>
      </c>
      <c r="D120" s="174" t="s">
        <v>56</v>
      </c>
      <c r="E120" s="175"/>
      <c r="F120" s="174" t="s">
        <v>58</v>
      </c>
      <c r="G120" s="176"/>
      <c r="H120" s="175"/>
    </row>
    <row r="121" spans="1:8" ht="25.5">
      <c r="A121" s="140"/>
      <c r="B121" s="164"/>
      <c r="C121" s="166" t="s">
        <v>192</v>
      </c>
      <c r="D121" s="170" t="s">
        <v>55</v>
      </c>
      <c r="E121" s="171" t="s">
        <v>192</v>
      </c>
      <c r="F121" s="170" t="s">
        <v>55</v>
      </c>
      <c r="G121" s="169" t="s">
        <v>57</v>
      </c>
      <c r="H121" s="171" t="s">
        <v>192</v>
      </c>
    </row>
    <row r="122" spans="1:14" ht="12.75">
      <c r="A122" s="140"/>
      <c r="B122" s="165" t="s">
        <v>0</v>
      </c>
      <c r="C122" s="167">
        <v>100</v>
      </c>
      <c r="D122" s="159">
        <v>60</v>
      </c>
      <c r="E122" s="160">
        <v>40</v>
      </c>
      <c r="F122" s="159">
        <v>24</v>
      </c>
      <c r="G122" s="141">
        <v>84</v>
      </c>
      <c r="H122" s="160">
        <v>16</v>
      </c>
      <c r="K122" s="27"/>
      <c r="M122" s="132"/>
      <c r="N122" s="132"/>
    </row>
    <row r="123" spans="1:14" ht="12.75">
      <c r="A123" s="142" t="s">
        <v>59</v>
      </c>
      <c r="B123" s="165" t="s">
        <v>69</v>
      </c>
      <c r="C123" s="167">
        <v>100</v>
      </c>
      <c r="D123" s="159">
        <v>30</v>
      </c>
      <c r="E123" s="160">
        <v>70</v>
      </c>
      <c r="F123" s="159">
        <v>21</v>
      </c>
      <c r="G123" s="141">
        <v>51</v>
      </c>
      <c r="H123" s="160">
        <v>49</v>
      </c>
      <c r="K123" s="27"/>
      <c r="M123" s="132"/>
      <c r="N123" s="132"/>
    </row>
    <row r="124" spans="1:14" ht="13.5" thickBot="1">
      <c r="A124" s="142" t="s">
        <v>60</v>
      </c>
      <c r="B124" s="165" t="s">
        <v>61</v>
      </c>
      <c r="C124" s="168">
        <v>100</v>
      </c>
      <c r="D124" s="161"/>
      <c r="E124" s="162">
        <v>100</v>
      </c>
      <c r="F124" s="161">
        <v>42</v>
      </c>
      <c r="G124" s="172">
        <v>42</v>
      </c>
      <c r="H124" s="173">
        <v>68</v>
      </c>
      <c r="K124" s="27"/>
      <c r="M124" s="132"/>
      <c r="N124" s="132"/>
    </row>
    <row r="125" ht="12.75">
      <c r="A125" s="143" t="s">
        <v>62</v>
      </c>
    </row>
    <row r="126" ht="12.75">
      <c r="B126" s="143"/>
    </row>
    <row r="127" spans="1:7" ht="25.5">
      <c r="A127" s="180" t="s">
        <v>55</v>
      </c>
      <c r="B127" s="177" t="s">
        <v>206</v>
      </c>
      <c r="C127" s="177" t="s">
        <v>207</v>
      </c>
      <c r="D127" s="178" t="s">
        <v>208</v>
      </c>
      <c r="E127" s="178" t="s">
        <v>209</v>
      </c>
      <c r="F127" s="178" t="s">
        <v>210</v>
      </c>
      <c r="G127" s="178" t="s">
        <v>211</v>
      </c>
    </row>
    <row r="128" spans="1:7" ht="25.5">
      <c r="A128" s="181" t="s">
        <v>212</v>
      </c>
      <c r="B128" s="57" t="s">
        <v>213</v>
      </c>
      <c r="C128" s="57" t="s">
        <v>214</v>
      </c>
      <c r="D128" s="183" t="s">
        <v>215</v>
      </c>
      <c r="E128" s="8" t="s">
        <v>216</v>
      </c>
      <c r="F128" s="57" t="s">
        <v>217</v>
      </c>
      <c r="G128" s="182">
        <v>0.9894</v>
      </c>
    </row>
    <row r="129" spans="1:7" ht="25.5">
      <c r="A129" s="181" t="s">
        <v>218</v>
      </c>
      <c r="B129" s="57" t="s">
        <v>219</v>
      </c>
      <c r="C129" s="57" t="s">
        <v>220</v>
      </c>
      <c r="D129" s="183" t="s">
        <v>221</v>
      </c>
      <c r="E129" s="8" t="s">
        <v>222</v>
      </c>
      <c r="F129" s="57" t="s">
        <v>223</v>
      </c>
      <c r="G129" s="182">
        <v>0.8683</v>
      </c>
    </row>
    <row r="130" spans="1:7" ht="6" customHeight="1">
      <c r="A130" s="179"/>
      <c r="B130" s="99"/>
      <c r="C130" s="99"/>
      <c r="D130" s="99"/>
      <c r="E130" s="99"/>
      <c r="F130" s="99"/>
      <c r="G130" s="99"/>
    </row>
    <row r="131" spans="1:7" ht="25.5">
      <c r="A131" s="181" t="s">
        <v>224</v>
      </c>
      <c r="B131" s="57" t="s">
        <v>225</v>
      </c>
      <c r="C131" s="57" t="s">
        <v>226</v>
      </c>
      <c r="D131" s="57" t="s">
        <v>227</v>
      </c>
      <c r="E131" s="8" t="s">
        <v>228</v>
      </c>
      <c r="F131" s="57" t="s">
        <v>229</v>
      </c>
      <c r="G131" s="182">
        <v>0.9987</v>
      </c>
    </row>
    <row r="132" ht="6.75" customHeight="1">
      <c r="B132" s="143"/>
    </row>
    <row r="133" spans="1:7" ht="25.5">
      <c r="A133" s="181" t="s">
        <v>224</v>
      </c>
      <c r="B133" s="57" t="s">
        <v>230</v>
      </c>
      <c r="C133" s="57" t="s">
        <v>226</v>
      </c>
      <c r="D133" s="183" t="s">
        <v>231</v>
      </c>
      <c r="E133" s="8" t="s">
        <v>232</v>
      </c>
      <c r="F133" s="57" t="s">
        <v>233</v>
      </c>
      <c r="G133" s="182" t="s">
        <v>234</v>
      </c>
    </row>
    <row r="135" spans="1:5" ht="20.25" customHeight="1">
      <c r="A135" s="144" t="s">
        <v>194</v>
      </c>
      <c r="E135" s="145"/>
    </row>
    <row r="136" spans="1:8" ht="12.75">
      <c r="A136" s="133" t="s">
        <v>70</v>
      </c>
      <c r="F136" s="153"/>
      <c r="G136" s="153"/>
      <c r="H136" s="153"/>
    </row>
    <row r="137" spans="1:8" ht="12.75">
      <c r="A137" s="133" t="s">
        <v>71</v>
      </c>
      <c r="F137" s="153"/>
      <c r="G137" s="153"/>
      <c r="H137" s="153"/>
    </row>
    <row r="138" ht="12.75">
      <c r="A138" s="133" t="s">
        <v>193</v>
      </c>
    </row>
    <row r="139" ht="12.75">
      <c r="A139" s="133" t="s">
        <v>237</v>
      </c>
    </row>
    <row r="141" ht="12.75">
      <c r="A141" s="139" t="s">
        <v>72</v>
      </c>
    </row>
    <row r="142" ht="12.75">
      <c r="A142" s="146" t="s">
        <v>73</v>
      </c>
    </row>
    <row r="143" ht="12.75">
      <c r="A143" s="147" t="s">
        <v>75</v>
      </c>
    </row>
    <row r="144" ht="12.75">
      <c r="A144" s="147" t="s">
        <v>187</v>
      </c>
    </row>
    <row r="145" spans="1:6" ht="18" customHeight="1">
      <c r="A145" s="184" t="s">
        <v>235</v>
      </c>
      <c r="F145" s="148"/>
    </row>
    <row r="146" ht="12.75">
      <c r="A146" s="135" t="s">
        <v>236</v>
      </c>
    </row>
    <row r="147" ht="12.75">
      <c r="A147" s="1" t="s">
        <v>74</v>
      </c>
    </row>
    <row r="149" spans="1:11" ht="72.75" customHeight="1">
      <c r="A149" s="273" t="s">
        <v>188</v>
      </c>
      <c r="B149" s="273"/>
      <c r="C149" s="273"/>
      <c r="D149" s="273"/>
      <c r="E149" s="273"/>
      <c r="F149" s="273"/>
      <c r="G149" s="273"/>
      <c r="H149" s="273"/>
      <c r="I149" s="273"/>
      <c r="J149" s="273"/>
      <c r="K149" s="273"/>
    </row>
  </sheetData>
  <sheetProtection/>
  <mergeCells count="12">
    <mergeCell ref="A47:J47"/>
    <mergeCell ref="A48:J48"/>
    <mergeCell ref="A149:K149"/>
    <mergeCell ref="A81:J81"/>
    <mergeCell ref="A77:J77"/>
    <mergeCell ref="A87:J87"/>
    <mergeCell ref="A88:J88"/>
    <mergeCell ref="A51:J51"/>
    <mergeCell ref="A52:J52"/>
    <mergeCell ref="A53:J53"/>
    <mergeCell ref="A54:J54"/>
    <mergeCell ref="A55:J55"/>
  </mergeCells>
  <printOptions/>
  <pageMargins left="0.75" right="0.75" top="1" bottom="1" header="0" footer="0"/>
  <pageSetup horizontalDpi="600" verticalDpi="600" orientation="portrait" paperSize="9" r:id="rId2"/>
  <ignoredErrors>
    <ignoredError sqref="G133" numberStoredAsText="1"/>
    <ignoredError sqref="F43:N43 O43:P43"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cp:lastPrinted>2010-10-30T06:49:05Z</cp:lastPrinted>
  <dcterms:created xsi:type="dcterms:W3CDTF">2009-06-05T06:22:51Z</dcterms:created>
  <dcterms:modified xsi:type="dcterms:W3CDTF">2020-06-23T07:10:01Z</dcterms:modified>
  <cp:category/>
  <cp:version/>
  <cp:contentType/>
  <cp:contentStatus/>
</cp:coreProperties>
</file>