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7140" activeTab="0"/>
  </bookViews>
  <sheets>
    <sheet name="IncAcum" sheetId="1" r:id="rId1"/>
    <sheet name="desde HR" sheetId="2" r:id="rId2"/>
    <sheet name="desde MA" sheetId="3" r:id="rId3"/>
    <sheet name="Size por RR" sheetId="4" r:id="rId4"/>
    <sheet name="Size por HR" sheetId="5" r:id="rId5"/>
  </sheets>
  <definedNames/>
  <calcPr fullCalcOnLoad="1"/>
</workbook>
</file>

<file path=xl/sharedStrings.xml><?xml version="1.0" encoding="utf-8"?>
<sst xmlns="http://schemas.openxmlformats.org/spreadsheetml/2006/main" count="292" uniqueCount="196">
  <si>
    <t>Límite inferior del IC</t>
  </si>
  <si>
    <t>Límite superior del IC</t>
  </si>
  <si>
    <t>Sin eventos</t>
  </si>
  <si>
    <t>Con eventos</t>
  </si>
  <si>
    <t>RR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</si>
  <si>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</si>
  <si>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</si>
  <si>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</si>
  <si>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</si>
  <si>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</si>
  <si>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</si>
  <si>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</si>
  <si>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</si>
  <si>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</si>
  <si>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</si>
  <si>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</si>
  <si>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</si>
  <si>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</si>
  <si>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</si>
  <si>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</si>
  <si>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</si>
  <si>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</si>
  <si>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</si>
  <si>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</si>
  <si>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</si>
  <si>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</si>
  <si>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</si>
  <si>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</si>
  <si>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</si>
  <si>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</si>
  <si>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</si>
  <si>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</si>
  <si>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</si>
  <si>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</si>
  <si>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</si>
  <si>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</si>
  <si>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</si>
  <si>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</si>
  <si>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</si>
  <si>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</si>
  <si>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</si>
  <si>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</si>
  <si>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</si>
  <si>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</si>
  <si>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n (cada grupo) =</t>
  </si>
  <si>
    <t>2n (total) =</t>
  </si>
  <si>
    <t>DETERMINACIÓN DEL TAMAÑO DE MUESTRA EN CADA GRUPO DE ESTUDIO PARA LA COMPARACIÓN DE DOS PROPORCIONES.</t>
  </si>
  <si>
    <t xml:space="preserve">Siguendo en mismo razonamiento que antes: </t>
  </si>
  <si>
    <t>La proporción que debe usarse no es ni pA ni pB, sino la llamada porporción media (pM) = pA+pB/2, y así=&gt;</t>
  </si>
  <si>
    <t>qA</t>
  </si>
  <si>
    <t>qB</t>
  </si>
  <si>
    <t>qM</t>
  </si>
  <si>
    <t>=&gt; z α/2 =</t>
  </si>
  <si>
    <t>=&gt; zβ =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</si>
  <si>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</si>
  <si>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</si>
  <si>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</si>
  <si>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</si>
  <si>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</si>
  <si>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</si>
  <si>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</si>
  <si>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</si>
  <si>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</si>
  <si>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</si>
  <si>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</si>
  <si>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% Eventos interv = complementario:</t>
  </si>
  <si>
    <t>NNT</t>
  </si>
  <si>
    <t>/</t>
  </si>
  <si>
    <t>años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</si>
  <si>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</si>
  <si>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</si>
  <si>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</si>
  <si>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</si>
  <si>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</si>
  <si>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</si>
  <si>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</si>
  <si>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</si>
  <si>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</si>
  <si>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</si>
  <si>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</si>
  <si>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</si>
  <si>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</si>
  <si>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</si>
  <si>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</si>
  <si>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</si>
  <si>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</si>
  <si>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</si>
  <si>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</si>
  <si>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</si>
  <si>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t>pM (=proporción Media)</t>
  </si>
  <si>
    <t>Cálculo del tamaño necesario de la muestra</t>
  </si>
  <si>
    <t>CÁLCULO DEL TAMAÑO DE MUESTRA PARA UNA DIFERENCIA DE DOS PROPORCIONES</t>
  </si>
  <si>
    <t>% RA intervención</t>
  </si>
  <si>
    <t>Numerador</t>
  </si>
  <si>
    <t>Denominador</t>
  </si>
  <si>
    <t>% RA control =</t>
  </si>
  <si>
    <t>Estimación puntual</t>
  </si>
  <si>
    <t>100% - % RA control =</t>
  </si>
  <si>
    <t>RR (IC 95%) obtenido en el metaanálisis</t>
  </si>
  <si>
    <t>Cálculo de RAR y NNT a partir del HR y el % RA en el grupo control</t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</si>
  <si>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</si>
  <si>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</si>
  <si>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</si>
  <si>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Según estos cálculos ¿cuándo debería pararse el estudio?</t>
  </si>
  <si>
    <t>Nº eventos esperados en el grupo control</t>
  </si>
  <si>
    <t>Suma de los eventos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</si>
  <si>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</si>
  <si>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Límite inferior del IC 95%</t>
  </si>
  <si>
    <t>Límite superior del IC 95%</t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</si>
  <si>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</si>
  <si>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</si>
  <si>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</si>
  <si>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</si>
  <si>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</si>
  <si>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Cálculo de RAR y NNT a partir del RR de un metaanálisis y el % RA en el grupo control</t>
  </si>
  <si>
    <r>
      <t>Abreviaturas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RA</t>
    </r>
    <r>
      <rPr>
        <sz val="9"/>
        <rFont val="Calibri"/>
        <family val="2"/>
      </rPr>
      <t xml:space="preserve">: Riesgo Absoluto; </t>
    </r>
    <r>
      <rPr>
        <b/>
        <sz val="9"/>
        <rFont val="Calibri"/>
        <family val="2"/>
      </rPr>
      <t>RR</t>
    </r>
    <r>
      <rPr>
        <sz val="9"/>
        <rFont val="Calibri"/>
        <family val="2"/>
      </rPr>
      <t xml:space="preserve">: Riesgo Relativo; </t>
    </r>
    <r>
      <rPr>
        <b/>
        <sz val="9"/>
        <rFont val="Calibri"/>
        <family val="2"/>
      </rPr>
      <t>RAR</t>
    </r>
    <r>
      <rPr>
        <sz val="9"/>
        <rFont val="Calibri"/>
        <family val="2"/>
      </rPr>
      <t xml:space="preserve">: Reducción Absoluta del Riesgo; </t>
    </r>
    <r>
      <rPr>
        <b/>
        <sz val="9"/>
        <rFont val="Calibri"/>
        <family val="2"/>
      </rPr>
      <t>NNT</t>
    </r>
    <r>
      <rPr>
        <sz val="9"/>
        <rFont val="Calibri"/>
        <family val="2"/>
      </rPr>
      <t xml:space="preserve">: Número Necesario a Tratar para evitar un evento; </t>
    </r>
    <r>
      <rPr>
        <b/>
        <sz val="9"/>
        <rFont val="Calibri"/>
        <family val="2"/>
      </rPr>
      <t>IC 95%</t>
    </r>
    <r>
      <rPr>
        <sz val="9"/>
        <rFont val="Calibri"/>
        <family val="2"/>
      </rPr>
      <t>: intervalo de confianza al 95%</t>
    </r>
  </si>
  <si>
    <t>=&gt; Total =</t>
  </si>
  <si>
    <t>Nº eventos esperados en el grupo intervención</t>
  </si>
  <si>
    <t xml:space="preserve">Si espero pérdidas del </t>
  </si>
  <si>
    <t>Intervención</t>
  </si>
  <si>
    <t>Control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</si>
  <si>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</si>
  <si>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</si>
  <si>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</si>
  <si>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</si>
  <si>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=&gt;</t>
  </si>
  <si>
    <r>
      <t xml:space="preserve">1 -β =  p (rechazar Ho </t>
    </r>
    <r>
      <rPr>
        <sz val="10"/>
        <rFont val="Calibri"/>
        <family val="2"/>
      </rPr>
      <t>│ Ho falsa)</t>
    </r>
  </si>
  <si>
    <t>1 -β =  potencia estadística resultante =  p de detectar una diferencia entre ambos, en caso de que exista</t>
  </si>
  <si>
    <t>Potencia de contraste</t>
  </si>
  <si>
    <t>DM: diferencia de proporciones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</si>
  <si>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</si>
  <si>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α = probab de que la diferencia detectada entre ambos sea debida al azar, en caso de que no exista</t>
  </si>
  <si>
    <r>
      <t xml:space="preserve">1-α =  p (no rechazar Ho </t>
    </r>
    <r>
      <rPr>
        <sz val="10"/>
        <rFont val="Calibri"/>
        <family val="2"/>
      </rPr>
      <t>│ Ho verdadera)</t>
    </r>
  </si>
  <si>
    <t>1-α = nivel e confianza =  p (no rechazar Ho │ Ho verdadera)</t>
  </si>
  <si>
    <t xml:space="preserve"> p (no rechazar Ho │ Ho verdadera)</t>
  </si>
  <si>
    <t xml:space="preserve"> β =&gt; probabilidad de no detectar una diferencia que sí exista.</t>
  </si>
  <si>
    <t>β =  probabilidad de no detectar una diferencia que sí exista =  p (no rechazar Ho │ Ho falsa)</t>
  </si>
  <si>
    <t>Dif Proporc =  RAR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</si>
  <si>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</si>
  <si>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</si>
  <si>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</si>
  <si>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t>Chi cuadrado de Pearson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</si>
  <si>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Error alfa</t>
    </r>
    <r>
      <rPr>
        <sz val="10"/>
        <rFont val="Calibri"/>
        <family val="2"/>
      </rPr>
      <t xml:space="preserve">: significación estadística; </t>
    </r>
    <r>
      <rPr>
        <b/>
        <sz val="10"/>
        <rFont val="Calibri"/>
        <family val="2"/>
      </rPr>
      <t>Potencia estadística</t>
    </r>
    <r>
      <rPr>
        <sz val="10"/>
        <rFont val="Calibri"/>
        <family val="2"/>
      </rPr>
      <t xml:space="preserve"> = 1 - Error beta; </t>
    </r>
    <r>
      <rPr>
        <b/>
        <sz val="10"/>
        <rFont val="Calibri"/>
        <family val="2"/>
      </rPr>
      <t>n</t>
    </r>
    <r>
      <rPr>
        <sz val="10"/>
        <rFont val="Calibri"/>
        <family val="2"/>
      </rPr>
      <t>: número de pacientes necesario de cada uno de los grupos</t>
    </r>
  </si>
  <si>
    <r>
      <t>S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= S</t>
    </r>
    <r>
      <rPr>
        <vertAlign val="subscript"/>
        <sz val="11"/>
        <rFont val="Calibri"/>
        <family val="2"/>
      </rPr>
      <t>c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=&gt;</t>
    </r>
  </si>
  <si>
    <r>
      <t>1-RA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=&gt;</t>
    </r>
  </si>
  <si>
    <r>
      <t>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</si>
  <si>
    <r>
      <t>si se espera un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/año =</t>
    </r>
  </si>
  <si>
    <t>durante</t>
  </si>
  <si>
    <r>
      <t xml:space="preserve"> =&gt; que se espera un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=</t>
    </r>
  </si>
  <si>
    <t>y se espera un HR =</t>
  </si>
  <si>
    <r>
      <t>entonces 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=</t>
    </r>
  </si>
  <si>
    <r>
      <t>n = 2pq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(z</t>
    </r>
    <r>
      <rPr>
        <b/>
        <vertAlign val="subscript"/>
        <sz val="11"/>
        <rFont val="Calibri"/>
        <family val="2"/>
      </rPr>
      <t>α/2</t>
    </r>
    <r>
      <rPr>
        <b/>
        <sz val="11"/>
        <rFont val="Calibri"/>
        <family val="2"/>
      </rPr>
      <t xml:space="preserve"> + z</t>
    </r>
    <r>
      <rPr>
        <b/>
        <vertAlign val="subscript"/>
        <sz val="11"/>
        <rFont val="Calibri"/>
        <family val="2"/>
      </rPr>
      <t>β</t>
    </r>
    <r>
      <rPr>
        <b/>
        <sz val="11"/>
        <rFont val="Calibri"/>
        <family val="2"/>
      </rPr>
      <t>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</si>
  <si>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r>
      <t>n = 2* (pM * qM) * (z α/2 + zβ)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</si>
  <si>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Significación estadística = 5%</t>
  </si>
  <si>
    <t>Si potencia estadística = 90% =&gt; error beta = 100% - 90% = 10%</t>
  </si>
  <si>
    <t>por grupo</t>
  </si>
  <si>
    <t>si se espera un RAc /año =</t>
  </si>
  <si>
    <t xml:space="preserve"> =&gt; que se espera un RAc =</t>
  </si>
  <si>
    <t>y se espera un RR =</t>
  </si>
  <si>
    <t>Si potencia estadística = 80% =&gt; error beta = 100% - 80% = 20%</t>
  </si>
  <si>
    <r>
      <t>RR = RAi /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=&gt; </t>
    </r>
  </si>
  <si>
    <r>
      <t>entonces 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=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x RR =</t>
    </r>
  </si>
  <si>
    <r>
      <t>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= RR x RA</t>
    </r>
    <r>
      <rPr>
        <vertAlign val="subscript"/>
        <sz val="11"/>
        <rFont val="Calibri"/>
        <family val="2"/>
      </rPr>
      <t>c</t>
    </r>
  </si>
  <si>
    <r>
      <t>En excel procédase así: HR = LOG(S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</si>
  <si>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</si>
  <si>
    <r>
      <t>En excell procédase así: S</t>
    </r>
    <r>
      <rPr>
        <vertAlign val="subscript"/>
        <sz val="10"/>
        <rFont val="Calibri"/>
        <family val="2"/>
      </rPr>
      <t xml:space="preserve">c </t>
    </r>
    <r>
      <rPr>
        <sz val="10"/>
        <rFont val="Calibri"/>
        <family val="2"/>
      </rPr>
      <t>= Potencia(S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;1/HR)</t>
    </r>
  </si>
  <si>
    <r>
      <t xml:space="preserve">Log 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</si>
  <si>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t>Para un error alfa 2 colas</t>
  </si>
  <si>
    <t>Para un error beta 1 cola</t>
  </si>
  <si>
    <t>IC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</si>
  <si>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</si>
  <si>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</si>
  <si>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</si>
  <si>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</si>
  <si>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</si>
  <si>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</si>
  <si>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</si>
  <si>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</si>
  <si>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</si>
  <si>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</si>
  <si>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</si>
  <si>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</si>
  <si>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</si>
  <si>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</si>
  <si>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</si>
  <si>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</si>
  <si>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NND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</si>
  <si>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</si>
  <si>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</si>
  <si>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</si>
  <si>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</si>
  <si>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</si>
  <si>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t>% Interv (Fact Box)</t>
  </si>
  <si>
    <r>
      <t>1-RA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</si>
  <si>
    <r>
      <t>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= 1-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</t>
    </r>
  </si>
  <si>
    <r>
      <t>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  S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</si>
</sst>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</numFmts>
  <fonts count="9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10"/>
      <color indexed="57"/>
      <name val="Calibri"/>
      <family val="2"/>
    </font>
    <font>
      <b/>
      <sz val="9"/>
      <name val="Calibri"/>
      <family val="2"/>
    </font>
    <font>
      <b/>
      <sz val="10"/>
      <color indexed="14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0"/>
      <name val="Calibri"/>
      <family val="2"/>
    </font>
    <font>
      <sz val="12"/>
      <color indexed="12"/>
      <name val="Trebuchet MS"/>
      <family val="2"/>
    </font>
    <font>
      <vertAlign val="subscript"/>
      <sz val="11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sz val="10"/>
      <color indexed="50"/>
      <name val="Calibri"/>
      <family val="2"/>
    </font>
    <font>
      <sz val="10"/>
      <color indexed="12"/>
      <name val="Calibri"/>
      <family val="2"/>
    </font>
    <font>
      <sz val="10"/>
      <color indexed="52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sz val="10"/>
      <color indexed="20"/>
      <name val="Calibri"/>
      <family val="2"/>
    </font>
    <font>
      <sz val="10"/>
      <color indexed="14"/>
      <name val="Calibri"/>
      <family val="2"/>
    </font>
    <font>
      <sz val="12"/>
      <name val="Calibri"/>
      <family val="2"/>
    </font>
    <font>
      <sz val="10"/>
      <color indexed="61"/>
      <name val="Calibri"/>
      <family val="2"/>
    </font>
    <font>
      <b/>
      <sz val="23"/>
      <name val="Calibri"/>
      <family val="2"/>
    </font>
    <font>
      <b/>
      <sz val="24"/>
      <name val="Calibri"/>
      <family val="2"/>
    </font>
    <font>
      <b/>
      <sz val="10"/>
      <color indexed="63"/>
      <name val="Calibri"/>
      <family val="2"/>
    </font>
    <font>
      <b/>
      <u val="single"/>
      <sz val="11"/>
      <name val="Calibri"/>
      <family val="2"/>
    </font>
    <font>
      <sz val="11"/>
      <color indexed="12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51"/>
      <name val="Calibri"/>
      <family val="2"/>
    </font>
    <font>
      <b/>
      <u val="single"/>
      <sz val="10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sz val="12"/>
      <color indexed="16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sz val="2.5"/>
      <color indexed="8"/>
      <name val="Arial"/>
      <family val="0"/>
    </font>
    <font>
      <b/>
      <sz val="2"/>
      <color indexed="8"/>
      <name val="Trebuchet MS"/>
      <family val="0"/>
    </font>
    <font>
      <b/>
      <sz val="1.5"/>
      <color indexed="8"/>
      <name val="Trebuchet MS"/>
      <family val="0"/>
    </font>
    <font>
      <b/>
      <sz val="2.5"/>
      <color indexed="8"/>
      <name val="Trebuchet MS"/>
      <family val="0"/>
    </font>
    <font>
      <b/>
      <sz val="1.05"/>
      <color indexed="8"/>
      <name val="Trebuchet MS"/>
      <family val="0"/>
    </font>
    <font>
      <b/>
      <sz val="1.75"/>
      <color indexed="8"/>
      <name val="Trebuchet MS"/>
      <family val="0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1"/>
      <color rgb="FFFFC000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3" fillId="0" borderId="8" applyNumberFormat="0" applyFill="0" applyAlignment="0" applyProtection="0"/>
    <xf numFmtId="0" fontId="92" fillId="0" borderId="9" applyNumberFormat="0" applyFill="0" applyAlignment="0" applyProtection="0"/>
  </cellStyleXfs>
  <cellXfs count="594">
    <xf numFmtId="0" fontId="0" fillId="0" borderId="0" xfId="0" applyAlignment="1">
      <alignment/>
    </xf>
    <xf numFmtId="164" fontId="4" fillId="0" borderId="0" xfId="49" applyNumberFormat="1" applyFont="1" applyFill="1" applyBorder="1" applyAlignment="1">
      <alignment/>
    </xf>
    <xf numFmtId="164" fontId="44" fillId="0" borderId="0" xfId="49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0" fontId="45" fillId="0" borderId="0" xfId="55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0" fontId="5" fillId="0" borderId="0" xfId="55" applyNumberFormat="1" applyFont="1" applyBorder="1" applyAlignment="1">
      <alignment horizontal="center"/>
    </xf>
    <xf numFmtId="0" fontId="47" fillId="0" borderId="0" xfId="0" applyFont="1" applyFill="1" applyBorder="1" applyAlignment="1">
      <alignment vertical="distributed"/>
    </xf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43" fontId="5" fillId="0" borderId="0" xfId="49" applyFont="1" applyFill="1" applyAlignment="1">
      <alignment horizontal="center"/>
    </xf>
    <xf numFmtId="9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48" fillId="0" borderId="0" xfId="49" applyFont="1" applyFill="1" applyBorder="1" applyAlignment="1">
      <alignment horizontal="center"/>
    </xf>
    <xf numFmtId="43" fontId="5" fillId="0" borderId="0" xfId="49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/>
    </xf>
    <xf numFmtId="43" fontId="5" fillId="0" borderId="0" xfId="49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5" fillId="0" borderId="0" xfId="55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49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/>
    </xf>
    <xf numFmtId="10" fontId="5" fillId="0" borderId="0" xfId="55" applyNumberFormat="1" applyFont="1" applyFill="1" applyBorder="1" applyAlignment="1">
      <alignment horizontal="center"/>
    </xf>
    <xf numFmtId="43" fontId="50" fillId="0" borderId="0" xfId="49" applyFont="1" applyFill="1" applyBorder="1" applyAlignment="1">
      <alignment/>
    </xf>
    <xf numFmtId="0" fontId="4" fillId="0" borderId="0" xfId="0" applyFont="1" applyFill="1" applyAlignment="1">
      <alignment horizontal="center"/>
    </xf>
    <xf numFmtId="43" fontId="50" fillId="0" borderId="0" xfId="49" applyFont="1" applyFill="1" applyAlignment="1">
      <alignment horizontal="right"/>
    </xf>
    <xf numFmtId="0" fontId="50" fillId="0" borderId="0" xfId="0" applyFont="1" applyFill="1" applyBorder="1" applyAlignment="1">
      <alignment/>
    </xf>
    <xf numFmtId="43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3" fontId="5" fillId="0" borderId="0" xfId="49" applyFont="1" applyFill="1" applyBorder="1" applyAlignment="1">
      <alignment horizontal="center"/>
    </xf>
    <xf numFmtId="169" fontId="5" fillId="0" borderId="0" xfId="49" applyNumberFormat="1" applyFont="1" applyFill="1" applyBorder="1" applyAlignment="1">
      <alignment horizontal="center"/>
    </xf>
    <xf numFmtId="43" fontId="4" fillId="0" borderId="0" xfId="49" applyFont="1" applyFill="1" applyBorder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Fill="1" applyAlignment="1">
      <alignment/>
    </xf>
    <xf numFmtId="0" fontId="45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horizontal="left"/>
    </xf>
    <xf numFmtId="169" fontId="5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49" fontId="16" fillId="0" borderId="0" xfId="0" applyNumberFormat="1" applyFont="1" applyAlignment="1">
      <alignment/>
    </xf>
    <xf numFmtId="10" fontId="5" fillId="0" borderId="0" xfId="55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/>
    </xf>
    <xf numFmtId="10" fontId="46" fillId="0" borderId="0" xfId="55" applyNumberFormat="1" applyFont="1" applyFill="1" applyBorder="1" applyAlignment="1">
      <alignment horizontal="center"/>
    </xf>
    <xf numFmtId="164" fontId="46" fillId="0" borderId="0" xfId="49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49" fontId="45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4" fillId="0" borderId="0" xfId="49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5" fillId="0" borderId="14" xfId="49" applyNumberFormat="1" applyFont="1" applyFill="1" applyBorder="1" applyAlignment="1">
      <alignment/>
    </xf>
    <xf numFmtId="164" fontId="47" fillId="0" borderId="14" xfId="49" applyNumberFormat="1" applyFont="1" applyFill="1" applyBorder="1" applyAlignment="1">
      <alignment/>
    </xf>
    <xf numFmtId="164" fontId="45" fillId="0" borderId="0" xfId="49" applyNumberFormat="1" applyFont="1" applyFill="1" applyBorder="1" applyAlignment="1">
      <alignment/>
    </xf>
    <xf numFmtId="164" fontId="47" fillId="0" borderId="0" xfId="49" applyNumberFormat="1" applyFont="1" applyFill="1" applyBorder="1" applyAlignment="1">
      <alignment/>
    </xf>
    <xf numFmtId="43" fontId="53" fillId="0" borderId="14" xfId="49" applyFont="1" applyBorder="1" applyAlignment="1">
      <alignment/>
    </xf>
    <xf numFmtId="0" fontId="47" fillId="0" borderId="0" xfId="0" applyFont="1" applyBorder="1" applyAlignment="1">
      <alignment horizontal="right"/>
    </xf>
    <xf numFmtId="43" fontId="5" fillId="0" borderId="0" xfId="49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distributed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3" fontId="14" fillId="0" borderId="0" xfId="49" applyFont="1" applyFill="1" applyBorder="1" applyAlignment="1">
      <alignment horizontal="right"/>
    </xf>
    <xf numFmtId="166" fontId="5" fillId="0" borderId="0" xfId="49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65" fontId="4" fillId="0" borderId="0" xfId="49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0" fontId="4" fillId="0" borderId="0" xfId="55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3" fontId="48" fillId="0" borderId="0" xfId="49" applyFont="1" applyFill="1" applyBorder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5" fillId="0" borderId="0" xfId="49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18" fontId="5" fillId="0" borderId="0" xfId="49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vertical="distributed"/>
    </xf>
    <xf numFmtId="43" fontId="4" fillId="0" borderId="0" xfId="49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4" fillId="0" borderId="0" xfId="49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0" xfId="49" applyFont="1" applyFill="1" applyBorder="1" applyAlignment="1">
      <alignment/>
    </xf>
    <xf numFmtId="166" fontId="5" fillId="0" borderId="0" xfId="49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49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distributed"/>
    </xf>
    <xf numFmtId="43" fontId="5" fillId="0" borderId="0" xfId="49" applyFont="1" applyFill="1" applyBorder="1" applyAlignment="1">
      <alignment/>
    </xf>
    <xf numFmtId="10" fontId="5" fillId="0" borderId="0" xfId="55" applyNumberFormat="1" applyFont="1" applyAlignment="1">
      <alignment/>
    </xf>
    <xf numFmtId="0" fontId="56" fillId="0" borderId="14" xfId="0" applyFont="1" applyBorder="1" applyAlignment="1">
      <alignment horizontal="right"/>
    </xf>
    <xf numFmtId="171" fontId="4" fillId="0" borderId="10" xfId="49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8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167" fontId="6" fillId="33" borderId="14" xfId="0" applyNumberFormat="1" applyFont="1" applyFill="1" applyBorder="1" applyAlignment="1">
      <alignment horizontal="center" vertical="center"/>
    </xf>
    <xf numFmtId="176" fontId="7" fillId="34" borderId="14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170" fontId="6" fillId="0" borderId="20" xfId="0" applyNumberFormat="1" applyFont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70" fontId="6" fillId="0" borderId="14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176" fontId="7" fillId="34" borderId="23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0" fontId="5" fillId="33" borderId="26" xfId="55" applyNumberFormat="1" applyFont="1" applyFill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0" fontId="5" fillId="0" borderId="26" xfId="55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164" fontId="5" fillId="33" borderId="14" xfId="0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33" borderId="14" xfId="49" applyNumberFormat="1" applyFont="1" applyFill="1" applyBorder="1" applyAlignment="1">
      <alignment vertical="center"/>
    </xf>
    <xf numFmtId="2" fontId="5" fillId="0" borderId="14" xfId="49" applyNumberFormat="1" applyFont="1" applyBorder="1" applyAlignment="1">
      <alignment horizontal="center" vertical="center" wrapText="1"/>
    </xf>
    <xf numFmtId="2" fontId="5" fillId="0" borderId="14" xfId="49" applyNumberFormat="1" applyFont="1" applyFill="1" applyBorder="1" applyAlignment="1">
      <alignment horizontal="center" vertical="center" wrapText="1"/>
    </xf>
    <xf numFmtId="2" fontId="5" fillId="0" borderId="18" xfId="49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9" fontId="5" fillId="0" borderId="31" xfId="49" applyNumberFormat="1" applyFont="1" applyFill="1" applyBorder="1" applyAlignment="1">
      <alignment horizontal="center"/>
    </xf>
    <xf numFmtId="43" fontId="5" fillId="0" borderId="31" xfId="49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4" fillId="0" borderId="29" xfId="49" applyFont="1" applyFill="1" applyBorder="1" applyAlignment="1">
      <alignment/>
    </xf>
    <xf numFmtId="0" fontId="5" fillId="0" borderId="32" xfId="0" applyFont="1" applyBorder="1" applyAlignment="1">
      <alignment/>
    </xf>
    <xf numFmtId="170" fontId="5" fillId="0" borderId="32" xfId="0" applyNumberFormat="1" applyFont="1" applyBorder="1" applyAlignment="1">
      <alignment/>
    </xf>
    <xf numFmtId="43" fontId="5" fillId="0" borderId="32" xfId="49" applyFont="1" applyFill="1" applyBorder="1" applyAlignment="1">
      <alignment horizontal="center"/>
    </xf>
    <xf numFmtId="43" fontId="4" fillId="0" borderId="32" xfId="49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43" fontId="5" fillId="0" borderId="0" xfId="49" applyFont="1" applyFill="1" applyBorder="1" applyAlignment="1">
      <alignment/>
    </xf>
    <xf numFmtId="0" fontId="48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43" fontId="14" fillId="0" borderId="31" xfId="49" applyFont="1" applyFill="1" applyBorder="1" applyAlignment="1">
      <alignment horizontal="right"/>
    </xf>
    <xf numFmtId="0" fontId="5" fillId="0" borderId="31" xfId="0" applyFont="1" applyFill="1" applyBorder="1" applyAlignment="1">
      <alignment horizontal="left"/>
    </xf>
    <xf numFmtId="177" fontId="5" fillId="0" borderId="33" xfId="0" applyNumberFormat="1" applyFont="1" applyBorder="1" applyAlignment="1">
      <alignment/>
    </xf>
    <xf numFmtId="165" fontId="4" fillId="0" borderId="33" xfId="49" applyNumberFormat="1" applyFont="1" applyFill="1" applyBorder="1" applyAlignment="1">
      <alignment/>
    </xf>
    <xf numFmtId="166" fontId="5" fillId="36" borderId="33" xfId="49" applyNumberFormat="1" applyFont="1" applyFill="1" applyBorder="1" applyAlignment="1">
      <alignment/>
    </xf>
    <xf numFmtId="10" fontId="15" fillId="0" borderId="33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0" fontId="5" fillId="0" borderId="33" xfId="55" applyNumberFormat="1" applyFont="1" applyFill="1" applyBorder="1" applyAlignment="1">
      <alignment/>
    </xf>
    <xf numFmtId="0" fontId="5" fillId="0" borderId="31" xfId="0" applyFont="1" applyFill="1" applyBorder="1" applyAlignment="1">
      <alignment horizontal="right"/>
    </xf>
    <xf numFmtId="190" fontId="5" fillId="0" borderId="31" xfId="49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/>
    </xf>
    <xf numFmtId="43" fontId="4" fillId="0" borderId="31" xfId="49" applyFont="1" applyFill="1" applyBorder="1" applyAlignment="1">
      <alignment/>
    </xf>
    <xf numFmtId="43" fontId="4" fillId="0" borderId="17" xfId="49" applyFont="1" applyFill="1" applyBorder="1" applyAlignment="1">
      <alignment/>
    </xf>
    <xf numFmtId="0" fontId="51" fillId="0" borderId="32" xfId="0" applyFont="1" applyBorder="1" applyAlignment="1">
      <alignment/>
    </xf>
    <xf numFmtId="43" fontId="4" fillId="0" borderId="14" xfId="0" applyNumberFormat="1" applyFont="1" applyBorder="1" applyAlignment="1">
      <alignment/>
    </xf>
    <xf numFmtId="165" fontId="4" fillId="34" borderId="14" xfId="49" applyNumberFormat="1" applyFont="1" applyFill="1" applyBorder="1" applyAlignment="1">
      <alignment/>
    </xf>
    <xf numFmtId="0" fontId="23" fillId="0" borderId="0" xfId="0" applyFont="1" applyBorder="1" applyAlignment="1">
      <alignment horizontal="left" vertical="distributed"/>
    </xf>
    <xf numFmtId="0" fontId="6" fillId="0" borderId="34" xfId="0" applyFont="1" applyFill="1" applyBorder="1" applyAlignment="1">
      <alignment horizontal="right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right" vertical="center"/>
    </xf>
    <xf numFmtId="167" fontId="6" fillId="33" borderId="14" xfId="0" applyNumberFormat="1" applyFont="1" applyFill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7" fontId="6" fillId="34" borderId="20" xfId="55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43" fontId="6" fillId="33" borderId="14" xfId="49" applyFont="1" applyFill="1" applyBorder="1" applyAlignment="1">
      <alignment horizontal="center" vertical="center"/>
    </xf>
    <xf numFmtId="0" fontId="6" fillId="0" borderId="38" xfId="0" applyFont="1" applyBorder="1" applyAlignment="1">
      <alignment horizontal="right"/>
    </xf>
    <xf numFmtId="167" fontId="6" fillId="34" borderId="23" xfId="55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0" fontId="6" fillId="37" borderId="13" xfId="55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70" fontId="6" fillId="0" borderId="40" xfId="0" applyNumberFormat="1" applyFont="1" applyBorder="1" applyAlignment="1">
      <alignment horizontal="right" vertical="center"/>
    </xf>
    <xf numFmtId="10" fontId="6" fillId="37" borderId="14" xfId="55" applyNumberFormat="1" applyFont="1" applyFill="1" applyBorder="1" applyAlignment="1">
      <alignment horizontal="right" vertical="center"/>
    </xf>
    <xf numFmtId="9" fontId="6" fillId="33" borderId="14" xfId="55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vertical="center"/>
    </xf>
    <xf numFmtId="0" fontId="59" fillId="0" borderId="18" xfId="0" applyFont="1" applyBorder="1" applyAlignment="1">
      <alignment/>
    </xf>
    <xf numFmtId="0" fontId="52" fillId="0" borderId="41" xfId="0" applyFont="1" applyBorder="1" applyAlignment="1">
      <alignment/>
    </xf>
    <xf numFmtId="195" fontId="52" fillId="0" borderId="41" xfId="0" applyNumberFormat="1" applyFont="1" applyBorder="1" applyAlignment="1">
      <alignment/>
    </xf>
    <xf numFmtId="0" fontId="52" fillId="0" borderId="42" xfId="0" applyFont="1" applyBorder="1" applyAlignment="1">
      <alignment/>
    </xf>
    <xf numFmtId="10" fontId="6" fillId="38" borderId="14" xfId="55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vertical="center"/>
    </xf>
    <xf numFmtId="196" fontId="60" fillId="0" borderId="13" xfId="0" applyNumberFormat="1" applyFont="1" applyBorder="1" applyAlignment="1">
      <alignment/>
    </xf>
    <xf numFmtId="0" fontId="60" fillId="0" borderId="14" xfId="0" applyFont="1" applyBorder="1" applyAlignment="1">
      <alignment/>
    </xf>
    <xf numFmtId="43" fontId="52" fillId="0" borderId="41" xfId="0" applyNumberFormat="1" applyFont="1" applyBorder="1" applyAlignment="1">
      <alignment/>
    </xf>
    <xf numFmtId="206" fontId="6" fillId="0" borderId="14" xfId="0" applyNumberFormat="1" applyFont="1" applyBorder="1" applyAlignment="1">
      <alignment horizontal="right" vertical="center"/>
    </xf>
    <xf numFmtId="196" fontId="60" fillId="0" borderId="14" xfId="0" applyNumberFormat="1" applyFont="1" applyBorder="1" applyAlignment="1">
      <alignment/>
    </xf>
    <xf numFmtId="0" fontId="60" fillId="0" borderId="11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17" xfId="0" applyFont="1" applyBorder="1" applyAlignment="1">
      <alignment/>
    </xf>
    <xf numFmtId="206" fontId="6" fillId="0" borderId="14" xfId="0" applyNumberFormat="1" applyFont="1" applyBorder="1" applyAlignment="1">
      <alignment vertical="center"/>
    </xf>
    <xf numFmtId="196" fontId="59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93" fillId="0" borderId="0" xfId="0" applyFont="1" applyAlignment="1">
      <alignment horizontal="right"/>
    </xf>
    <xf numFmtId="0" fontId="93" fillId="0" borderId="0" xfId="0" applyFont="1" applyAlignment="1">
      <alignment/>
    </xf>
    <xf numFmtId="43" fontId="25" fillId="0" borderId="0" xfId="49" applyFont="1" applyFill="1" applyBorder="1" applyAlignment="1">
      <alignment horizontal="center" vertical="distributed"/>
    </xf>
    <xf numFmtId="0" fontId="25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distributed"/>
    </xf>
    <xf numFmtId="10" fontId="0" fillId="0" borderId="0" xfId="55" applyNumberFormat="1" applyFont="1" applyAlignment="1">
      <alignment/>
    </xf>
    <xf numFmtId="43" fontId="25" fillId="0" borderId="0" xfId="49" applyFont="1" applyFill="1" applyBorder="1" applyAlignment="1">
      <alignment/>
    </xf>
    <xf numFmtId="43" fontId="25" fillId="0" borderId="0" xfId="0" applyNumberFormat="1" applyFont="1" applyFill="1" applyBorder="1" applyAlignment="1">
      <alignment/>
    </xf>
    <xf numFmtId="171" fontId="25" fillId="0" borderId="0" xfId="0" applyNumberFormat="1" applyFont="1" applyFill="1" applyBorder="1" applyAlignment="1">
      <alignment/>
    </xf>
    <xf numFmtId="10" fontId="26" fillId="0" borderId="0" xfId="55" applyNumberFormat="1" applyFont="1" applyFill="1" applyBorder="1" applyAlignment="1">
      <alignment/>
    </xf>
    <xf numFmtId="43" fontId="0" fillId="0" borderId="0" xfId="49" applyFont="1" applyAlignment="1">
      <alignment/>
    </xf>
    <xf numFmtId="2" fontId="5" fillId="33" borderId="43" xfId="0" applyNumberFormat="1" applyFont="1" applyFill="1" applyBorder="1" applyAlignment="1">
      <alignment horizontal="center" vertical="distributed"/>
    </xf>
    <xf numFmtId="0" fontId="5" fillId="0" borderId="26" xfId="0" applyFont="1" applyBorder="1" applyAlignment="1">
      <alignment horizontal="center" vertical="center" wrapText="1"/>
    </xf>
    <xf numFmtId="2" fontId="5" fillId="33" borderId="44" xfId="0" applyNumberFormat="1" applyFont="1" applyFill="1" applyBorder="1" applyAlignment="1">
      <alignment horizontal="center" vertical="distributed"/>
    </xf>
    <xf numFmtId="2" fontId="5" fillId="33" borderId="45" xfId="0" applyNumberFormat="1" applyFont="1" applyFill="1" applyBorder="1" applyAlignment="1">
      <alignment horizontal="center" vertical="distributed"/>
    </xf>
    <xf numFmtId="10" fontId="6" fillId="33" borderId="14" xfId="0" applyNumberFormat="1" applyFont="1" applyFill="1" applyBorder="1" applyAlignment="1">
      <alignment vertical="center"/>
    </xf>
    <xf numFmtId="10" fontId="6" fillId="34" borderId="20" xfId="0" applyNumberFormat="1" applyFont="1" applyFill="1" applyBorder="1" applyAlignment="1">
      <alignment vertical="center"/>
    </xf>
    <xf numFmtId="43" fontId="6" fillId="33" borderId="14" xfId="49" applyNumberFormat="1" applyFont="1" applyFill="1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10" fontId="6" fillId="34" borderId="46" xfId="55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5" fillId="0" borderId="0" xfId="0" applyNumberFormat="1" applyFont="1" applyAlignment="1">
      <alignment horizontal="center" vertical="center"/>
    </xf>
    <xf numFmtId="185" fontId="5" fillId="0" borderId="0" xfId="49" applyNumberFormat="1" applyFont="1" applyFill="1" applyBorder="1" applyAlignment="1">
      <alignment horizontal="center"/>
    </xf>
    <xf numFmtId="167" fontId="5" fillId="0" borderId="0" xfId="55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7" fontId="5" fillId="0" borderId="0" xfId="55" applyNumberFormat="1" applyFont="1" applyFill="1" applyBorder="1" applyAlignment="1">
      <alignment horizontal="center" vertical="center"/>
    </xf>
    <xf numFmtId="167" fontId="5" fillId="0" borderId="0" xfId="55" applyNumberFormat="1" applyFont="1" applyFill="1" applyBorder="1" applyAlignment="1">
      <alignment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5" fillId="0" borderId="0" xfId="49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55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55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3" fontId="5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43" fontId="5" fillId="0" borderId="0" xfId="49" applyFont="1" applyFill="1" applyBorder="1" applyAlignment="1">
      <alignment horizontal="center" vertical="center"/>
    </xf>
    <xf numFmtId="10" fontId="5" fillId="0" borderId="0" xfId="5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10" fontId="5" fillId="0" borderId="0" xfId="55" applyNumberFormat="1" applyFont="1" applyFill="1" applyBorder="1" applyAlignment="1">
      <alignment horizontal="center" vertical="center" wrapText="1"/>
    </xf>
    <xf numFmtId="43" fontId="4" fillId="0" borderId="11" xfId="49" applyFont="1" applyFill="1" applyBorder="1" applyAlignment="1">
      <alignment horizontal="center" vertical="center" wrapText="1"/>
    </xf>
    <xf numFmtId="43" fontId="4" fillId="0" borderId="11" xfId="49" applyFont="1" applyBorder="1" applyAlignment="1">
      <alignment horizontal="center" vertical="center" wrapText="1"/>
    </xf>
    <xf numFmtId="167" fontId="4" fillId="0" borderId="14" xfId="55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2" fontId="5" fillId="0" borderId="33" xfId="49" applyNumberFormat="1" applyFont="1" applyFill="1" applyBorder="1" applyAlignment="1">
      <alignment horizontal="center" vertical="center" wrapText="1"/>
    </xf>
    <xf numFmtId="167" fontId="5" fillId="0" borderId="33" xfId="55" applyNumberFormat="1" applyFont="1" applyFill="1" applyBorder="1" applyAlignment="1">
      <alignment horizontal="center" vertical="center" wrapText="1"/>
    </xf>
    <xf numFmtId="185" fontId="5" fillId="0" borderId="33" xfId="0" applyNumberFormat="1" applyFont="1" applyFill="1" applyBorder="1" applyAlignment="1">
      <alignment horizontal="center" vertical="center" wrapText="1"/>
    </xf>
    <xf numFmtId="167" fontId="5" fillId="0" borderId="0" xfId="55" applyNumberFormat="1" applyFont="1" applyAlignment="1">
      <alignment horizontal="center" vertical="center" wrapText="1"/>
    </xf>
    <xf numFmtId="10" fontId="5" fillId="34" borderId="33" xfId="55" applyNumberFormat="1" applyFont="1" applyFill="1" applyBorder="1" applyAlignment="1">
      <alignment horizontal="center" vertical="center" wrapText="1"/>
    </xf>
    <xf numFmtId="10" fontId="5" fillId="0" borderId="12" xfId="55" applyNumberFormat="1" applyFont="1" applyBorder="1" applyAlignment="1">
      <alignment horizontal="center" vertical="center" wrapText="1"/>
    </xf>
    <xf numFmtId="164" fontId="5" fillId="0" borderId="0" xfId="49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4" fillId="0" borderId="33" xfId="49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3" fontId="48" fillId="0" borderId="0" xfId="49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3" fontId="5" fillId="0" borderId="14" xfId="49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9" fontId="5" fillId="0" borderId="0" xfId="55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8" fontId="5" fillId="0" borderId="0" xfId="49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43" fontId="4" fillId="0" borderId="0" xfId="49" applyFont="1" applyAlignment="1">
      <alignment horizontal="center" vertical="center" wrapText="1"/>
    </xf>
    <xf numFmtId="43" fontId="5" fillId="34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174" fontId="5" fillId="0" borderId="0" xfId="55" applyNumberFormat="1" applyFont="1" applyAlignment="1">
      <alignment horizontal="center" vertical="center"/>
    </xf>
    <xf numFmtId="10" fontId="5" fillId="0" borderId="0" xfId="55" applyNumberFormat="1" applyFont="1" applyAlignment="1">
      <alignment horizontal="center" vertical="center"/>
    </xf>
    <xf numFmtId="10" fontId="45" fillId="0" borderId="0" xfId="55" applyNumberFormat="1" applyFont="1" applyFill="1" applyBorder="1" applyAlignment="1">
      <alignment horizontal="center" vertical="center"/>
    </xf>
    <xf numFmtId="164" fontId="5" fillId="0" borderId="0" xfId="49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9" fontId="5" fillId="0" borderId="0" xfId="55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85" fontId="5" fillId="0" borderId="14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3" fontId="52" fillId="0" borderId="0" xfId="49" applyFont="1" applyAlignment="1">
      <alignment horizontal="center" vertical="center"/>
    </xf>
    <xf numFmtId="43" fontId="52" fillId="0" borderId="0" xfId="0" applyNumberFormat="1" applyFont="1" applyAlignment="1">
      <alignment horizontal="center" vertical="center"/>
    </xf>
    <xf numFmtId="10" fontId="6" fillId="0" borderId="0" xfId="55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43" fontId="52" fillId="0" borderId="0" xfId="49" applyFont="1" applyAlignment="1">
      <alignment horizontal="center"/>
    </xf>
    <xf numFmtId="43" fontId="52" fillId="0" borderId="0" xfId="0" applyNumberFormat="1" applyFont="1" applyAlignment="1">
      <alignment horizontal="center"/>
    </xf>
    <xf numFmtId="0" fontId="59" fillId="0" borderId="18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195" fontId="52" fillId="0" borderId="41" xfId="0" applyNumberFormat="1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196" fontId="60" fillId="0" borderId="13" xfId="0" applyNumberFormat="1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43" fontId="52" fillId="0" borderId="41" xfId="0" applyNumberFormat="1" applyFont="1" applyBorder="1" applyAlignment="1">
      <alignment vertical="center"/>
    </xf>
    <xf numFmtId="196" fontId="60" fillId="0" borderId="14" xfId="0" applyNumberFormat="1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196" fontId="59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6" fillId="0" borderId="0" xfId="0" applyFont="1" applyBorder="1" applyAlignment="1">
      <alignment vertical="distributed"/>
    </xf>
    <xf numFmtId="9" fontId="5" fillId="38" borderId="14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198" fontId="5" fillId="0" borderId="14" xfId="49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0" fontId="5" fillId="36" borderId="14" xfId="55" applyNumberFormat="1" applyFont="1" applyFill="1" applyBorder="1" applyAlignment="1">
      <alignment horizontal="center"/>
    </xf>
    <xf numFmtId="43" fontId="5" fillId="0" borderId="0" xfId="49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9" fontId="5" fillId="0" borderId="0" xfId="49" applyNumberFormat="1" applyFont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0" fontId="8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0" fontId="4" fillId="0" borderId="14" xfId="55" applyNumberFormat="1" applyFont="1" applyBorder="1" applyAlignment="1">
      <alignment horizontal="center"/>
    </xf>
    <xf numFmtId="43" fontId="4" fillId="0" borderId="14" xfId="49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0" fontId="4" fillId="39" borderId="14" xfId="55" applyNumberFormat="1" applyFont="1" applyFill="1" applyBorder="1" applyAlignment="1">
      <alignment/>
    </xf>
    <xf numFmtId="10" fontId="5" fillId="40" borderId="14" xfId="55" applyNumberFormat="1" applyFont="1" applyFill="1" applyBorder="1" applyAlignment="1">
      <alignment horizontal="center"/>
    </xf>
    <xf numFmtId="10" fontId="5" fillId="41" borderId="14" xfId="55" applyNumberFormat="1" applyFont="1" applyFill="1" applyBorder="1" applyAlignment="1">
      <alignment horizontal="center"/>
    </xf>
    <xf numFmtId="1" fontId="5" fillId="36" borderId="14" xfId="0" applyNumberFormat="1" applyFont="1" applyFill="1" applyBorder="1" applyAlignment="1">
      <alignment horizontal="center"/>
    </xf>
    <xf numFmtId="1" fontId="5" fillId="40" borderId="14" xfId="0" applyNumberFormat="1" applyFont="1" applyFill="1" applyBorder="1" applyAlignment="1">
      <alignment horizontal="center"/>
    </xf>
    <xf numFmtId="1" fontId="5" fillId="41" borderId="14" xfId="0" applyNumberFormat="1" applyFont="1" applyFill="1" applyBorder="1" applyAlignment="1">
      <alignment horizontal="center"/>
    </xf>
    <xf numFmtId="10" fontId="46" fillId="0" borderId="0" xfId="55" applyNumberFormat="1" applyFont="1" applyFill="1" applyBorder="1" applyAlignment="1">
      <alignment horizontal="right"/>
    </xf>
    <xf numFmtId="0" fontId="96" fillId="0" borderId="0" xfId="0" applyFont="1" applyBorder="1" applyAlignment="1">
      <alignment horizontal="right" vertical="center"/>
    </xf>
    <xf numFmtId="0" fontId="96" fillId="0" borderId="0" xfId="0" applyFont="1" applyBorder="1" applyAlignment="1">
      <alignment horizontal="right"/>
    </xf>
    <xf numFmtId="49" fontId="97" fillId="0" borderId="0" xfId="49" applyNumberFormat="1" applyFont="1" applyBorder="1" applyAlignment="1">
      <alignment horizontal="right"/>
    </xf>
    <xf numFmtId="1" fontId="97" fillId="0" borderId="0" xfId="0" applyNumberFormat="1" applyFont="1" applyFill="1" applyBorder="1" applyAlignment="1">
      <alignment horizontal="center"/>
    </xf>
    <xf numFmtId="0" fontId="96" fillId="42" borderId="0" xfId="0" applyFont="1" applyFill="1" applyBorder="1" applyAlignment="1">
      <alignment horizontal="center" vertical="center" wrapText="1"/>
    </xf>
    <xf numFmtId="0" fontId="96" fillId="42" borderId="0" xfId="0" applyFont="1" applyFill="1" applyBorder="1" applyAlignment="1">
      <alignment/>
    </xf>
    <xf numFmtId="0" fontId="96" fillId="42" borderId="0" xfId="0" applyFont="1" applyFill="1" applyBorder="1" applyAlignment="1">
      <alignment horizontal="right"/>
    </xf>
    <xf numFmtId="1" fontId="96" fillId="42" borderId="0" xfId="0" applyNumberFormat="1" applyFont="1" applyFill="1" applyBorder="1" applyAlignment="1">
      <alignment horizontal="center" vertical="distributed"/>
    </xf>
    <xf numFmtId="0" fontId="96" fillId="43" borderId="0" xfId="0" applyFont="1" applyFill="1" applyBorder="1" applyAlignment="1">
      <alignment horizontal="center" vertical="center" wrapText="1"/>
    </xf>
    <xf numFmtId="0" fontId="96" fillId="43" borderId="0" xfId="0" applyFont="1" applyFill="1" applyBorder="1" applyAlignment="1">
      <alignment/>
    </xf>
    <xf numFmtId="0" fontId="96" fillId="43" borderId="0" xfId="0" applyFont="1" applyFill="1" applyBorder="1" applyAlignment="1">
      <alignment horizontal="right"/>
    </xf>
    <xf numFmtId="1" fontId="96" fillId="43" borderId="0" xfId="0" applyNumberFormat="1" applyFont="1" applyFill="1" applyBorder="1" applyAlignment="1">
      <alignment horizontal="center" vertical="distributed"/>
    </xf>
    <xf numFmtId="164" fontId="96" fillId="44" borderId="0" xfId="0" applyNumberFormat="1" applyFont="1" applyFill="1" applyBorder="1" applyAlignment="1">
      <alignment horizontal="center" vertical="center" wrapText="1"/>
    </xf>
    <xf numFmtId="43" fontId="98" fillId="44" borderId="0" xfId="49" applyFont="1" applyFill="1" applyBorder="1" applyAlignment="1">
      <alignment/>
    </xf>
    <xf numFmtId="43" fontId="96" fillId="44" borderId="0" xfId="49" applyFont="1" applyFill="1" applyBorder="1" applyAlignment="1">
      <alignment horizontal="right"/>
    </xf>
    <xf numFmtId="1" fontId="96" fillId="44" borderId="0" xfId="0" applyNumberFormat="1" applyFont="1" applyFill="1" applyBorder="1" applyAlignment="1">
      <alignment horizontal="center" vertical="distributed"/>
    </xf>
    <xf numFmtId="49" fontId="96" fillId="0" borderId="0" xfId="0" applyNumberFormat="1" applyFont="1" applyFill="1" applyBorder="1" applyAlignment="1">
      <alignment horizontal="center" vertical="center" wrapText="1"/>
    </xf>
    <xf numFmtId="49" fontId="96" fillId="0" borderId="0" xfId="0" applyNumberFormat="1" applyFont="1" applyFill="1" applyBorder="1" applyAlignment="1">
      <alignment/>
    </xf>
    <xf numFmtId="1" fontId="96" fillId="0" borderId="0" xfId="0" applyNumberFormat="1" applyFont="1" applyBorder="1" applyAlignment="1">
      <alignment horizontal="center"/>
    </xf>
    <xf numFmtId="0" fontId="96" fillId="0" borderId="0" xfId="0" applyFont="1" applyFill="1" applyBorder="1" applyAlignment="1">
      <alignment horizontal="right" vertical="center"/>
    </xf>
    <xf numFmtId="49" fontId="96" fillId="0" borderId="0" xfId="49" applyNumberFormat="1" applyFont="1" applyBorder="1" applyAlignment="1">
      <alignment horizontal="right"/>
    </xf>
    <xf numFmtId="1" fontId="96" fillId="0" borderId="0" xfId="0" applyNumberFormat="1" applyFont="1" applyFill="1" applyBorder="1" applyAlignment="1">
      <alignment horizontal="center"/>
    </xf>
    <xf numFmtId="0" fontId="96" fillId="41" borderId="0" xfId="0" applyFont="1" applyFill="1" applyBorder="1" applyAlignment="1">
      <alignment horizontal="center" vertical="center" wrapText="1"/>
    </xf>
    <xf numFmtId="0" fontId="96" fillId="41" borderId="0" xfId="0" applyFont="1" applyFill="1" applyBorder="1" applyAlignment="1">
      <alignment/>
    </xf>
    <xf numFmtId="0" fontId="96" fillId="41" borderId="0" xfId="0" applyFont="1" applyFill="1" applyBorder="1" applyAlignment="1">
      <alignment horizontal="right"/>
    </xf>
    <xf numFmtId="1" fontId="96" fillId="41" borderId="0" xfId="0" applyNumberFormat="1" applyFont="1" applyFill="1" applyBorder="1" applyAlignment="1">
      <alignment horizontal="center" vertical="distributed"/>
    </xf>
    <xf numFmtId="0" fontId="6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2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5" fillId="0" borderId="14" xfId="55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5" fillId="0" borderId="14" xfId="5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0" fontId="5" fillId="0" borderId="42" xfId="0" applyNumberFormat="1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10" fontId="5" fillId="0" borderId="31" xfId="55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0" fontId="5" fillId="0" borderId="0" xfId="55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/>
    </xf>
    <xf numFmtId="10" fontId="5" fillId="0" borderId="14" xfId="55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0" fontId="5" fillId="0" borderId="14" xfId="55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41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5" fillId="0" borderId="14" xfId="4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1" fontId="5" fillId="0" borderId="42" xfId="0" applyNumberFormat="1" applyFont="1" applyFill="1" applyBorder="1" applyAlignment="1">
      <alignment horizontal="center"/>
    </xf>
    <xf numFmtId="43" fontId="48" fillId="0" borderId="13" xfId="49" applyFont="1" applyFill="1" applyBorder="1" applyAlignment="1">
      <alignment/>
    </xf>
    <xf numFmtId="0" fontId="5" fillId="0" borderId="31" xfId="0" applyFont="1" applyFill="1" applyBorder="1" applyAlignment="1">
      <alignment/>
    </xf>
    <xf numFmtId="2" fontId="5" fillId="0" borderId="31" xfId="0" applyNumberFormat="1" applyFont="1" applyFill="1" applyBorder="1" applyAlignment="1">
      <alignment horizontal="center"/>
    </xf>
    <xf numFmtId="10" fontId="5" fillId="0" borderId="31" xfId="55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distributed"/>
    </xf>
    <xf numFmtId="10" fontId="5" fillId="33" borderId="26" xfId="55" applyNumberFormat="1" applyFont="1" applyFill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16" fillId="0" borderId="1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distributed"/>
    </xf>
    <xf numFmtId="0" fontId="16" fillId="0" borderId="27" xfId="0" applyFont="1" applyBorder="1" applyAlignment="1">
      <alignment horizontal="center" vertical="distributed"/>
    </xf>
    <xf numFmtId="0" fontId="16" fillId="0" borderId="26" xfId="0" applyFont="1" applyBorder="1" applyAlignment="1">
      <alignment horizontal="center" vertical="distributed"/>
    </xf>
    <xf numFmtId="0" fontId="16" fillId="0" borderId="16" xfId="0" applyFont="1" applyBorder="1" applyAlignment="1">
      <alignment horizontal="left" vertical="distributed"/>
    </xf>
    <xf numFmtId="0" fontId="16" fillId="0" borderId="27" xfId="0" applyFont="1" applyBorder="1" applyAlignment="1">
      <alignment horizontal="left" vertical="distributed"/>
    </xf>
    <xf numFmtId="0" fontId="16" fillId="0" borderId="26" xfId="0" applyFont="1" applyBorder="1" applyAlignment="1">
      <alignment horizontal="left" vertical="distributed"/>
    </xf>
    <xf numFmtId="0" fontId="45" fillId="0" borderId="13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distributed"/>
    </xf>
    <xf numFmtId="0" fontId="7" fillId="0" borderId="48" xfId="0" applyFont="1" applyBorder="1" applyAlignment="1">
      <alignment horizontal="center" vertical="distributed"/>
    </xf>
    <xf numFmtId="0" fontId="7" fillId="0" borderId="49" xfId="0" applyFont="1" applyBorder="1" applyAlignment="1">
      <alignment horizontal="center" vertical="distributed"/>
    </xf>
    <xf numFmtId="0" fontId="16" fillId="0" borderId="16" xfId="0" applyFont="1" applyBorder="1" applyAlignment="1">
      <alignment horizontal="left" vertical="distributed"/>
    </xf>
    <xf numFmtId="0" fontId="16" fillId="0" borderId="27" xfId="0" applyFont="1" applyBorder="1" applyAlignment="1">
      <alignment horizontal="left" vertical="distributed"/>
    </xf>
    <xf numFmtId="0" fontId="16" fillId="0" borderId="26" xfId="0" applyFont="1" applyBorder="1" applyAlignment="1">
      <alignment horizontal="left" vertical="distributed"/>
    </xf>
    <xf numFmtId="0" fontId="18" fillId="0" borderId="50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69" fillId="0" borderId="53" xfId="0" applyFont="1" applyBorder="1" applyAlignment="1">
      <alignment horizontal="left" vertical="center"/>
    </xf>
    <xf numFmtId="0" fontId="69" fillId="0" borderId="54" xfId="0" applyFont="1" applyBorder="1" applyAlignment="1">
      <alignment horizontal="left" vertical="center"/>
    </xf>
    <xf numFmtId="0" fontId="69" fillId="0" borderId="55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El fármaco sólo perjudica a "1 paciente", sobre los demás no ejerce ningún perjuicio.</a:t>
            </a:r>
          </a:p>
        </c:rich>
      </c:tx>
      <c:layout>
        <c:manualLayout>
          <c:xMode val="factor"/>
          <c:yMode val="factor"/>
          <c:x val="-0.001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36625"/>
          <c:w val="0.882"/>
          <c:h val="0.089"/>
        </c:manualLayout>
      </c:layout>
      <c:barChart>
        <c:barDir val="col"/>
        <c:grouping val="stacked"/>
        <c:varyColors val="0"/>
        <c:ser>
          <c:idx val="0"/>
          <c:order val="0"/>
          <c:tx>
            <c:v>Permancecerán sanos sin tomar el fármaco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MA'!#REF!</c:f>
            </c:numRef>
          </c:val>
        </c:ser>
        <c:ser>
          <c:idx val="1"/>
          <c:order val="1"/>
          <c:tx>
            <c:v>Enfermarán por tomar el fármaco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MA'!#REF!</c:f>
            </c:numRef>
          </c:val>
        </c:ser>
        <c:ser>
          <c:idx val="2"/>
          <c:order val="2"/>
          <c:tx>
            <c:v>Enfermarán incluso sin tomar el fármaco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MA'!#REF!</c:f>
            </c:numRef>
          </c:val>
        </c:ser>
        <c:overlap val="100"/>
        <c:axId val="37411949"/>
        <c:axId val="1163222"/>
      </c:barChart>
      <c:catAx>
        <c:axId val="3741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NND: el 1 es el la estimación puntual. El 2 y el 3 son los límites del IC 95%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Nº de pacientes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741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194"/>
          <c:w val="0.055"/>
          <c:h val="0.2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El fármaco sólo perjudica a "1 paciente", sobre los demás no ejerce ningún perjuicio.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Permancecerán sanos sin tomar el fármaco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45.63631606488752</c:v>
              </c:pt>
              <c:pt idx="1">
                <c:v>31.540637307554604</c:v>
              </c:pt>
              <c:pt idx="2">
                <c:v>97.71201814058963</c:v>
              </c:pt>
            </c:numLit>
          </c:val>
        </c:ser>
        <c:ser>
          <c:idx val="1"/>
          <c:order val="1"/>
          <c:tx>
            <c:v>Enfermarán por tomar el fármaco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  <c:ser>
          <c:idx val="2"/>
          <c:order val="2"/>
          <c:tx>
            <c:v>Enfermarán incluso sin tomar el fármaco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7.692307692307696</c:v>
              </c:pt>
              <c:pt idx="1">
                <c:v>5.2631578947368425</c:v>
              </c:pt>
              <c:pt idx="2">
                <c:v>16.666666666666675</c:v>
              </c:pt>
            </c:numLit>
          </c:val>
        </c:ser>
        <c:overlap val="100"/>
        <c:axId val="10468999"/>
        <c:axId val="27112128"/>
      </c:barChart>
      <c:catAx>
        <c:axId val="1046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NND: el 1 es el la estimación puntual. El 2 y el 3 son los límites del IC 95%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Nº de pacientes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10468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" name="Line 48"/>
        <xdr:cNvSpPr>
          <a:spLocks/>
        </xdr:cNvSpPr>
      </xdr:nvSpPr>
      <xdr:spPr>
        <a:xfrm>
          <a:off x="3057525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" name="Line 48"/>
        <xdr:cNvSpPr>
          <a:spLocks/>
        </xdr:cNvSpPr>
      </xdr:nvSpPr>
      <xdr:spPr>
        <a:xfrm>
          <a:off x="3057525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209550</xdr:rowOff>
    </xdr:from>
    <xdr:to>
      <xdr:col>25</xdr:col>
      <xdr:colOff>581025</xdr:colOff>
      <xdr:row>16</xdr:row>
      <xdr:rowOff>104775</xdr:rowOff>
    </xdr:to>
    <xdr:graphicFrame>
      <xdr:nvGraphicFramePr>
        <xdr:cNvPr id="5" name="Gráfico 14"/>
        <xdr:cNvGraphicFramePr/>
      </xdr:nvGraphicFramePr>
      <xdr:xfrm>
        <a:off x="17506950" y="1400175"/>
        <a:ext cx="649605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180975</xdr:colOff>
      <xdr:row>7</xdr:row>
      <xdr:rowOff>209550</xdr:rowOff>
    </xdr:from>
    <xdr:to>
      <xdr:col>25</xdr:col>
      <xdr:colOff>581025</xdr:colOff>
      <xdr:row>18</xdr:row>
      <xdr:rowOff>104775</xdr:rowOff>
    </xdr:to>
    <xdr:graphicFrame>
      <xdr:nvGraphicFramePr>
        <xdr:cNvPr id="6" name="Gráfico 14"/>
        <xdr:cNvGraphicFramePr/>
      </xdr:nvGraphicFramePr>
      <xdr:xfrm>
        <a:off x="17506950" y="1781175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17</xdr:row>
      <xdr:rowOff>123825</xdr:rowOff>
    </xdr:from>
    <xdr:to>
      <xdr:col>2</xdr:col>
      <xdr:colOff>895350</xdr:colOff>
      <xdr:row>24</xdr:row>
      <xdr:rowOff>28575</xdr:rowOff>
    </xdr:to>
    <xdr:sp>
      <xdr:nvSpPr>
        <xdr:cNvPr id="1" name="Line 4"/>
        <xdr:cNvSpPr>
          <a:spLocks/>
        </xdr:cNvSpPr>
      </xdr:nvSpPr>
      <xdr:spPr>
        <a:xfrm flipV="1">
          <a:off x="1562100" y="2905125"/>
          <a:ext cx="1133475" cy="1285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18</xdr:row>
      <xdr:rowOff>190500</xdr:rowOff>
    </xdr:from>
    <xdr:to>
      <xdr:col>3</xdr:col>
      <xdr:colOff>476250</xdr:colOff>
      <xdr:row>24</xdr:row>
      <xdr:rowOff>57150</xdr:rowOff>
    </xdr:to>
    <xdr:sp>
      <xdr:nvSpPr>
        <xdr:cNvPr id="2" name="Line 4"/>
        <xdr:cNvSpPr>
          <a:spLocks/>
        </xdr:cNvSpPr>
      </xdr:nvSpPr>
      <xdr:spPr>
        <a:xfrm flipH="1" flipV="1">
          <a:off x="2924175" y="3171825"/>
          <a:ext cx="504825" cy="10477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17</xdr:row>
      <xdr:rowOff>104775</xdr:rowOff>
    </xdr:from>
    <xdr:to>
      <xdr:col>2</xdr:col>
      <xdr:colOff>819150</xdr:colOff>
      <xdr:row>24</xdr:row>
      <xdr:rowOff>19050</xdr:rowOff>
    </xdr:to>
    <xdr:sp>
      <xdr:nvSpPr>
        <xdr:cNvPr id="1" name="Line 4"/>
        <xdr:cNvSpPr>
          <a:spLocks/>
        </xdr:cNvSpPr>
      </xdr:nvSpPr>
      <xdr:spPr>
        <a:xfrm flipV="1">
          <a:off x="1552575" y="2905125"/>
          <a:ext cx="1181100" cy="11906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19</xdr:row>
      <xdr:rowOff>9525</xdr:rowOff>
    </xdr:from>
    <xdr:to>
      <xdr:col>3</xdr:col>
      <xdr:colOff>514350</xdr:colOff>
      <xdr:row>24</xdr:row>
      <xdr:rowOff>38100</xdr:rowOff>
    </xdr:to>
    <xdr:sp>
      <xdr:nvSpPr>
        <xdr:cNvPr id="2" name="Line 4"/>
        <xdr:cNvSpPr>
          <a:spLocks/>
        </xdr:cNvSpPr>
      </xdr:nvSpPr>
      <xdr:spPr>
        <a:xfrm flipH="1" flipV="1">
          <a:off x="3048000" y="3209925"/>
          <a:ext cx="533400" cy="904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28125" style="4" customWidth="1"/>
    <col min="2" max="2" width="21.7109375" style="4" customWidth="1"/>
    <col min="3" max="3" width="22.00390625" style="4" customWidth="1"/>
    <col min="4" max="4" width="17.140625" style="4" customWidth="1"/>
    <col min="5" max="5" width="21.421875" style="4" customWidth="1"/>
    <col min="6" max="6" width="19.57421875" style="4" customWidth="1"/>
    <col min="7" max="7" width="14.140625" style="4" bestFit="1" customWidth="1"/>
    <col min="8" max="8" width="8.421875" style="4" customWidth="1"/>
    <col min="9" max="9" width="14.421875" style="4" bestFit="1" customWidth="1"/>
    <col min="10" max="10" width="4.421875" style="4" customWidth="1"/>
    <col min="11" max="11" width="14.421875" style="4" bestFit="1" customWidth="1"/>
    <col min="12" max="12" width="13.421875" style="4" customWidth="1"/>
    <col min="13" max="13" width="14.7109375" style="4" bestFit="1" customWidth="1"/>
    <col min="14" max="14" width="14.28125" style="16" bestFit="1" customWidth="1"/>
    <col min="15" max="15" width="14.28125" style="16" customWidth="1"/>
    <col min="16" max="16" width="14.00390625" style="4" bestFit="1" customWidth="1"/>
    <col min="17" max="17" width="11.57421875" style="4" bestFit="1" customWidth="1"/>
    <col min="18" max="18" width="13.8515625" style="4" bestFit="1" customWidth="1"/>
    <col min="19" max="19" width="11.421875" style="4" customWidth="1"/>
    <col min="20" max="21" width="11.421875" style="16" customWidth="1"/>
    <col min="22" max="16384" width="11.421875" style="4" customWidth="1"/>
  </cols>
  <sheetData>
    <row r="1" spans="1:28" s="11" customFormat="1" ht="8.25" customHeight="1" thickBot="1">
      <c r="A1" s="1"/>
      <c r="B1" s="2"/>
      <c r="C1" s="1"/>
      <c r="D1" s="3"/>
      <c r="E1" s="4"/>
      <c r="F1" s="4"/>
      <c r="G1" s="5"/>
      <c r="H1" s="5"/>
      <c r="I1" s="5"/>
      <c r="J1" s="5"/>
      <c r="K1" s="6"/>
      <c r="L1" s="7"/>
      <c r="M1" s="7"/>
      <c r="N1" s="8"/>
      <c r="O1" s="8"/>
      <c r="P1" s="9"/>
      <c r="Q1" s="8"/>
      <c r="R1" s="8"/>
      <c r="S1" s="8"/>
      <c r="T1" s="10"/>
      <c r="U1" s="10"/>
      <c r="V1" s="10"/>
      <c r="W1" s="10"/>
      <c r="X1" s="10"/>
      <c r="Y1" s="10"/>
      <c r="Z1" s="10"/>
      <c r="AA1" s="10"/>
      <c r="AB1" s="10"/>
    </row>
    <row r="2" spans="1:29" ht="24.75" customHeight="1" thickBot="1">
      <c r="A2" s="566" t="s">
        <v>113</v>
      </c>
      <c r="B2" s="567"/>
      <c r="C2" s="567"/>
      <c r="D2" s="567"/>
      <c r="E2" s="568"/>
      <c r="F2" s="436"/>
      <c r="G2" s="404" t="s">
        <v>169</v>
      </c>
      <c r="H2" s="437">
        <v>0.95</v>
      </c>
      <c r="I2" s="436"/>
      <c r="J2" s="12"/>
      <c r="K2" s="6"/>
      <c r="L2" s="13"/>
      <c r="M2" s="13"/>
      <c r="N2" s="14"/>
      <c r="O2" s="14"/>
      <c r="P2" s="15"/>
      <c r="Q2" s="14"/>
      <c r="R2" s="14"/>
      <c r="S2" s="14"/>
      <c r="T2" s="14"/>
      <c r="U2" s="14"/>
      <c r="V2" s="14"/>
      <c r="W2" s="16"/>
      <c r="X2" s="16"/>
      <c r="Y2" s="16"/>
      <c r="Z2" s="16"/>
      <c r="AA2" s="16"/>
      <c r="AB2" s="16"/>
      <c r="AC2" s="16"/>
    </row>
    <row r="3" spans="1:29" ht="24.75" customHeight="1">
      <c r="A3" s="569" t="s">
        <v>170</v>
      </c>
      <c r="B3" s="570"/>
      <c r="C3" s="570"/>
      <c r="D3" s="570"/>
      <c r="E3" s="571"/>
      <c r="F3" s="438"/>
      <c r="G3" s="438"/>
      <c r="H3" s="438"/>
      <c r="I3" s="438"/>
      <c r="J3" s="12"/>
      <c r="K3" s="6"/>
      <c r="L3" s="13"/>
      <c r="M3" s="13"/>
      <c r="N3" s="14"/>
      <c r="O3" s="14"/>
      <c r="P3" s="15"/>
      <c r="Q3" s="14"/>
      <c r="R3" s="14"/>
      <c r="S3" s="14"/>
      <c r="T3" s="14"/>
      <c r="U3" s="14"/>
      <c r="V3" s="14"/>
      <c r="W3" s="16"/>
      <c r="X3" s="16"/>
      <c r="Y3" s="16"/>
      <c r="Z3" s="16"/>
      <c r="AA3" s="16"/>
      <c r="AB3" s="16"/>
      <c r="AC3" s="16"/>
    </row>
    <row r="4" spans="1:29" ht="12.75" customHeight="1">
      <c r="A4" s="114"/>
      <c r="B4" s="115"/>
      <c r="C4" s="7"/>
      <c r="D4" s="7"/>
      <c r="E4" s="17"/>
      <c r="F4" s="18"/>
      <c r="I4" s="438"/>
      <c r="J4" s="19"/>
      <c r="K4" s="20"/>
      <c r="N4" s="14"/>
      <c r="O4" s="14"/>
      <c r="P4" s="21"/>
      <c r="Q4" s="14"/>
      <c r="R4" s="14"/>
      <c r="S4" s="18"/>
      <c r="U4" s="22"/>
      <c r="V4" s="22"/>
      <c r="W4" s="16"/>
      <c r="X4" s="22"/>
      <c r="Y4" s="23"/>
      <c r="Z4" s="16"/>
      <c r="AA4" s="16"/>
      <c r="AB4" s="16"/>
      <c r="AC4" s="16"/>
    </row>
    <row r="5" spans="1:29" ht="12.75">
      <c r="A5" s="322" t="s">
        <v>84</v>
      </c>
      <c r="B5" s="141"/>
      <c r="C5" s="144" t="s">
        <v>19</v>
      </c>
      <c r="D5" s="144" t="s">
        <v>20</v>
      </c>
      <c r="E5" s="142"/>
      <c r="H5" s="339"/>
      <c r="I5" s="438"/>
      <c r="J5" s="339"/>
      <c r="K5" s="306"/>
      <c r="L5" s="306"/>
      <c r="M5" s="306"/>
      <c r="N5" s="14"/>
      <c r="O5" s="14"/>
      <c r="P5" s="14"/>
      <c r="Q5" s="14"/>
      <c r="R5" s="14"/>
      <c r="S5" s="18"/>
      <c r="U5" s="22"/>
      <c r="V5" s="22"/>
      <c r="W5" s="16"/>
      <c r="X5" s="22"/>
      <c r="Y5" s="23"/>
      <c r="Z5" s="16"/>
      <c r="AA5" s="16"/>
      <c r="AB5" s="16"/>
      <c r="AC5" s="16"/>
    </row>
    <row r="6" spans="1:29" ht="12.75">
      <c r="A6" s="111"/>
      <c r="B6" s="143"/>
      <c r="C6" s="185" t="s">
        <v>3</v>
      </c>
      <c r="D6" s="185" t="s">
        <v>2</v>
      </c>
      <c r="E6" s="186" t="s">
        <v>21</v>
      </c>
      <c r="H6" s="339"/>
      <c r="I6" s="438"/>
      <c r="J6" s="339"/>
      <c r="K6" s="306"/>
      <c r="L6" s="306"/>
      <c r="M6" s="306"/>
      <c r="N6" s="14"/>
      <c r="O6" s="14"/>
      <c r="P6" s="14"/>
      <c r="Q6" s="14"/>
      <c r="R6" s="14"/>
      <c r="S6" s="18"/>
      <c r="U6" s="22"/>
      <c r="V6" s="22"/>
      <c r="W6" s="16"/>
      <c r="X6" s="22"/>
      <c r="Y6" s="16"/>
      <c r="Z6" s="16"/>
      <c r="AA6" s="16"/>
      <c r="AB6" s="16"/>
      <c r="AC6" s="16"/>
    </row>
    <row r="7" spans="1:29" ht="12.75" customHeight="1">
      <c r="A7" s="111"/>
      <c r="B7" s="145" t="s">
        <v>119</v>
      </c>
      <c r="C7" s="190">
        <f>E7*8.3%</f>
        <v>83</v>
      </c>
      <c r="D7" s="191">
        <f>E7-C7</f>
        <v>917</v>
      </c>
      <c r="E7" s="192">
        <v>1000</v>
      </c>
      <c r="F7" s="339"/>
      <c r="G7" s="339"/>
      <c r="H7" s="339"/>
      <c r="I7" s="438"/>
      <c r="J7" s="339"/>
      <c r="K7" s="306"/>
      <c r="L7" s="306"/>
      <c r="M7" s="306"/>
      <c r="N7" s="14"/>
      <c r="O7" s="14"/>
      <c r="P7" s="14"/>
      <c r="Q7" s="14"/>
      <c r="R7" s="14"/>
      <c r="S7" s="18"/>
      <c r="U7" s="22"/>
      <c r="V7" s="22"/>
      <c r="W7" s="16"/>
      <c r="X7" s="22"/>
      <c r="Y7" s="16"/>
      <c r="Z7" s="16"/>
      <c r="AA7" s="16"/>
      <c r="AB7" s="16"/>
      <c r="AC7" s="16"/>
    </row>
    <row r="8" spans="1:29" ht="12.75" customHeight="1">
      <c r="A8" s="111"/>
      <c r="B8" s="145" t="s">
        <v>120</v>
      </c>
      <c r="C8" s="190">
        <v>135</v>
      </c>
      <c r="D8" s="191">
        <f>E8-C8</f>
        <v>865</v>
      </c>
      <c r="E8" s="192">
        <v>1000</v>
      </c>
      <c r="F8" s="339"/>
      <c r="G8" s="339"/>
      <c r="H8" s="339"/>
      <c r="I8" s="438"/>
      <c r="J8" s="339"/>
      <c r="K8" s="306"/>
      <c r="L8" s="307"/>
      <c r="M8" s="306"/>
      <c r="N8" s="14"/>
      <c r="O8" s="14"/>
      <c r="P8" s="14"/>
      <c r="Q8" s="14"/>
      <c r="R8" s="14"/>
      <c r="S8" s="18"/>
      <c r="U8" s="22"/>
      <c r="V8" s="22"/>
      <c r="W8" s="16"/>
      <c r="X8" s="22"/>
      <c r="Y8" s="16"/>
      <c r="Z8" s="16"/>
      <c r="AA8" s="16"/>
      <c r="AB8" s="16"/>
      <c r="AC8" s="16"/>
    </row>
    <row r="9" spans="1:29" ht="12.75">
      <c r="A9" s="111"/>
      <c r="B9" s="140" t="s">
        <v>21</v>
      </c>
      <c r="C9" s="187">
        <f>SUM(C7:C8)</f>
        <v>218</v>
      </c>
      <c r="D9" s="188">
        <f>SUM(D7:D8)</f>
        <v>1782</v>
      </c>
      <c r="E9" s="189">
        <f>SUM(E7:E8)</f>
        <v>2000</v>
      </c>
      <c r="F9" s="339"/>
      <c r="G9" s="339"/>
      <c r="H9" s="339"/>
      <c r="I9" s="438"/>
      <c r="J9" s="339"/>
      <c r="K9" s="306"/>
      <c r="L9" s="307"/>
      <c r="M9" s="306"/>
      <c r="O9" s="27"/>
      <c r="P9" s="28"/>
      <c r="Q9" s="28"/>
      <c r="R9" s="28"/>
      <c r="S9" s="22"/>
      <c r="U9" s="22"/>
      <c r="V9" s="22"/>
      <c r="W9" s="16"/>
      <c r="X9" s="22"/>
      <c r="Y9" s="16"/>
      <c r="Z9" s="16"/>
      <c r="AA9" s="16"/>
      <c r="AB9" s="16"/>
      <c r="AC9" s="16"/>
    </row>
    <row r="10" spans="1:29" ht="12.75" customHeight="1" hidden="1">
      <c r="A10" s="111"/>
      <c r="B10" s="29"/>
      <c r="C10" s="30"/>
      <c r="D10" s="26"/>
      <c r="E10" s="26"/>
      <c r="F10" s="306"/>
      <c r="G10" s="306"/>
      <c r="H10" s="339"/>
      <c r="I10" s="339"/>
      <c r="J10" s="339"/>
      <c r="K10" s="306"/>
      <c r="L10" s="307"/>
      <c r="M10" s="306"/>
      <c r="O10" s="27"/>
      <c r="P10" s="28"/>
      <c r="Q10" s="28"/>
      <c r="R10" s="28"/>
      <c r="S10" s="22"/>
      <c r="U10" s="22"/>
      <c r="V10" s="22"/>
      <c r="W10" s="16"/>
      <c r="X10" s="22"/>
      <c r="Y10" s="16"/>
      <c r="Z10" s="16"/>
      <c r="AA10" s="16"/>
      <c r="AB10" s="16"/>
      <c r="AC10" s="16"/>
    </row>
    <row r="11" spans="1:22" s="11" customFormat="1" ht="14.25" customHeight="1" hidden="1">
      <c r="A11" s="323" t="s">
        <v>171</v>
      </c>
      <c r="B11" s="32"/>
      <c r="C11" s="33"/>
      <c r="D11" s="8"/>
      <c r="E11" s="25"/>
      <c r="F11" s="340"/>
      <c r="G11" s="307"/>
      <c r="H11" s="340"/>
      <c r="I11" s="307"/>
      <c r="J11" s="310"/>
      <c r="K11" s="310"/>
      <c r="L11" s="340"/>
      <c r="M11" s="310"/>
      <c r="O11" s="8"/>
      <c r="P11" s="35"/>
      <c r="Q11" s="35"/>
      <c r="R11" s="35"/>
      <c r="S11" s="8"/>
      <c r="T11" s="8"/>
      <c r="U11" s="8"/>
      <c r="V11" s="8"/>
    </row>
    <row r="12" spans="1:22" s="11" customFormat="1" ht="12.75" customHeight="1" hidden="1">
      <c r="A12" s="111" t="s">
        <v>121</v>
      </c>
      <c r="B12" s="32"/>
      <c r="C12" s="33"/>
      <c r="D12" s="8"/>
      <c r="E12" s="25"/>
      <c r="F12" s="340"/>
      <c r="G12" s="307"/>
      <c r="H12" s="340"/>
      <c r="I12" s="307"/>
      <c r="J12" s="341"/>
      <c r="K12" s="310"/>
      <c r="L12" s="310"/>
      <c r="M12" s="310"/>
      <c r="O12" s="8"/>
      <c r="P12" s="9"/>
      <c r="Q12" s="9"/>
      <c r="R12" s="9"/>
      <c r="S12" s="8"/>
      <c r="T12" s="8"/>
      <c r="U12" s="8"/>
      <c r="V12" s="8"/>
    </row>
    <row r="13" spans="1:22" s="11" customFormat="1" ht="45" customHeight="1" hidden="1">
      <c r="A13" s="196" t="s">
        <v>24</v>
      </c>
      <c r="B13" s="196" t="s">
        <v>122</v>
      </c>
      <c r="C13" s="196" t="s">
        <v>138</v>
      </c>
      <c r="D13" s="196" t="s">
        <v>123</v>
      </c>
      <c r="E13" s="196" t="s">
        <v>124</v>
      </c>
      <c r="F13" s="196" t="s">
        <v>4</v>
      </c>
      <c r="G13" s="196" t="s">
        <v>139</v>
      </c>
      <c r="H13" s="196" t="s">
        <v>140</v>
      </c>
      <c r="I13" s="307"/>
      <c r="J13" s="342" t="s">
        <v>54</v>
      </c>
      <c r="K13" s="343" t="s">
        <v>0</v>
      </c>
      <c r="L13" s="343" t="s">
        <v>1</v>
      </c>
      <c r="M13" s="310"/>
      <c r="O13" s="8"/>
      <c r="P13" s="8"/>
      <c r="Q13" s="8"/>
      <c r="R13" s="8"/>
      <c r="S13" s="8"/>
      <c r="T13" s="8"/>
      <c r="U13" s="8"/>
      <c r="V13" s="8"/>
    </row>
    <row r="14" spans="1:22" s="11" customFormat="1" ht="12.75" customHeight="1" hidden="1">
      <c r="A14" s="193">
        <f>LN((C7/E7)/(C8/E8))</f>
        <v>-0.48643417064183153</v>
      </c>
      <c r="B14" s="193">
        <f>SQRT((D7/(C7*E7)+(D8/(C8*E8))))</f>
        <v>0.13211964342402588</v>
      </c>
      <c r="C14" s="439">
        <f>-NORMSINV((1-H2)/2)</f>
        <v>1.9599639845400536</v>
      </c>
      <c r="D14" s="194">
        <f>A14-(C14*B14)</f>
        <v>-0.7453839134031963</v>
      </c>
      <c r="E14" s="195">
        <f>A14+(C14*B14)</f>
        <v>-0.2274844278804667</v>
      </c>
      <c r="F14" s="345">
        <f>(C7/E7)/(C8/E8)</f>
        <v>0.6148148148148148</v>
      </c>
      <c r="G14" s="345">
        <f>EXP(D14)</f>
        <v>0.4745520780601576</v>
      </c>
      <c r="H14" s="345">
        <f>EXP(E14)</f>
        <v>0.7965348251364257</v>
      </c>
      <c r="I14" s="307"/>
      <c r="J14" s="344">
        <f>1-F14</f>
        <v>0.3851851851851852</v>
      </c>
      <c r="K14" s="345">
        <f>1-G14</f>
        <v>0.5254479219398425</v>
      </c>
      <c r="L14" s="345">
        <f>1-H14</f>
        <v>0.2034651748635743</v>
      </c>
      <c r="M14" s="346"/>
      <c r="O14" s="8"/>
      <c r="P14" s="8"/>
      <c r="Q14" s="8"/>
      <c r="R14" s="8"/>
      <c r="S14" s="8"/>
      <c r="T14" s="8"/>
      <c r="U14" s="8"/>
      <c r="V14" s="8"/>
    </row>
    <row r="15" spans="1:22" s="11" customFormat="1" ht="12.75" customHeight="1" hidden="1">
      <c r="A15" s="324"/>
      <c r="B15" s="32"/>
      <c r="C15" s="32"/>
      <c r="D15" s="32"/>
      <c r="E15" s="36"/>
      <c r="F15" s="373"/>
      <c r="G15" s="307"/>
      <c r="H15" s="340"/>
      <c r="I15" s="307"/>
      <c r="J15" s="340"/>
      <c r="K15" s="340"/>
      <c r="L15" s="340"/>
      <c r="M15" s="310"/>
      <c r="O15" s="8"/>
      <c r="P15" s="8"/>
      <c r="Q15" s="8"/>
      <c r="R15" s="8"/>
      <c r="S15" s="8"/>
      <c r="T15" s="8"/>
      <c r="U15" s="8"/>
      <c r="V15" s="8"/>
    </row>
    <row r="16" spans="1:13" s="16" customFormat="1" ht="12.75" customHeight="1" hidden="1">
      <c r="A16" s="110"/>
      <c r="B16" s="37"/>
      <c r="C16" s="38"/>
      <c r="D16" s="39"/>
      <c r="E16" s="40"/>
      <c r="F16" s="374"/>
      <c r="G16" s="375"/>
      <c r="H16" s="347"/>
      <c r="I16" s="347"/>
      <c r="J16" s="348"/>
      <c r="K16" s="348"/>
      <c r="L16" s="349"/>
      <c r="M16" s="349"/>
    </row>
    <row r="17" spans="1:28" ht="15.75" customHeight="1" hidden="1">
      <c r="A17" s="44" t="s">
        <v>178</v>
      </c>
      <c r="B17" s="8"/>
      <c r="C17" s="442"/>
      <c r="D17" s="442"/>
      <c r="E17" s="7"/>
      <c r="F17" s="7"/>
      <c r="G17" s="447"/>
      <c r="H17" s="45"/>
      <c r="I17" s="448"/>
      <c r="J17" s="448"/>
      <c r="K17" s="11"/>
      <c r="L17" s="310"/>
      <c r="M17" s="307"/>
      <c r="N17" s="45"/>
      <c r="O17" s="8"/>
      <c r="P17" s="8"/>
      <c r="Q17" s="46"/>
      <c r="R17" s="45"/>
      <c r="S17" s="47"/>
      <c r="T17" s="47"/>
      <c r="U17" s="47"/>
      <c r="V17" s="16"/>
      <c r="W17" s="16"/>
      <c r="X17" s="16"/>
      <c r="Y17" s="16"/>
      <c r="Z17" s="16"/>
      <c r="AA17" s="16"/>
      <c r="AB17" s="16"/>
    </row>
    <row r="18" spans="1:27" ht="12.75" customHeight="1" hidden="1">
      <c r="A18" s="51" t="s">
        <v>179</v>
      </c>
      <c r="B18" s="8"/>
      <c r="C18" s="45"/>
      <c r="D18" s="45"/>
      <c r="E18" s="8"/>
      <c r="F18" s="8"/>
      <c r="G18" s="46"/>
      <c r="H18" s="45"/>
      <c r="I18" s="47"/>
      <c r="J18" s="47"/>
      <c r="K18" s="47"/>
      <c r="L18" s="310"/>
      <c r="M18" s="307"/>
      <c r="N18" s="8"/>
      <c r="O18" s="8"/>
      <c r="P18" s="46"/>
      <c r="Q18" s="45"/>
      <c r="R18" s="47"/>
      <c r="S18" s="47"/>
      <c r="T18" s="47"/>
      <c r="V18" s="16" t="s">
        <v>26</v>
      </c>
      <c r="W18" s="16"/>
      <c r="X18" s="16"/>
      <c r="Y18" s="16"/>
      <c r="Z18" s="16"/>
      <c r="AA18" s="16"/>
    </row>
    <row r="19" spans="1:29" ht="25.5" customHeight="1" hidden="1">
      <c r="A19" s="449" t="s">
        <v>180</v>
      </c>
      <c r="B19" s="4" t="s">
        <v>8</v>
      </c>
      <c r="C19" s="11"/>
      <c r="D19" s="4" t="s">
        <v>181</v>
      </c>
      <c r="F19" s="4" t="s">
        <v>6</v>
      </c>
      <c r="H19" s="4" t="s">
        <v>7</v>
      </c>
      <c r="I19" s="47"/>
      <c r="J19" s="47"/>
      <c r="K19" s="47"/>
      <c r="L19" s="310"/>
      <c r="M19" s="348"/>
      <c r="O19" s="4"/>
      <c r="S19" s="16"/>
      <c r="U19" s="4"/>
      <c r="V19" s="4" t="s">
        <v>27</v>
      </c>
      <c r="X19" s="16"/>
      <c r="Y19" s="16"/>
      <c r="Z19" s="16"/>
      <c r="AA19" s="16"/>
      <c r="AB19" s="16"/>
      <c r="AC19" s="16"/>
    </row>
    <row r="20" spans="1:29" ht="38.25" customHeight="1" hidden="1">
      <c r="A20" s="196" t="s">
        <v>182</v>
      </c>
      <c r="B20" s="196" t="s">
        <v>25</v>
      </c>
      <c r="C20" s="362" t="s">
        <v>9</v>
      </c>
      <c r="D20" s="362" t="s">
        <v>8</v>
      </c>
      <c r="E20" s="362" t="s">
        <v>183</v>
      </c>
      <c r="F20" s="362" t="s">
        <v>6</v>
      </c>
      <c r="G20" s="362" t="s">
        <v>7</v>
      </c>
      <c r="H20" s="376" t="s">
        <v>184</v>
      </c>
      <c r="I20" s="362" t="s">
        <v>185</v>
      </c>
      <c r="J20" s="362" t="s">
        <v>0</v>
      </c>
      <c r="K20" s="362" t="s">
        <v>1</v>
      </c>
      <c r="L20" s="377"/>
      <c r="M20" s="350"/>
      <c r="N20" s="215" t="s">
        <v>12</v>
      </c>
      <c r="O20" s="216" t="s">
        <v>110</v>
      </c>
      <c r="P20" s="201"/>
      <c r="Q20" s="202"/>
      <c r="R20" s="227"/>
      <c r="S20" s="227"/>
      <c r="T20" s="228"/>
      <c r="V20" s="214"/>
      <c r="W20" s="215" t="s">
        <v>109</v>
      </c>
      <c r="X20" s="216" t="s">
        <v>172</v>
      </c>
      <c r="Y20" s="197"/>
      <c r="Z20" s="197"/>
      <c r="AA20" s="197" t="s">
        <v>134</v>
      </c>
      <c r="AB20" s="197"/>
      <c r="AC20" s="198"/>
    </row>
    <row r="21" spans="1:29" ht="12.75" customHeight="1" hidden="1">
      <c r="A21" s="450">
        <f>C7</f>
        <v>83</v>
      </c>
      <c r="B21" s="451">
        <f>E7</f>
        <v>1000</v>
      </c>
      <c r="C21" s="452">
        <f>A21/B21</f>
        <v>0.083</v>
      </c>
      <c r="D21" s="453">
        <f>2*A21+H21^2</f>
        <v>169.84145882069413</v>
      </c>
      <c r="E21" s="453">
        <f>H21*SQRT((H21^2)+(4*A21*(1-C21)))</f>
        <v>34.413164560651644</v>
      </c>
      <c r="F21" s="454">
        <f>2*(B21+H21^2)</f>
        <v>2007.6829176413883</v>
      </c>
      <c r="G21" s="455" t="s">
        <v>10</v>
      </c>
      <c r="H21" s="439">
        <f>-NORMSINV((1-H2)/2)</f>
        <v>1.9599639845400536</v>
      </c>
      <c r="I21" s="456">
        <f>C21</f>
        <v>0.083</v>
      </c>
      <c r="J21" s="456">
        <f>(D21-E21)/F21</f>
        <v>0.0674550214428993</v>
      </c>
      <c r="K21" s="456">
        <f>(D21+E21)/F21</f>
        <v>0.10173649513405367</v>
      </c>
      <c r="L21" s="377"/>
      <c r="M21" s="351">
        <f>E9/2</f>
        <v>1000</v>
      </c>
      <c r="N21" s="24" t="s">
        <v>13</v>
      </c>
      <c r="O21" s="8"/>
      <c r="P21" s="46"/>
      <c r="Q21" s="45"/>
      <c r="R21" s="47"/>
      <c r="S21" s="47"/>
      <c r="T21" s="204"/>
      <c r="V21" s="223">
        <f>ABS(C21-C22)</f>
        <v>0.052000000000000005</v>
      </c>
      <c r="W21" s="24" t="s">
        <v>137</v>
      </c>
      <c r="X21" s="8"/>
      <c r="Y21" s="24"/>
      <c r="Z21" s="24"/>
      <c r="AA21" s="24" t="s">
        <v>132</v>
      </c>
      <c r="AB21" s="24"/>
      <c r="AC21" s="210"/>
    </row>
    <row r="22" spans="1:29" ht="14.25" customHeight="1" hidden="1">
      <c r="A22" s="450">
        <f>C8</f>
        <v>135</v>
      </c>
      <c r="B22" s="451">
        <f>E8</f>
        <v>1000</v>
      </c>
      <c r="C22" s="452">
        <f>A22/B22</f>
        <v>0.135</v>
      </c>
      <c r="D22" s="453">
        <f>2*A22+H22^2</f>
        <v>273.84145882069413</v>
      </c>
      <c r="E22" s="453">
        <f>H22*SQRT((H22^2)+(4*A22*(1-C22)))</f>
        <v>42.533542305071585</v>
      </c>
      <c r="F22" s="454">
        <f>2*(B22+H22^2)</f>
        <v>2007.6829176413883</v>
      </c>
      <c r="G22" s="455" t="s">
        <v>10</v>
      </c>
      <c r="H22" s="439">
        <f>-NORMSINV((1-H2)/2)</f>
        <v>1.9599639845400536</v>
      </c>
      <c r="I22" s="456">
        <f>C22</f>
        <v>0.135</v>
      </c>
      <c r="J22" s="456">
        <f>(D22-E22)/F22</f>
        <v>0.11521137849166015</v>
      </c>
      <c r="K22" s="456">
        <f>(D22+E22)/F22</f>
        <v>0.1575821552027951</v>
      </c>
      <c r="L22" s="377"/>
      <c r="M22" s="352">
        <f>I26</f>
        <v>0.052000000000000005</v>
      </c>
      <c r="N22" s="24" t="s">
        <v>14</v>
      </c>
      <c r="O22" s="24"/>
      <c r="P22" s="24"/>
      <c r="Q22" s="24"/>
      <c r="R22" s="24"/>
      <c r="S22" s="24"/>
      <c r="T22" s="199"/>
      <c r="V22" s="217">
        <f>SQRT((C23*(1-C23)/B21)+(C23*(1-C23)/B22))</f>
        <v>0.013936929360515537</v>
      </c>
      <c r="W22" s="51" t="s">
        <v>130</v>
      </c>
      <c r="X22" s="24"/>
      <c r="Y22" s="24"/>
      <c r="Z22" s="24"/>
      <c r="AA22" s="24"/>
      <c r="AB22" s="24"/>
      <c r="AC22" s="210"/>
    </row>
    <row r="23" spans="1:29" ht="12.75" customHeight="1" hidden="1">
      <c r="A23" s="450">
        <f>C9</f>
        <v>218</v>
      </c>
      <c r="B23" s="451">
        <f>E9</f>
        <v>2000</v>
      </c>
      <c r="C23" s="452">
        <f>A23/B23</f>
        <v>0.109</v>
      </c>
      <c r="D23" s="453">
        <f>2*A23+H23^2</f>
        <v>439.84145882069413</v>
      </c>
      <c r="E23" s="453">
        <f>H23*SQRT((H23^2)+(4*A23*(1-C23)))</f>
        <v>54.766649701502004</v>
      </c>
      <c r="F23" s="454">
        <f>2*(B23+H23^2)</f>
        <v>4007.682917641388</v>
      </c>
      <c r="G23" s="455" t="s">
        <v>10</v>
      </c>
      <c r="H23" s="439">
        <f>-NORMSINV((1-H2)/2)</f>
        <v>1.9599639845400536</v>
      </c>
      <c r="I23" s="456">
        <f>C23</f>
        <v>0.109</v>
      </c>
      <c r="J23" s="456">
        <f>(D23-E23)/F23</f>
        <v>0.0960841506258228</v>
      </c>
      <c r="K23" s="456">
        <f>(D23+E23)/F23</f>
        <v>0.123414980348117</v>
      </c>
      <c r="L23" s="377"/>
      <c r="M23" s="353">
        <f>(A21+A22)/(B21+B22)</f>
        <v>0.109</v>
      </c>
      <c r="N23" s="24" t="s">
        <v>5</v>
      </c>
      <c r="O23" s="8"/>
      <c r="P23" s="46"/>
      <c r="Q23" s="45"/>
      <c r="R23" s="47"/>
      <c r="S23" s="47"/>
      <c r="T23" s="210"/>
      <c r="V23" s="218">
        <f>V21/V22</f>
        <v>3.7310944652787197</v>
      </c>
      <c r="W23" s="24" t="s">
        <v>43</v>
      </c>
      <c r="X23" s="8"/>
      <c r="Y23" s="24"/>
      <c r="Z23" s="24"/>
      <c r="AA23" s="24"/>
      <c r="AB23" s="24"/>
      <c r="AC23" s="210"/>
    </row>
    <row r="24" spans="1:29" ht="15" customHeight="1" hidden="1">
      <c r="A24" s="111"/>
      <c r="B24" s="440" t="s">
        <v>11</v>
      </c>
      <c r="E24" s="41"/>
      <c r="F24" s="347"/>
      <c r="G24" s="347"/>
      <c r="H24" s="347"/>
      <c r="I24" s="347"/>
      <c r="J24" s="348"/>
      <c r="K24" s="306"/>
      <c r="L24" s="377"/>
      <c r="M24" s="354">
        <f>SQRT(M21*M22^2/(2*M23*(1-M23)))-H21</f>
        <v>1.771130480738666</v>
      </c>
      <c r="N24" s="24" t="s">
        <v>173</v>
      </c>
      <c r="O24" s="24"/>
      <c r="P24" s="24"/>
      <c r="Q24" s="24"/>
      <c r="R24" s="24"/>
      <c r="S24" s="11"/>
      <c r="T24" s="204"/>
      <c r="V24" s="219">
        <f>NORMSDIST(-V23)</f>
        <v>9.532485674257429E-05</v>
      </c>
      <c r="W24" s="44" t="s">
        <v>131</v>
      </c>
      <c r="X24" s="24"/>
      <c r="Y24" s="11"/>
      <c r="Z24" s="11"/>
      <c r="AA24" s="11"/>
      <c r="AB24" s="11"/>
      <c r="AC24" s="199"/>
    </row>
    <row r="25" spans="1:29" ht="13.5" customHeight="1" hidden="1">
      <c r="A25" s="111"/>
      <c r="B25" s="440" t="s">
        <v>174</v>
      </c>
      <c r="C25" s="31"/>
      <c r="D25" s="43"/>
      <c r="E25" s="41"/>
      <c r="F25" s="347"/>
      <c r="G25" s="306"/>
      <c r="H25" s="306"/>
      <c r="I25" s="355"/>
      <c r="J25" s="355"/>
      <c r="K25" s="355"/>
      <c r="L25" s="377"/>
      <c r="M25" s="356">
        <f>NORMSDIST(M24)</f>
        <v>0.9617304968162916</v>
      </c>
      <c r="N25" s="44" t="s">
        <v>15</v>
      </c>
      <c r="O25" s="52"/>
      <c r="P25" s="24"/>
      <c r="Q25" s="24"/>
      <c r="R25" s="24"/>
      <c r="S25" s="24"/>
      <c r="T25" s="210"/>
      <c r="V25" s="220">
        <f>1-V24</f>
        <v>0.9999046751432574</v>
      </c>
      <c r="W25" s="53" t="s">
        <v>133</v>
      </c>
      <c r="X25" s="52"/>
      <c r="Y25" s="11"/>
      <c r="Z25" s="11"/>
      <c r="AA25" s="11"/>
      <c r="AB25" s="11"/>
      <c r="AC25" s="199"/>
    </row>
    <row r="26" spans="5:29" ht="15" customHeight="1" hidden="1">
      <c r="E26" s="54"/>
      <c r="F26" s="306"/>
      <c r="G26" s="306"/>
      <c r="H26" s="404" t="s">
        <v>22</v>
      </c>
      <c r="I26" s="441">
        <f>C22-C21</f>
        <v>0.052000000000000005</v>
      </c>
      <c r="J26" s="457">
        <f>I26+SQRT((C22-J22)^2+(K21-C21)^2)</f>
        <v>0.07925152823437151</v>
      </c>
      <c r="K26" s="458">
        <f>I26-SQRT((C21-J21)^2+(K22-C22)^2)</f>
        <v>0.024584674141206252</v>
      </c>
      <c r="L26" s="339"/>
      <c r="M26" s="357">
        <f>1-M25</f>
        <v>0.038269503183708364</v>
      </c>
      <c r="N26" s="229" t="s">
        <v>135</v>
      </c>
      <c r="O26" s="205"/>
      <c r="P26" s="206"/>
      <c r="Q26" s="205"/>
      <c r="R26" s="205"/>
      <c r="S26" s="205"/>
      <c r="T26" s="209"/>
      <c r="V26" s="221"/>
      <c r="W26" s="200"/>
      <c r="X26" s="205"/>
      <c r="Y26" s="200"/>
      <c r="Z26" s="200"/>
      <c r="AA26" s="200"/>
      <c r="AB26" s="200"/>
      <c r="AC26" s="222"/>
    </row>
    <row r="27" spans="5:28" ht="13.5" customHeight="1" hidden="1">
      <c r="E27" s="56"/>
      <c r="F27" s="306"/>
      <c r="G27" s="306"/>
      <c r="H27" s="404" t="s">
        <v>23</v>
      </c>
      <c r="I27" s="459">
        <f>1/I26</f>
        <v>19.23076923076923</v>
      </c>
      <c r="J27" s="460">
        <f>1/J26</f>
        <v>12.618053207033281</v>
      </c>
      <c r="K27" s="461">
        <f>1/K26</f>
        <v>40.675747592029495</v>
      </c>
      <c r="L27" s="339"/>
      <c r="M27" s="306"/>
      <c r="N27" s="4"/>
      <c r="O27" s="4"/>
      <c r="T27" s="4"/>
      <c r="U27" s="4"/>
      <c r="V27" s="16"/>
      <c r="W27" s="16"/>
      <c r="X27" s="16"/>
      <c r="Y27" s="16"/>
      <c r="Z27" s="16"/>
      <c r="AA27" s="16"/>
      <c r="AB27" s="16"/>
    </row>
    <row r="28" spans="6:21" ht="14.25" customHeight="1" hidden="1">
      <c r="F28" s="306"/>
      <c r="G28" s="306"/>
      <c r="J28" s="359"/>
      <c r="K28" s="359"/>
      <c r="L28" s="360"/>
      <c r="M28" s="350"/>
      <c r="N28" s="224"/>
      <c r="O28" s="224" t="s">
        <v>130</v>
      </c>
      <c r="P28" s="225">
        <f>SQRT((C23*(1-C23)/B21)+(C23*(1-C23)/B22))</f>
        <v>0.013936929360515537</v>
      </c>
      <c r="Q28" s="226"/>
      <c r="R28" s="226"/>
      <c r="S28" s="226"/>
      <c r="T28" s="198"/>
      <c r="U28" s="4"/>
    </row>
    <row r="29" spans="5:21" ht="31.5" customHeight="1" hidden="1">
      <c r="E29" s="462"/>
      <c r="F29" s="463"/>
      <c r="G29" s="464" t="s">
        <v>75</v>
      </c>
      <c r="H29" s="465" t="s">
        <v>66</v>
      </c>
      <c r="I29" s="466">
        <f>I27</f>
        <v>19.23076923076923</v>
      </c>
      <c r="J29" s="466">
        <f>J27</f>
        <v>12.618053207033281</v>
      </c>
      <c r="K29" s="466">
        <f>K27</f>
        <v>40.675747592029495</v>
      </c>
      <c r="L29" s="306"/>
      <c r="M29" s="363" t="s">
        <v>128</v>
      </c>
      <c r="N29" s="212"/>
      <c r="O29" s="24" t="s">
        <v>126</v>
      </c>
      <c r="P29" s="24"/>
      <c r="Q29" s="46"/>
      <c r="R29" s="211" t="s">
        <v>129</v>
      </c>
      <c r="S29" s="24"/>
      <c r="T29" s="210"/>
      <c r="U29" s="4"/>
    </row>
    <row r="30" spans="5:20" s="11" customFormat="1" ht="14.25" customHeight="1" hidden="1">
      <c r="E30" s="58"/>
      <c r="F30" s="467"/>
      <c r="G30" s="468"/>
      <c r="H30" s="469" t="s">
        <v>79</v>
      </c>
      <c r="I30" s="470">
        <f>(1-C22)*I27</f>
        <v>16.634615384615383</v>
      </c>
      <c r="J30" s="470">
        <f>(1-C22)*J27</f>
        <v>10.914616024083788</v>
      </c>
      <c r="K30" s="470">
        <f>(1-C22)*K27</f>
        <v>35.184521667105514</v>
      </c>
      <c r="L30" s="306"/>
      <c r="M30" s="364"/>
      <c r="N30" s="203" t="s">
        <v>175</v>
      </c>
      <c r="P30" s="213" t="s">
        <v>125</v>
      </c>
      <c r="Q30" s="203" t="s">
        <v>176</v>
      </c>
      <c r="R30" s="24"/>
      <c r="S30" s="24"/>
      <c r="T30" s="199"/>
    </row>
    <row r="31" spans="5:20" s="11" customFormat="1" ht="14.25" customHeight="1" hidden="1">
      <c r="E31" s="59"/>
      <c r="F31" s="471"/>
      <c r="G31" s="472"/>
      <c r="H31" s="473" t="s">
        <v>82</v>
      </c>
      <c r="I31" s="474">
        <f>I27*I26</f>
        <v>1</v>
      </c>
      <c r="J31" s="474">
        <f>J27*J26</f>
        <v>1</v>
      </c>
      <c r="K31" s="474">
        <f>K27*K26</f>
        <v>1</v>
      </c>
      <c r="L31" s="310"/>
      <c r="M31" s="354">
        <f>ABS((I26/P28))-H21</f>
        <v>1.771130480738666</v>
      </c>
      <c r="N31" s="203" t="s">
        <v>177</v>
      </c>
      <c r="O31" s="24"/>
      <c r="P31" s="24"/>
      <c r="Q31" s="45"/>
      <c r="R31" s="47"/>
      <c r="S31" s="47"/>
      <c r="T31" s="204"/>
    </row>
    <row r="32" spans="1:20" s="11" customFormat="1" ht="12.75" customHeight="1" hidden="1">
      <c r="A32" s="326"/>
      <c r="B32" s="60"/>
      <c r="D32" s="34"/>
      <c r="F32" s="475"/>
      <c r="G32" s="476"/>
      <c r="H32" s="477" t="s">
        <v>83</v>
      </c>
      <c r="I32" s="478">
        <f>(C22-I26)*I27</f>
        <v>1.5961538461538463</v>
      </c>
      <c r="J32" s="478">
        <f>(C22-J26)*J27</f>
        <v>0.703437182949493</v>
      </c>
      <c r="K32" s="478">
        <f>(C22-K26)*K27</f>
        <v>4.491225924923982</v>
      </c>
      <c r="L32" s="310"/>
      <c r="M32" s="356">
        <f>NORMSDIST(M31)</f>
        <v>0.9617304968162916</v>
      </c>
      <c r="N32" s="51" t="s">
        <v>127</v>
      </c>
      <c r="O32" s="52"/>
      <c r="P32" s="24"/>
      <c r="Q32" s="24"/>
      <c r="R32" s="24"/>
      <c r="S32" s="24"/>
      <c r="T32" s="199"/>
    </row>
    <row r="33" spans="1:20" s="11" customFormat="1" ht="12.75" customHeight="1" hidden="1">
      <c r="A33" s="326"/>
      <c r="F33" s="479"/>
      <c r="G33" s="480"/>
      <c r="H33" s="480"/>
      <c r="I33" s="481"/>
      <c r="J33" s="481"/>
      <c r="K33" s="481"/>
      <c r="L33" s="310"/>
      <c r="M33" s="357">
        <f>1-M32</f>
        <v>0.038269503183708364</v>
      </c>
      <c r="N33" s="205" t="s">
        <v>136</v>
      </c>
      <c r="O33" s="205"/>
      <c r="P33" s="206"/>
      <c r="Q33" s="207"/>
      <c r="R33" s="208"/>
      <c r="S33" s="208"/>
      <c r="T33" s="209"/>
    </row>
    <row r="34" spans="1:21" s="11" customFormat="1" ht="31.5" customHeight="1" hidden="1">
      <c r="A34" s="324"/>
      <c r="E34" s="33"/>
      <c r="F34" s="482"/>
      <c r="G34" s="464" t="s">
        <v>77</v>
      </c>
      <c r="H34" s="483" t="s">
        <v>186</v>
      </c>
      <c r="I34" s="484">
        <f>ABS(I27)</f>
        <v>19.23076923076923</v>
      </c>
      <c r="J34" s="484">
        <f>ABS(K27)</f>
        <v>40.675747592029495</v>
      </c>
      <c r="K34" s="484">
        <f>ABS(J27)</f>
        <v>12.618053207033281</v>
      </c>
      <c r="L34" s="310"/>
      <c r="M34" s="339"/>
      <c r="N34" s="24"/>
      <c r="O34" s="24"/>
      <c r="P34" s="24"/>
      <c r="Q34" s="24"/>
      <c r="R34" s="24"/>
      <c r="S34" s="24"/>
      <c r="T34" s="24"/>
      <c r="U34" s="24"/>
    </row>
    <row r="35" spans="1:21" s="11" customFormat="1" ht="13.5" customHeight="1" hidden="1">
      <c r="A35" s="324"/>
      <c r="F35" s="467"/>
      <c r="G35" s="468"/>
      <c r="H35" s="469" t="s">
        <v>79</v>
      </c>
      <c r="I35" s="470">
        <f>ABS((1-(C22-I26))*I27)</f>
        <v>17.634615384615383</v>
      </c>
      <c r="J35" s="470">
        <f>ABS((1-(C22-K26))*K27)</f>
        <v>36.184521667105514</v>
      </c>
      <c r="K35" s="470">
        <f>ABS((1-(C22-J26))*J27)</f>
        <v>11.914616024083788</v>
      </c>
      <c r="L35" s="310"/>
      <c r="M35" s="339"/>
      <c r="N35" s="24"/>
      <c r="O35" s="24"/>
      <c r="P35" s="24"/>
      <c r="Q35" s="24"/>
      <c r="R35" s="24"/>
      <c r="S35" s="24"/>
      <c r="T35" s="24"/>
      <c r="U35" s="24"/>
    </row>
    <row r="36" spans="1:21" s="11" customFormat="1" ht="12.75" customHeight="1" hidden="1">
      <c r="A36" s="324"/>
      <c r="E36" s="65"/>
      <c r="F36" s="485"/>
      <c r="G36" s="486"/>
      <c r="H36" s="487" t="s">
        <v>80</v>
      </c>
      <c r="I36" s="488">
        <f>I27*I26</f>
        <v>1</v>
      </c>
      <c r="J36" s="488">
        <f>K27*K26</f>
        <v>1</v>
      </c>
      <c r="K36" s="488">
        <f>J27*J26</f>
        <v>1</v>
      </c>
      <c r="L36" s="310"/>
      <c r="M36" s="339"/>
      <c r="N36" s="24"/>
      <c r="O36" s="24"/>
      <c r="P36" s="24"/>
      <c r="Q36" s="24"/>
      <c r="R36" s="24"/>
      <c r="S36" s="24"/>
      <c r="T36" s="24"/>
      <c r="U36" s="24"/>
    </row>
    <row r="37" spans="1:21" ht="15.75" customHeight="1" hidden="1">
      <c r="A37" s="489" t="s">
        <v>141</v>
      </c>
      <c r="B37" s="66"/>
      <c r="C37" s="66"/>
      <c r="D37" s="66"/>
      <c r="E37" s="61"/>
      <c r="F37" s="475"/>
      <c r="G37" s="476"/>
      <c r="H37" s="477" t="s">
        <v>81</v>
      </c>
      <c r="I37" s="478">
        <f>ABS(C22*I27)</f>
        <v>2.5961538461538463</v>
      </c>
      <c r="J37" s="478">
        <f>ABS(C22*K27)</f>
        <v>5.491225924923982</v>
      </c>
      <c r="K37" s="478">
        <f>ABS(C22*J27)</f>
        <v>1.703437182949493</v>
      </c>
      <c r="L37" s="306"/>
      <c r="M37" s="339"/>
      <c r="N37" s="24"/>
      <c r="O37" s="24"/>
      <c r="P37" s="24"/>
      <c r="Q37" s="24"/>
      <c r="R37" s="24"/>
      <c r="S37" s="24"/>
      <c r="T37" s="24"/>
      <c r="U37" s="24"/>
    </row>
    <row r="38" spans="1:17" s="16" customFormat="1" ht="12.75" customHeight="1" hidden="1">
      <c r="A38" s="111"/>
      <c r="B38" s="67" t="s">
        <v>19</v>
      </c>
      <c r="C38" s="68" t="s">
        <v>20</v>
      </c>
      <c r="D38" s="24"/>
      <c r="E38" s="61"/>
      <c r="F38" s="365"/>
      <c r="G38" s="366"/>
      <c r="H38" s="367"/>
      <c r="I38" s="368"/>
      <c r="J38" s="368"/>
      <c r="K38" s="368"/>
      <c r="L38" s="348"/>
      <c r="M38" s="310"/>
      <c r="N38" s="11"/>
      <c r="O38" s="11"/>
      <c r="P38" s="11"/>
      <c r="Q38" s="11"/>
    </row>
    <row r="39" spans="1:21" ht="12.75" customHeight="1" hidden="1">
      <c r="A39" s="327" t="s">
        <v>31</v>
      </c>
      <c r="B39" s="72" t="s">
        <v>3</v>
      </c>
      <c r="C39" s="73" t="s">
        <v>2</v>
      </c>
      <c r="D39" s="74" t="s">
        <v>21</v>
      </c>
      <c r="F39" s="306"/>
      <c r="G39" s="306"/>
      <c r="H39" s="306"/>
      <c r="I39" s="306"/>
      <c r="J39" s="306"/>
      <c r="K39" s="306"/>
      <c r="L39" s="306"/>
      <c r="M39" s="310"/>
      <c r="N39" s="11"/>
      <c r="O39" s="11"/>
      <c r="P39" s="11"/>
      <c r="Q39" s="11"/>
      <c r="T39" s="4"/>
      <c r="U39" s="4"/>
    </row>
    <row r="40" spans="1:21" ht="12.75" customHeight="1" hidden="1">
      <c r="A40" s="328" t="s">
        <v>16</v>
      </c>
      <c r="B40" s="75">
        <f>E7*C9/E9</f>
        <v>109</v>
      </c>
      <c r="C40" s="75">
        <f>E7*D9/E9</f>
        <v>891</v>
      </c>
      <c r="D40" s="75">
        <f>E7</f>
        <v>1000</v>
      </c>
      <c r="F40" s="378"/>
      <c r="G40" s="435" t="s">
        <v>29</v>
      </c>
      <c r="H40" s="369">
        <f>CHIINV(0.05,J41)</f>
        <v>3.8414588206941236</v>
      </c>
      <c r="I40" s="306"/>
      <c r="J40" s="306"/>
      <c r="K40" s="306"/>
      <c r="L40" s="306"/>
      <c r="M40" s="310"/>
      <c r="N40" s="62"/>
      <c r="O40" s="62"/>
      <c r="P40" s="62"/>
      <c r="Q40" s="11"/>
      <c r="T40" s="4"/>
      <c r="U40" s="4"/>
    </row>
    <row r="41" spans="1:21" ht="12.75" customHeight="1" hidden="1">
      <c r="A41" s="329" t="s">
        <v>17</v>
      </c>
      <c r="B41" s="75">
        <f>E8*C9/E9</f>
        <v>109</v>
      </c>
      <c r="C41" s="75">
        <f>E8*D9/E9</f>
        <v>891</v>
      </c>
      <c r="D41" s="75">
        <f>E8</f>
        <v>1000</v>
      </c>
      <c r="E41" s="16"/>
      <c r="F41" s="379"/>
      <c r="G41" s="379"/>
      <c r="H41" s="361"/>
      <c r="I41" s="434" t="s">
        <v>30</v>
      </c>
      <c r="J41" s="380">
        <f>(COUNT(B40:C40)-1)*(COUNT(B40:B41)-1)</f>
        <v>1</v>
      </c>
      <c r="K41" s="306"/>
      <c r="L41" s="306"/>
      <c r="M41" s="306"/>
      <c r="N41" s="62"/>
      <c r="O41" s="62"/>
      <c r="P41" s="62"/>
      <c r="Q41" s="11"/>
      <c r="T41" s="4"/>
      <c r="U41" s="4"/>
    </row>
    <row r="42" spans="1:21" ht="12.75" customHeight="1" hidden="1">
      <c r="A42" s="325" t="s">
        <v>28</v>
      </c>
      <c r="B42" s="75">
        <f>SUM(B40:B41)</f>
        <v>218</v>
      </c>
      <c r="C42" s="75">
        <f>SUM(C40:C41)</f>
        <v>1782</v>
      </c>
      <c r="D42" s="76">
        <f>SUM(D40:D41)</f>
        <v>2000</v>
      </c>
      <c r="E42" s="16"/>
      <c r="F42" s="348"/>
      <c r="G42" s="433" t="s">
        <v>32</v>
      </c>
      <c r="H42" s="331" t="s">
        <v>33</v>
      </c>
      <c r="I42" s="306"/>
      <c r="J42" s="306"/>
      <c r="K42" s="306"/>
      <c r="L42" s="306"/>
      <c r="M42" s="306"/>
      <c r="N42" s="62"/>
      <c r="O42" s="63"/>
      <c r="P42" s="62"/>
      <c r="Q42" s="11"/>
      <c r="T42" s="4"/>
      <c r="U42" s="4"/>
    </row>
    <row r="43" spans="1:21" ht="12.75" customHeight="1" hidden="1">
      <c r="A43" s="325"/>
      <c r="B43" s="77"/>
      <c r="C43" s="77"/>
      <c r="D43" s="78"/>
      <c r="E43" s="16"/>
      <c r="F43" s="348"/>
      <c r="G43" s="433" t="s">
        <v>34</v>
      </c>
      <c r="H43" s="331" t="s">
        <v>35</v>
      </c>
      <c r="I43" s="306"/>
      <c r="J43" s="306"/>
      <c r="K43" s="306"/>
      <c r="L43" s="306"/>
      <c r="M43" s="306"/>
      <c r="N43" s="64"/>
      <c r="O43" s="64"/>
      <c r="P43" s="64"/>
      <c r="Q43" s="11"/>
      <c r="T43" s="4"/>
      <c r="U43" s="4"/>
    </row>
    <row r="44" spans="1:21" ht="26.25" customHeight="1" hidden="1">
      <c r="A44" s="330"/>
      <c r="B44" s="564" t="s">
        <v>187</v>
      </c>
      <c r="C44" s="565"/>
      <c r="F44" s="306"/>
      <c r="G44" s="358"/>
      <c r="H44" s="306"/>
      <c r="I44" s="306"/>
      <c r="J44" s="306"/>
      <c r="K44" s="306"/>
      <c r="L44" s="306"/>
      <c r="M44" s="306"/>
      <c r="N44" s="4"/>
      <c r="O44" s="4"/>
      <c r="T44" s="4"/>
      <c r="U44" s="4"/>
    </row>
    <row r="45" spans="1:21" ht="12.75" customHeight="1" hidden="1">
      <c r="A45" s="330"/>
      <c r="B45" s="79">
        <f>(C7-B40)^2/B40</f>
        <v>6.201834862385321</v>
      </c>
      <c r="C45" s="79">
        <f>(D7-C40)^2/C40</f>
        <v>0.7586980920314254</v>
      </c>
      <c r="E45" s="71"/>
      <c r="F45" s="381"/>
      <c r="G45" s="306"/>
      <c r="H45" s="306"/>
      <c r="I45" s="310"/>
      <c r="J45" s="310"/>
      <c r="K45" s="370"/>
      <c r="L45" s="306"/>
      <c r="M45" s="306"/>
      <c r="N45" s="4"/>
      <c r="O45" s="4"/>
      <c r="T45" s="4"/>
      <c r="U45" s="4"/>
    </row>
    <row r="46" spans="1:21" ht="12.75" customHeight="1" hidden="1">
      <c r="A46" s="330"/>
      <c r="B46" s="79">
        <f>(C8-B41)^2/B41</f>
        <v>6.201834862385321</v>
      </c>
      <c r="C46" s="79">
        <f>(D8-C41)^2/C41</f>
        <v>0.7586980920314254</v>
      </c>
      <c r="D46" s="20"/>
      <c r="E46" s="80" t="s">
        <v>36</v>
      </c>
      <c r="F46" s="382">
        <f>B48-H40</f>
        <v>10.079607088139369</v>
      </c>
      <c r="G46" s="306"/>
      <c r="H46" s="306"/>
      <c r="I46" s="310"/>
      <c r="J46" s="310"/>
      <c r="K46" s="306"/>
      <c r="L46" s="306"/>
      <c r="M46" s="306"/>
      <c r="N46" s="4"/>
      <c r="O46" s="4"/>
      <c r="T46" s="4"/>
      <c r="U46" s="4"/>
    </row>
    <row r="47" spans="1:21" ht="12.75" customHeight="1" hidden="1">
      <c r="A47" s="331" t="s">
        <v>38</v>
      </c>
      <c r="C47" s="81"/>
      <c r="F47" s="113" t="s">
        <v>39</v>
      </c>
      <c r="G47" s="306"/>
      <c r="H47" s="306"/>
      <c r="I47" s="310"/>
      <c r="J47" s="310"/>
      <c r="K47" s="306"/>
      <c r="L47" s="306"/>
      <c r="M47" s="306"/>
      <c r="N47" s="4"/>
      <c r="O47" s="4"/>
      <c r="T47" s="4"/>
      <c r="U47" s="4"/>
    </row>
    <row r="48" spans="1:21" ht="13.5" customHeight="1" hidden="1">
      <c r="A48" s="332" t="s">
        <v>37</v>
      </c>
      <c r="B48" s="230">
        <f>SUM(B45:C46)</f>
        <v>13.921065908833492</v>
      </c>
      <c r="C48" s="24"/>
      <c r="F48" s="113" t="s">
        <v>40</v>
      </c>
      <c r="G48" s="306"/>
      <c r="H48" s="383"/>
      <c r="I48" s="310"/>
      <c r="J48" s="310"/>
      <c r="K48" s="371"/>
      <c r="L48" s="306"/>
      <c r="M48" s="306"/>
      <c r="N48" s="4"/>
      <c r="O48" s="4"/>
      <c r="T48" s="4"/>
      <c r="U48" s="4"/>
    </row>
    <row r="49" spans="1:21" ht="12.75" customHeight="1" hidden="1">
      <c r="A49" s="333" t="s">
        <v>111</v>
      </c>
      <c r="B49" s="231">
        <f>CHIDIST(B48,1)</f>
        <v>0.00019064971348514893</v>
      </c>
      <c r="D49" s="24"/>
      <c r="E49" s="24"/>
      <c r="F49" s="339"/>
      <c r="G49" s="384"/>
      <c r="H49" s="339"/>
      <c r="I49" s="310"/>
      <c r="J49" s="310"/>
      <c r="K49" s="339"/>
      <c r="L49" s="306"/>
      <c r="M49" s="306"/>
      <c r="N49" s="4"/>
      <c r="O49" s="4"/>
      <c r="T49" s="4"/>
      <c r="U49" s="4"/>
    </row>
    <row r="50" spans="1:13" s="11" customFormat="1" ht="12.75" customHeight="1" hidden="1">
      <c r="A50" s="324"/>
      <c r="D50" s="82"/>
      <c r="E50" s="82"/>
      <c r="F50" s="310"/>
      <c r="G50" s="310"/>
      <c r="H50" s="372"/>
      <c r="I50" s="310"/>
      <c r="J50" s="310"/>
      <c r="K50" s="310"/>
      <c r="L50" s="310"/>
      <c r="M50" s="310"/>
    </row>
    <row r="51" spans="1:21" ht="13.5" customHeight="1" hidden="1">
      <c r="A51" s="111"/>
      <c r="F51" s="306"/>
      <c r="G51" s="306"/>
      <c r="H51" s="306"/>
      <c r="I51" s="310"/>
      <c r="J51" s="310"/>
      <c r="K51" s="306"/>
      <c r="L51" s="306"/>
      <c r="M51" s="306"/>
      <c r="N51" s="4"/>
      <c r="O51" s="4"/>
      <c r="T51" s="4"/>
      <c r="U51" s="4"/>
    </row>
    <row r="52" spans="1:21" ht="12.75" customHeight="1" hidden="1">
      <c r="A52" s="490" t="s">
        <v>188</v>
      </c>
      <c r="B52" s="491"/>
      <c r="C52" s="491"/>
      <c r="D52" s="491"/>
      <c r="E52" s="491"/>
      <c r="F52" s="491"/>
      <c r="G52" s="492"/>
      <c r="H52" s="306"/>
      <c r="I52" s="493" t="s">
        <v>189</v>
      </c>
      <c r="J52" s="494"/>
      <c r="K52" s="495"/>
      <c r="L52" s="495"/>
      <c r="M52" s="495"/>
      <c r="N52" s="198"/>
      <c r="O52" s="4"/>
      <c r="T52" s="4"/>
      <c r="U52" s="4"/>
    </row>
    <row r="53" spans="1:21" ht="12.75" customHeight="1" hidden="1">
      <c r="A53" s="496">
        <f>H2*100</f>
        <v>95</v>
      </c>
      <c r="B53" s="61"/>
      <c r="C53" s="61"/>
      <c r="D53" s="11"/>
      <c r="E53" s="11"/>
      <c r="F53" s="11"/>
      <c r="G53" s="199"/>
      <c r="H53" s="306"/>
      <c r="I53" s="497"/>
      <c r="J53" s="310"/>
      <c r="K53" s="339"/>
      <c r="L53" s="339"/>
      <c r="M53" s="339"/>
      <c r="N53" s="210"/>
      <c r="O53" s="4"/>
      <c r="T53" s="4"/>
      <c r="U53" s="4"/>
    </row>
    <row r="54" spans="1:21" ht="12.75" customHeight="1" hidden="1">
      <c r="A54" s="498" t="s">
        <v>58</v>
      </c>
      <c r="B54" s="443"/>
      <c r="C54" s="443"/>
      <c r="D54" s="90">
        <f>ROUND(F14,2)</f>
        <v>0.61</v>
      </c>
      <c r="E54" s="57">
        <f>ROUND(I26,4)</f>
        <v>0.052</v>
      </c>
      <c r="F54" s="444">
        <f>ROUND(I27,0)</f>
        <v>19</v>
      </c>
      <c r="G54" s="499"/>
      <c r="H54" s="306"/>
      <c r="I54" s="500" t="s">
        <v>58</v>
      </c>
      <c r="J54" s="11"/>
      <c r="K54" s="11"/>
      <c r="L54" s="11"/>
      <c r="M54" s="339"/>
      <c r="N54" s="210"/>
      <c r="O54" s="4"/>
      <c r="T54" s="4"/>
      <c r="U54" s="4"/>
    </row>
    <row r="55" spans="1:21" ht="12.75" customHeight="1" hidden="1">
      <c r="A55" s="498" t="s">
        <v>60</v>
      </c>
      <c r="B55" s="24"/>
      <c r="C55" s="24"/>
      <c r="D55" s="90">
        <f>ROUND(G14,2)</f>
        <v>0.47</v>
      </c>
      <c r="E55" s="57">
        <f>ROUND(K26,4)</f>
        <v>0.0246</v>
      </c>
      <c r="F55" s="444">
        <f>ROUND(K27,0)</f>
        <v>41</v>
      </c>
      <c r="G55" s="499"/>
      <c r="H55" s="306"/>
      <c r="I55" s="500" t="s">
        <v>60</v>
      </c>
      <c r="J55" s="501" t="str">
        <f>ROUND(I21,4)*100&amp;I57</f>
        <v>8,3%</v>
      </c>
      <c r="K55" s="501" t="str">
        <f>ROUND(J21,4)*100&amp;I57</f>
        <v>6,75%</v>
      </c>
      <c r="L55" s="501" t="str">
        <f>ROUND(K21,4)*100&amp;I57</f>
        <v>10,17%</v>
      </c>
      <c r="M55" s="86" t="str">
        <f>CONCATENATE(J55," ",I54,K55," ",I58," ",L55,I56)</f>
        <v>8,3% (6,75% a 10,17%)</v>
      </c>
      <c r="N55" s="210"/>
      <c r="O55" s="4"/>
      <c r="T55" s="4"/>
      <c r="U55" s="4"/>
    </row>
    <row r="56" spans="1:14" s="16" customFormat="1" ht="12.75" customHeight="1" hidden="1">
      <c r="A56" s="498" t="s">
        <v>59</v>
      </c>
      <c r="B56" s="443">
        <f>ROUND(C7,0)</f>
        <v>83</v>
      </c>
      <c r="C56" s="443">
        <f>ROUND(C8,0)</f>
        <v>135</v>
      </c>
      <c r="D56" s="90">
        <f>ROUND(H14,2)</f>
        <v>0.8</v>
      </c>
      <c r="E56" s="57">
        <f>ROUND(J26,4)</f>
        <v>0.0793</v>
      </c>
      <c r="F56" s="444">
        <f>ROUND(J27,0)</f>
        <v>13</v>
      </c>
      <c r="G56" s="502">
        <f>ROUND(M32,4)</f>
        <v>0.9617</v>
      </c>
      <c r="H56" s="348"/>
      <c r="I56" s="500" t="s">
        <v>59</v>
      </c>
      <c r="J56" s="84" t="str">
        <f>ROUND(I22,4)*100&amp;I57</f>
        <v>13,5%</v>
      </c>
      <c r="K56" s="84" t="str">
        <f>ROUND(J22,4)*100&amp;I57</f>
        <v>11,52%</v>
      </c>
      <c r="L56" s="84" t="str">
        <f>ROUND(K22,4)*100&amp;I57</f>
        <v>15,76%</v>
      </c>
      <c r="M56" s="86" t="str">
        <f>CONCATENATE(J56," ",I54,K56," ",I58," ",L56,I56)</f>
        <v>13,5% (11,52% a 15,76%)</v>
      </c>
      <c r="N56" s="199"/>
    </row>
    <row r="57" spans="1:14" ht="12.75" customHeight="1" hidden="1">
      <c r="A57" s="498" t="s">
        <v>61</v>
      </c>
      <c r="B57" s="445" t="s">
        <v>85</v>
      </c>
      <c r="C57" s="445" t="s">
        <v>86</v>
      </c>
      <c r="D57" s="445" t="s">
        <v>4</v>
      </c>
      <c r="E57" s="445" t="s">
        <v>69</v>
      </c>
      <c r="F57" s="503" t="s">
        <v>66</v>
      </c>
      <c r="G57" s="378" t="s">
        <v>70</v>
      </c>
      <c r="H57" s="306"/>
      <c r="I57" s="500" t="s">
        <v>61</v>
      </c>
      <c r="J57" s="84" t="str">
        <f>ROUND(I23,4)*100&amp;I57</f>
        <v>10,9%</v>
      </c>
      <c r="K57" s="84" t="str">
        <f>ROUND(J23,4)*100&amp;I57</f>
        <v>9,61%</v>
      </c>
      <c r="L57" s="84" t="str">
        <f>ROUND(K23,4)*100&amp;I57</f>
        <v>12,34%</v>
      </c>
      <c r="M57" s="86" t="str">
        <f>CONCATENATE(J57," ",I54,K57," ",I58," ",L57,I56)</f>
        <v>10,9% (9,61% a 12,34%)</v>
      </c>
      <c r="N57" s="199"/>
    </row>
    <row r="58" spans="1:21" ht="12.75" customHeight="1" hidden="1">
      <c r="A58" s="504" t="s">
        <v>18</v>
      </c>
      <c r="B58" s="446" t="str">
        <f>CONCATENATE(B56,A59,B21," ",A54,J55,A56)</f>
        <v>83/1000 (8,3%)</v>
      </c>
      <c r="C58" s="404" t="str">
        <f>CONCATENATE(C56,A59,B22," ",A54,J56,A56)</f>
        <v>135/1000 (13,5%)</v>
      </c>
      <c r="D58" s="446" t="str">
        <f>CONCATENATE(D54," ",A54,D55,A55,D56,A56)</f>
        <v>0,61 (0,47-0,8)</v>
      </c>
      <c r="E58" s="446" t="str">
        <f>CONCATENATE(E54*100,A57," ",A54,E55*100,A57," ",A58," ",E56*100,A57,A56)</f>
        <v>5,2% (2,46% a 7,93%)</v>
      </c>
      <c r="F58" s="378" t="str">
        <f>CONCATENATE(F54," ",A54,F56," ",A58," ",F55,A56)</f>
        <v>19 (13 a 41)</v>
      </c>
      <c r="G58" s="378" t="str">
        <f>CONCATENATE(G56*100,A57)</f>
        <v>96,17%</v>
      </c>
      <c r="H58" s="306"/>
      <c r="I58" s="505" t="s">
        <v>18</v>
      </c>
      <c r="J58" s="24"/>
      <c r="K58" s="24"/>
      <c r="L58" s="24"/>
      <c r="M58" s="339"/>
      <c r="N58" s="210"/>
      <c r="O58" s="4"/>
      <c r="T58" s="4"/>
      <c r="U58" s="4"/>
    </row>
    <row r="59" spans="1:21" ht="13.5" customHeight="1" hidden="1">
      <c r="A59" s="506" t="s">
        <v>67</v>
      </c>
      <c r="B59" s="200"/>
      <c r="C59" s="200"/>
      <c r="D59" s="200"/>
      <c r="E59" s="200"/>
      <c r="F59" s="507"/>
      <c r="G59" s="508"/>
      <c r="H59" s="306"/>
      <c r="I59" s="509" t="s">
        <v>67</v>
      </c>
      <c r="J59" s="200"/>
      <c r="K59" s="200"/>
      <c r="L59" s="200"/>
      <c r="M59" s="510"/>
      <c r="N59" s="209"/>
      <c r="O59" s="4"/>
      <c r="T59" s="4"/>
      <c r="U59" s="4"/>
    </row>
    <row r="60" spans="1:21" ht="12.75">
      <c r="A60" s="111"/>
      <c r="F60" s="306"/>
      <c r="G60" s="306"/>
      <c r="H60" s="306"/>
      <c r="I60" s="306"/>
      <c r="J60" s="306"/>
      <c r="K60" s="310"/>
      <c r="L60" s="306"/>
      <c r="M60" s="306"/>
      <c r="N60" s="4"/>
      <c r="O60" s="4"/>
      <c r="T60" s="4"/>
      <c r="U60" s="4"/>
    </row>
    <row r="61" spans="1:21" ht="27" customHeight="1">
      <c r="A61" s="111"/>
      <c r="B61" s="302" t="s">
        <v>85</v>
      </c>
      <c r="C61" s="302" t="s">
        <v>86</v>
      </c>
      <c r="D61" s="303" t="str">
        <f>CONCATENATE(D57," ",A54,G2," ",A53,A57,A56)</f>
        <v>RR (IC 95%)</v>
      </c>
      <c r="E61" s="303" t="str">
        <f>CONCATENATE(E57," ",A54,G2," ",A53,A57,A56)</f>
        <v>RAR (IC 95%)</v>
      </c>
      <c r="F61" s="303" t="str">
        <f>CONCATENATE(F57," ",A54,G2," ",A53,A57,A56)</f>
        <v>NNT (IC 95%)</v>
      </c>
      <c r="G61" s="303" t="s">
        <v>71</v>
      </c>
      <c r="H61" s="304"/>
      <c r="I61" s="303" t="s">
        <v>112</v>
      </c>
      <c r="K61" s="511" t="s">
        <v>190</v>
      </c>
      <c r="L61" s="511" t="s">
        <v>191</v>
      </c>
      <c r="N61" s="4"/>
      <c r="O61" s="4"/>
      <c r="T61" s="4"/>
      <c r="U61" s="4"/>
    </row>
    <row r="62" spans="1:21" ht="21" customHeight="1">
      <c r="A62" s="111"/>
      <c r="B62" s="404" t="str">
        <f aca="true" t="shared" si="0" ref="B62:G62">B58</f>
        <v>83/1000 (8,3%)</v>
      </c>
      <c r="C62" s="404" t="str">
        <f t="shared" si="0"/>
        <v>135/1000 (13,5%)</v>
      </c>
      <c r="D62" s="404" t="str">
        <f t="shared" si="0"/>
        <v>0,61 (0,47-0,8)</v>
      </c>
      <c r="E62" s="404" t="str">
        <f t="shared" si="0"/>
        <v>5,2% (2,46% a 7,93%)</v>
      </c>
      <c r="F62" s="404" t="str">
        <f t="shared" si="0"/>
        <v>19 (13 a 41)</v>
      </c>
      <c r="G62" s="404" t="str">
        <f t="shared" si="0"/>
        <v>96,17%</v>
      </c>
      <c r="H62" s="405"/>
      <c r="I62" s="406">
        <f>B49</f>
        <v>0.00019064971348514893</v>
      </c>
      <c r="K62" s="512">
        <f>IF((J26*K26&lt;0),I23,I21)</f>
        <v>0.083</v>
      </c>
      <c r="L62" s="512">
        <f>IF((J26*K26&lt;0),I23,I22)</f>
        <v>0.135</v>
      </c>
      <c r="N62" s="4"/>
      <c r="O62" s="4"/>
      <c r="T62" s="4"/>
      <c r="U62" s="4"/>
    </row>
    <row r="63" spans="1:14" ht="12.75">
      <c r="A63" s="111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316"/>
    </row>
    <row r="64" spans="1:14" ht="12.75">
      <c r="A64" s="331"/>
      <c r="B64" s="335"/>
      <c r="C64" s="335"/>
      <c r="D64" s="335"/>
      <c r="E64" s="335"/>
      <c r="F64" s="335"/>
      <c r="G64" s="335"/>
      <c r="H64" s="407"/>
      <c r="I64" s="408"/>
      <c r="J64" s="113"/>
      <c r="K64" s="113"/>
      <c r="L64" s="113"/>
      <c r="M64" s="113"/>
      <c r="N64" s="316"/>
    </row>
    <row r="65" spans="1:14" ht="12.75">
      <c r="A65" s="331"/>
      <c r="B65" s="335"/>
      <c r="C65" s="335"/>
      <c r="D65" s="335"/>
      <c r="E65" s="335"/>
      <c r="F65" s="335"/>
      <c r="G65" s="335"/>
      <c r="H65" s="407"/>
      <c r="I65" s="408"/>
      <c r="J65" s="113"/>
      <c r="K65" s="113"/>
      <c r="L65" s="113"/>
      <c r="M65" s="113"/>
      <c r="N65" s="316"/>
    </row>
    <row r="66" spans="1:14" ht="12.75">
      <c r="A66" s="331"/>
      <c r="B66" s="335"/>
      <c r="C66" s="335"/>
      <c r="D66" s="335"/>
      <c r="E66" s="335"/>
      <c r="F66" s="335"/>
      <c r="G66" s="335"/>
      <c r="H66" s="407"/>
      <c r="I66" s="408"/>
      <c r="J66" s="113"/>
      <c r="K66" s="113"/>
      <c r="L66" s="113"/>
      <c r="M66" s="113"/>
      <c r="N66" s="316"/>
    </row>
    <row r="67" spans="1:14" ht="12.75">
      <c r="A67" s="331"/>
      <c r="B67" s="335"/>
      <c r="C67" s="335"/>
      <c r="D67" s="335"/>
      <c r="E67" s="335"/>
      <c r="F67" s="335"/>
      <c r="G67" s="335"/>
      <c r="H67" s="407"/>
      <c r="I67" s="408"/>
      <c r="J67" s="113"/>
      <c r="K67" s="113"/>
      <c r="L67" s="113"/>
      <c r="M67" s="113"/>
      <c r="N67" s="316"/>
    </row>
    <row r="68" spans="1:14" ht="12.75">
      <c r="A68" s="331"/>
      <c r="B68" s="335"/>
      <c r="C68" s="335"/>
      <c r="D68" s="335"/>
      <c r="E68" s="335"/>
      <c r="F68" s="335"/>
      <c r="G68" s="335"/>
      <c r="H68" s="407"/>
      <c r="I68" s="408"/>
      <c r="J68" s="113"/>
      <c r="K68" s="113"/>
      <c r="L68" s="113"/>
      <c r="M68" s="113"/>
      <c r="N68" s="316"/>
    </row>
    <row r="69" spans="1:14" ht="12.75">
      <c r="A69" s="331"/>
      <c r="B69" s="335"/>
      <c r="C69" s="335"/>
      <c r="D69" s="335"/>
      <c r="E69" s="335"/>
      <c r="F69" s="335"/>
      <c r="G69" s="335"/>
      <c r="H69" s="407"/>
      <c r="I69" s="408"/>
      <c r="J69" s="113"/>
      <c r="K69" s="113"/>
      <c r="L69" s="113"/>
      <c r="M69" s="113"/>
      <c r="N69" s="316"/>
    </row>
    <row r="70" spans="1:14" ht="12.75">
      <c r="A70" s="331"/>
      <c r="B70" s="335"/>
      <c r="C70" s="335"/>
      <c r="D70" s="335"/>
      <c r="E70" s="335"/>
      <c r="F70" s="335"/>
      <c r="G70" s="335"/>
      <c r="H70" s="407"/>
      <c r="I70" s="408"/>
      <c r="J70" s="113"/>
      <c r="K70" s="113"/>
      <c r="L70" s="113"/>
      <c r="M70" s="113"/>
      <c r="N70" s="316"/>
    </row>
    <row r="71" spans="1:14" ht="12.75">
      <c r="A71" s="331"/>
      <c r="B71" s="335"/>
      <c r="C71" s="335"/>
      <c r="D71" s="335"/>
      <c r="E71" s="335"/>
      <c r="F71" s="335"/>
      <c r="G71" s="335"/>
      <c r="H71" s="407"/>
      <c r="I71" s="408"/>
      <c r="J71" s="113"/>
      <c r="K71" s="113"/>
      <c r="L71" s="113"/>
      <c r="M71" s="113"/>
      <c r="N71" s="316"/>
    </row>
    <row r="72" spans="1:14" ht="12.75">
      <c r="A72" s="331"/>
      <c r="B72" s="335"/>
      <c r="C72" s="335"/>
      <c r="D72" s="335"/>
      <c r="E72" s="335"/>
      <c r="F72" s="335"/>
      <c r="G72" s="335"/>
      <c r="H72" s="407"/>
      <c r="I72" s="408"/>
      <c r="J72" s="113"/>
      <c r="K72" s="113"/>
      <c r="L72" s="113"/>
      <c r="M72" s="113"/>
      <c r="N72" s="316"/>
    </row>
    <row r="73" spans="1:14" ht="12.75">
      <c r="A73" s="331"/>
      <c r="B73" s="335"/>
      <c r="C73" s="335"/>
      <c r="D73" s="335"/>
      <c r="E73" s="335"/>
      <c r="F73" s="335"/>
      <c r="G73" s="335"/>
      <c r="H73" s="407"/>
      <c r="I73" s="408"/>
      <c r="J73" s="113"/>
      <c r="K73" s="113"/>
      <c r="L73" s="113"/>
      <c r="M73" s="113"/>
      <c r="N73" s="316"/>
    </row>
    <row r="74" spans="1:14" ht="12.75">
      <c r="A74" s="331"/>
      <c r="B74" s="335"/>
      <c r="C74" s="335"/>
      <c r="D74" s="335"/>
      <c r="E74" s="335"/>
      <c r="F74" s="335"/>
      <c r="G74" s="335"/>
      <c r="H74" s="407"/>
      <c r="I74" s="408"/>
      <c r="J74" s="113"/>
      <c r="K74" s="113"/>
      <c r="L74" s="113"/>
      <c r="M74" s="113"/>
      <c r="N74" s="316"/>
    </row>
    <row r="75" spans="1:14" ht="12.75">
      <c r="A75" s="331"/>
      <c r="B75" s="335"/>
      <c r="C75" s="335"/>
      <c r="D75" s="335"/>
      <c r="E75" s="335"/>
      <c r="F75" s="335"/>
      <c r="G75" s="335"/>
      <c r="H75" s="407"/>
      <c r="I75" s="408"/>
      <c r="J75" s="113"/>
      <c r="K75" s="113"/>
      <c r="L75" s="113"/>
      <c r="M75" s="113"/>
      <c r="N75" s="316"/>
    </row>
    <row r="76" spans="1:14" ht="12.75">
      <c r="A76" s="331"/>
      <c r="B76" s="335"/>
      <c r="C76" s="335"/>
      <c r="D76" s="335"/>
      <c r="E76" s="335"/>
      <c r="F76" s="335"/>
      <c r="G76" s="335"/>
      <c r="H76" s="407"/>
      <c r="I76" s="408"/>
      <c r="J76" s="113"/>
      <c r="K76" s="113"/>
      <c r="L76" s="113"/>
      <c r="M76" s="113"/>
      <c r="N76" s="316"/>
    </row>
    <row r="77" spans="1:14" ht="12.75">
      <c r="A77" s="331"/>
      <c r="B77" s="335"/>
      <c r="C77" s="335"/>
      <c r="D77" s="335"/>
      <c r="E77" s="335"/>
      <c r="F77" s="335"/>
      <c r="G77" s="335"/>
      <c r="H77" s="407"/>
      <c r="I77" s="408"/>
      <c r="J77" s="113"/>
      <c r="K77" s="113"/>
      <c r="L77" s="113"/>
      <c r="M77" s="113"/>
      <c r="N77" s="316"/>
    </row>
    <row r="78" spans="1:14" ht="12.75">
      <c r="A78" s="331"/>
      <c r="B78" s="335"/>
      <c r="C78" s="335"/>
      <c r="D78" s="335"/>
      <c r="E78" s="335"/>
      <c r="F78" s="335"/>
      <c r="G78" s="335"/>
      <c r="H78" s="407"/>
      <c r="I78" s="408"/>
      <c r="J78" s="113"/>
      <c r="K78" s="113"/>
      <c r="L78" s="113"/>
      <c r="M78" s="113"/>
      <c r="N78" s="316"/>
    </row>
    <row r="79" spans="1:14" ht="12.75">
      <c r="A79" s="331"/>
      <c r="B79" s="335"/>
      <c r="C79" s="335"/>
      <c r="D79" s="335"/>
      <c r="E79" s="335"/>
      <c r="F79" s="335"/>
      <c r="G79" s="335"/>
      <c r="H79" s="407"/>
      <c r="I79" s="408"/>
      <c r="J79" s="113"/>
      <c r="K79" s="113"/>
      <c r="L79" s="113"/>
      <c r="M79" s="113"/>
      <c r="N79" s="316"/>
    </row>
    <row r="80" spans="1:14" ht="12.75">
      <c r="A80" s="331"/>
      <c r="B80" s="335"/>
      <c r="C80" s="335"/>
      <c r="D80" s="335"/>
      <c r="E80" s="335"/>
      <c r="F80" s="335"/>
      <c r="G80" s="335"/>
      <c r="H80" s="407"/>
      <c r="I80" s="408"/>
      <c r="J80" s="113"/>
      <c r="K80" s="113"/>
      <c r="L80" s="113"/>
      <c r="M80" s="113"/>
      <c r="N80" s="316"/>
    </row>
    <row r="81" spans="1:14" ht="12.75">
      <c r="A81" s="331"/>
      <c r="B81" s="335"/>
      <c r="C81" s="335"/>
      <c r="D81" s="335"/>
      <c r="E81" s="335"/>
      <c r="F81" s="335"/>
      <c r="G81" s="335"/>
      <c r="H81" s="407"/>
      <c r="I81" s="408"/>
      <c r="J81" s="113"/>
      <c r="K81" s="113"/>
      <c r="L81" s="113"/>
      <c r="M81" s="113"/>
      <c r="N81" s="316"/>
    </row>
    <row r="82" spans="1:14" ht="12.75">
      <c r="A82" s="331"/>
      <c r="B82" s="335"/>
      <c r="C82" s="335"/>
      <c r="D82" s="335"/>
      <c r="E82" s="335"/>
      <c r="F82" s="335"/>
      <c r="G82" s="335"/>
      <c r="H82" s="407"/>
      <c r="I82" s="408"/>
      <c r="J82" s="113"/>
      <c r="K82" s="113"/>
      <c r="L82" s="113"/>
      <c r="M82" s="113"/>
      <c r="N82" s="316"/>
    </row>
    <row r="83" spans="1:14" ht="12.75">
      <c r="A83" s="331"/>
      <c r="B83" s="335"/>
      <c r="C83" s="335"/>
      <c r="D83" s="335"/>
      <c r="E83" s="335"/>
      <c r="F83" s="335"/>
      <c r="G83" s="335"/>
      <c r="H83" s="407"/>
      <c r="I83" s="408"/>
      <c r="J83" s="113"/>
      <c r="K83" s="113"/>
      <c r="L83" s="113"/>
      <c r="M83" s="113"/>
      <c r="N83" s="316"/>
    </row>
    <row r="84" spans="1:14" ht="12.75">
      <c r="A84" s="331"/>
      <c r="B84" s="335"/>
      <c r="C84" s="335"/>
      <c r="D84" s="335"/>
      <c r="E84" s="335"/>
      <c r="F84" s="335"/>
      <c r="G84" s="335"/>
      <c r="H84" s="407"/>
      <c r="I84" s="408"/>
      <c r="J84" s="113"/>
      <c r="K84" s="113"/>
      <c r="L84" s="113"/>
      <c r="M84" s="113"/>
      <c r="N84" s="316"/>
    </row>
    <row r="85" spans="1:14" ht="12.75">
      <c r="A85" s="331"/>
      <c r="B85" s="335"/>
      <c r="C85" s="335"/>
      <c r="D85" s="335"/>
      <c r="E85" s="335"/>
      <c r="F85" s="335"/>
      <c r="G85" s="335"/>
      <c r="H85" s="407"/>
      <c r="I85" s="408"/>
      <c r="J85" s="113"/>
      <c r="K85" s="113"/>
      <c r="L85" s="113"/>
      <c r="M85" s="113"/>
      <c r="N85" s="316"/>
    </row>
    <row r="86" spans="1:14" ht="12.75">
      <c r="A86" s="331"/>
      <c r="B86" s="335"/>
      <c r="C86" s="335"/>
      <c r="D86" s="335"/>
      <c r="E86" s="335"/>
      <c r="F86" s="335"/>
      <c r="G86" s="335"/>
      <c r="H86" s="407"/>
      <c r="I86" s="408"/>
      <c r="J86" s="113"/>
      <c r="K86" s="113"/>
      <c r="L86" s="113"/>
      <c r="M86" s="113"/>
      <c r="N86" s="316"/>
    </row>
    <row r="87" spans="1:14" ht="12.75">
      <c r="A87" s="331"/>
      <c r="B87" s="335"/>
      <c r="C87" s="335"/>
      <c r="D87" s="335"/>
      <c r="E87" s="335"/>
      <c r="F87" s="335"/>
      <c r="G87" s="335"/>
      <c r="H87" s="407"/>
      <c r="I87" s="408"/>
      <c r="J87" s="113"/>
      <c r="K87" s="113"/>
      <c r="L87" s="113"/>
      <c r="M87" s="113"/>
      <c r="N87" s="316"/>
    </row>
    <row r="88" spans="1:14" ht="12.75">
      <c r="A88" s="331"/>
      <c r="B88" s="335"/>
      <c r="C88" s="335"/>
      <c r="D88" s="335"/>
      <c r="E88" s="335"/>
      <c r="F88" s="335"/>
      <c r="G88" s="335"/>
      <c r="H88" s="407"/>
      <c r="I88" s="408"/>
      <c r="J88" s="113"/>
      <c r="K88" s="113"/>
      <c r="L88" s="113"/>
      <c r="M88" s="113"/>
      <c r="N88" s="316"/>
    </row>
    <row r="89" spans="1:14" ht="12.75">
      <c r="A89" s="331"/>
      <c r="B89" s="335"/>
      <c r="C89" s="335"/>
      <c r="D89" s="335"/>
      <c r="E89" s="335"/>
      <c r="F89" s="335"/>
      <c r="G89" s="335"/>
      <c r="H89" s="407"/>
      <c r="I89" s="408"/>
      <c r="J89" s="113"/>
      <c r="K89" s="113"/>
      <c r="L89" s="113"/>
      <c r="M89" s="113"/>
      <c r="N89" s="316"/>
    </row>
    <row r="90" spans="1:14" ht="12.75">
      <c r="A90" s="335"/>
      <c r="B90" s="335"/>
      <c r="C90" s="335"/>
      <c r="D90" s="335"/>
      <c r="E90" s="335"/>
      <c r="F90" s="335"/>
      <c r="G90" s="335"/>
      <c r="H90" s="407"/>
      <c r="I90" s="408"/>
      <c r="J90" s="113"/>
      <c r="K90" s="113"/>
      <c r="L90" s="113"/>
      <c r="M90" s="113"/>
      <c r="N90" s="316"/>
    </row>
    <row r="91" spans="1:14" ht="12.75">
      <c r="A91" s="335"/>
      <c r="B91" s="335"/>
      <c r="C91" s="335"/>
      <c r="D91" s="335"/>
      <c r="E91" s="335"/>
      <c r="F91" s="335"/>
      <c r="G91" s="335"/>
      <c r="H91" s="407"/>
      <c r="I91" s="408"/>
      <c r="J91" s="113"/>
      <c r="K91" s="113"/>
      <c r="L91" s="113"/>
      <c r="M91" s="113"/>
      <c r="N91" s="316"/>
    </row>
    <row r="92" spans="1:14" ht="12.75">
      <c r="A92" s="335"/>
      <c r="B92" s="335"/>
      <c r="C92" s="335"/>
      <c r="D92" s="335"/>
      <c r="E92" s="335"/>
      <c r="F92" s="335"/>
      <c r="G92" s="335"/>
      <c r="H92" s="335"/>
      <c r="I92" s="408"/>
      <c r="J92" s="113"/>
      <c r="K92" s="113"/>
      <c r="L92" s="113"/>
      <c r="M92" s="113"/>
      <c r="N92" s="316"/>
    </row>
    <row r="93" spans="1:14" ht="12.75">
      <c r="A93" s="335"/>
      <c r="B93" s="335"/>
      <c r="C93" s="335"/>
      <c r="D93" s="335"/>
      <c r="E93" s="335"/>
      <c r="F93" s="335"/>
      <c r="G93" s="335"/>
      <c r="H93" s="335"/>
      <c r="I93" s="408"/>
      <c r="J93" s="113"/>
      <c r="K93" s="113"/>
      <c r="L93" s="113"/>
      <c r="M93" s="113"/>
      <c r="N93" s="316"/>
    </row>
    <row r="94" spans="1:10" ht="12.75">
      <c r="A94" s="335"/>
      <c r="B94" s="335"/>
      <c r="C94" s="335"/>
      <c r="D94" s="335"/>
      <c r="E94" s="335"/>
      <c r="F94" s="335"/>
      <c r="G94" s="335"/>
      <c r="H94" s="335"/>
      <c r="I94" s="408"/>
      <c r="J94" s="113"/>
    </row>
    <row r="95" spans="1:10" ht="12.75">
      <c r="A95" s="335"/>
      <c r="B95" s="335"/>
      <c r="C95" s="335"/>
      <c r="D95" s="335"/>
      <c r="E95" s="335"/>
      <c r="F95" s="335"/>
      <c r="G95" s="335"/>
      <c r="H95" s="335"/>
      <c r="I95" s="408"/>
      <c r="J95" s="113"/>
    </row>
    <row r="96" spans="1:9" ht="12.75">
      <c r="A96" s="24"/>
      <c r="B96" s="24"/>
      <c r="C96" s="24"/>
      <c r="D96" s="24"/>
      <c r="E96" s="24"/>
      <c r="F96" s="24"/>
      <c r="G96" s="24"/>
      <c r="H96" s="24"/>
      <c r="I96" s="24"/>
    </row>
  </sheetData>
  <sheetProtection/>
  <mergeCells count="3">
    <mergeCell ref="B44:C44"/>
    <mergeCell ref="A2:E2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8515625" style="4" customWidth="1"/>
    <col min="2" max="2" width="18.28125" style="4" customWidth="1"/>
    <col min="3" max="3" width="13.7109375" style="4" customWidth="1"/>
    <col min="4" max="4" width="16.421875" style="4" customWidth="1"/>
    <col min="5" max="5" width="20.7109375" style="4" customWidth="1"/>
    <col min="6" max="6" width="23.8515625" style="4" customWidth="1"/>
    <col min="7" max="7" width="18.8515625" style="4" customWidth="1"/>
    <col min="8" max="8" width="8.28125" style="4" customWidth="1"/>
    <col min="9" max="9" width="16.421875" style="4" customWidth="1"/>
    <col min="10" max="10" width="16.8515625" style="16" customWidth="1"/>
    <col min="11" max="11" width="11.421875" style="16" customWidth="1"/>
    <col min="12" max="12" width="15.57421875" style="4" customWidth="1"/>
    <col min="13" max="13" width="11.421875" style="4" customWidth="1"/>
    <col min="14" max="14" width="13.8515625" style="4" bestFit="1" customWidth="1"/>
    <col min="15" max="15" width="11.421875" style="4" customWidth="1"/>
    <col min="16" max="17" width="11.421875" style="16" customWidth="1"/>
    <col min="18" max="16384" width="11.421875" style="4" customWidth="1"/>
  </cols>
  <sheetData>
    <row r="1" ht="9" customHeight="1" thickBot="1"/>
    <row r="2" spans="1:18" s="11" customFormat="1" ht="20.25" customHeight="1" thickBot="1">
      <c r="A2" s="575" t="s">
        <v>99</v>
      </c>
      <c r="B2" s="576"/>
      <c r="C2" s="576"/>
      <c r="D2" s="576"/>
      <c r="E2" s="576"/>
      <c r="F2" s="576"/>
      <c r="G2" s="577"/>
      <c r="H2" s="34"/>
      <c r="K2" s="8"/>
      <c r="L2" s="8"/>
      <c r="M2" s="8"/>
      <c r="N2" s="8"/>
      <c r="O2" s="8"/>
      <c r="P2" s="8"/>
      <c r="Q2" s="8"/>
      <c r="R2" s="8"/>
    </row>
    <row r="3" spans="1:12" s="16" customFormat="1" ht="31.5" customHeight="1">
      <c r="A3" s="578" t="s">
        <v>106</v>
      </c>
      <c r="B3" s="578"/>
      <c r="C3" s="578"/>
      <c r="D3" s="578"/>
      <c r="E3" s="578"/>
      <c r="F3" s="578"/>
      <c r="G3" s="578"/>
      <c r="H3" s="42"/>
      <c r="I3" s="42"/>
      <c r="L3" s="85"/>
    </row>
    <row r="4" spans="1:12" s="16" customFormat="1" ht="16.5" customHeight="1" thickBot="1">
      <c r="A4" s="92"/>
      <c r="B4" s="4"/>
      <c r="C4" s="4"/>
      <c r="D4" s="4"/>
      <c r="E4" s="4"/>
      <c r="F4" s="4"/>
      <c r="G4" s="4"/>
      <c r="H4" s="42"/>
      <c r="I4" s="42"/>
      <c r="J4" s="110" t="s">
        <v>164</v>
      </c>
      <c r="K4" s="432" t="s">
        <v>166</v>
      </c>
      <c r="L4" s="110" t="s">
        <v>163</v>
      </c>
    </row>
    <row r="5" spans="1:24" ht="19.5" customHeight="1" thickBot="1">
      <c r="A5" s="111"/>
      <c r="B5" s="181" t="s">
        <v>95</v>
      </c>
      <c r="C5" s="176">
        <v>0.05</v>
      </c>
      <c r="D5" s="177" t="s">
        <v>100</v>
      </c>
      <c r="E5" s="178" t="s">
        <v>97</v>
      </c>
      <c r="F5" s="179">
        <f>1-C5</f>
        <v>0.95</v>
      </c>
      <c r="G5" s="113"/>
      <c r="H5" s="388"/>
      <c r="I5" s="337"/>
      <c r="J5" s="110" t="s">
        <v>193</v>
      </c>
      <c r="K5" s="8"/>
      <c r="L5" s="85"/>
      <c r="M5" s="16"/>
      <c r="N5" s="16"/>
      <c r="O5" s="47"/>
      <c r="P5" s="47"/>
      <c r="Q5" s="47"/>
      <c r="R5" s="16"/>
      <c r="S5" s="16"/>
      <c r="T5" s="16"/>
      <c r="U5" s="16"/>
      <c r="V5" s="16"/>
      <c r="W5" s="16"/>
      <c r="X5" s="16"/>
    </row>
    <row r="6" spans="1:26" ht="15.75" thickBot="1">
      <c r="A6" s="311"/>
      <c r="B6" s="113"/>
      <c r="C6" s="113"/>
      <c r="G6" s="113"/>
      <c r="H6" s="338"/>
      <c r="I6" s="336"/>
      <c r="J6" s="111" t="s">
        <v>194</v>
      </c>
      <c r="L6" s="31"/>
      <c r="M6" s="16"/>
      <c r="N6" s="16"/>
      <c r="U6" s="49"/>
      <c r="V6" s="49"/>
      <c r="W6" s="49"/>
      <c r="X6" s="49"/>
      <c r="Y6" s="49"/>
      <c r="Z6" s="49"/>
    </row>
    <row r="7" spans="1:34" ht="21" customHeight="1" thickBot="1">
      <c r="A7" s="311"/>
      <c r="B7" s="386"/>
      <c r="C7" s="113"/>
      <c r="D7" s="572" t="s">
        <v>64</v>
      </c>
      <c r="E7" s="573"/>
      <c r="F7" s="574"/>
      <c r="G7" s="113"/>
      <c r="H7" s="334"/>
      <c r="I7" s="336"/>
      <c r="J7" s="110" t="s">
        <v>195</v>
      </c>
      <c r="K7" s="111" t="s">
        <v>165</v>
      </c>
      <c r="N7" s="55"/>
      <c r="O7" s="47"/>
      <c r="P7" s="47"/>
      <c r="Q7" s="47"/>
      <c r="R7" s="11"/>
      <c r="S7" s="11"/>
      <c r="T7" s="93"/>
      <c r="U7" s="5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9.5" customHeight="1" thickBot="1">
      <c r="A8" s="311"/>
      <c r="B8" s="387"/>
      <c r="C8" s="113"/>
      <c r="D8" s="87" t="s">
        <v>96</v>
      </c>
      <c r="E8" s="88" t="s">
        <v>107</v>
      </c>
      <c r="F8" s="87" t="s">
        <v>108</v>
      </c>
      <c r="G8" s="306"/>
      <c r="H8" s="308"/>
      <c r="I8" s="307"/>
      <c r="K8" s="11"/>
      <c r="L8" s="8"/>
      <c r="M8" s="46"/>
      <c r="N8" s="45"/>
      <c r="O8" s="47"/>
      <c r="P8" s="47"/>
      <c r="Q8" s="47"/>
      <c r="R8" s="11"/>
      <c r="S8" s="94"/>
      <c r="T8" s="11"/>
      <c r="U8" s="8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9.5" customHeight="1" thickBot="1">
      <c r="A9" s="311"/>
      <c r="B9" s="113"/>
      <c r="C9" s="113"/>
      <c r="D9" s="104">
        <v>0.75</v>
      </c>
      <c r="E9" s="105">
        <v>0.65</v>
      </c>
      <c r="F9" s="105">
        <v>0.85</v>
      </c>
      <c r="G9" s="306"/>
      <c r="H9" s="309"/>
      <c r="I9" s="310"/>
      <c r="J9" s="111"/>
      <c r="K9" s="11"/>
      <c r="L9" s="11"/>
      <c r="M9" s="11"/>
      <c r="N9" s="11"/>
      <c r="O9" s="11"/>
      <c r="P9" s="11"/>
      <c r="Q9" s="11"/>
      <c r="R9" s="11"/>
      <c r="S9" s="95"/>
      <c r="T9" s="5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6.5" customHeight="1" hidden="1" thickBot="1">
      <c r="A10" s="385"/>
      <c r="B10" s="97"/>
      <c r="C10" s="537" t="s">
        <v>101</v>
      </c>
      <c r="D10" s="538">
        <f>F5^D9</f>
        <v>0.9622606002309622</v>
      </c>
      <c r="E10" s="538">
        <f>F5^E9</f>
        <v>0.9672090320746061</v>
      </c>
      <c r="F10" s="538">
        <f>F5^F9</f>
        <v>0.957337485538936</v>
      </c>
      <c r="H10" s="50"/>
      <c r="I10" s="11"/>
      <c r="K10" s="11"/>
      <c r="L10" s="8"/>
      <c r="M10" s="46"/>
      <c r="N10" s="45"/>
      <c r="O10" s="47"/>
      <c r="P10" s="47"/>
      <c r="Q10" s="11"/>
      <c r="R10" s="11"/>
      <c r="S10" s="96"/>
      <c r="T10" s="11"/>
      <c r="U10" s="8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2.75" customHeight="1" hidden="1">
      <c r="A11" s="385"/>
      <c r="B11" s="97"/>
      <c r="C11" s="98" t="s">
        <v>65</v>
      </c>
      <c r="D11" s="12">
        <f>1-D10</f>
        <v>0.03773939976903784</v>
      </c>
      <c r="E11" s="12">
        <f>1-E10</f>
        <v>0.03279096792539393</v>
      </c>
      <c r="F11" s="12">
        <f>1-F10</f>
        <v>0.04266251446106395</v>
      </c>
      <c r="H11" s="50"/>
      <c r="I11" s="11"/>
      <c r="J11" s="34"/>
      <c r="K11" s="11"/>
      <c r="L11" s="11"/>
      <c r="M11" s="11"/>
      <c r="N11" s="11"/>
      <c r="O11" s="11"/>
      <c r="P11" s="11"/>
      <c r="Q11" s="47"/>
      <c r="R11" s="11"/>
      <c r="S11" s="94"/>
      <c r="T11" s="4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2.75" customHeight="1" hidden="1">
      <c r="A12" s="385"/>
      <c r="B12" s="106"/>
      <c r="C12" s="48"/>
      <c r="D12" s="106"/>
      <c r="E12" s="106"/>
      <c r="F12" s="106"/>
      <c r="H12" s="91"/>
      <c r="I12" s="11"/>
      <c r="J12" s="99"/>
      <c r="K12" s="44"/>
      <c r="L12" s="89"/>
      <c r="M12" s="11"/>
      <c r="N12" s="11"/>
      <c r="O12" s="11"/>
      <c r="P12" s="11"/>
      <c r="Q12" s="11"/>
      <c r="R12" s="11"/>
      <c r="S12" s="100"/>
      <c r="T12" s="101"/>
      <c r="U12" s="8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5" customHeight="1" hidden="1" thickBot="1">
      <c r="A13" s="385"/>
      <c r="B13" s="539"/>
      <c r="C13" s="540" t="s">
        <v>102</v>
      </c>
      <c r="D13" s="446" t="s">
        <v>22</v>
      </c>
      <c r="E13" s="541">
        <f>D10-F5</f>
        <v>0.012260600230962204</v>
      </c>
      <c r="F13" s="541">
        <f>F10-F5</f>
        <v>0.007337485538936095</v>
      </c>
      <c r="G13" s="541">
        <f>E10-F5</f>
        <v>0.017209032074606112</v>
      </c>
      <c r="H13" s="50"/>
      <c r="I13" s="11"/>
      <c r="J13" s="100"/>
      <c r="K13" s="101"/>
      <c r="L13" s="11"/>
      <c r="M13" s="10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24" ht="13.5" customHeight="1" hidden="1" thickBot="1">
      <c r="A14" s="385"/>
      <c r="B14" s="539"/>
      <c r="C14" s="542" t="s">
        <v>55</v>
      </c>
      <c r="D14" s="446" t="s">
        <v>23</v>
      </c>
      <c r="E14" s="543">
        <f>1/E13</f>
        <v>81.56207536027954</v>
      </c>
      <c r="F14" s="543">
        <f>1/G13</f>
        <v>58.109020638970975</v>
      </c>
      <c r="G14" s="543">
        <f>1/F13</f>
        <v>136.28646962144418</v>
      </c>
      <c r="J14" s="4"/>
      <c r="K14" s="4"/>
      <c r="P14" s="4"/>
      <c r="Q14" s="4"/>
      <c r="R14" s="16"/>
      <c r="S14" s="16"/>
      <c r="T14" s="16"/>
      <c r="U14" s="16"/>
      <c r="V14" s="16"/>
      <c r="W14" s="16"/>
      <c r="X14" s="16"/>
    </row>
    <row r="15" spans="1:17" ht="12.75" customHeight="1" hidden="1">
      <c r="A15" s="385"/>
      <c r="B15" s="544"/>
      <c r="C15" s="544"/>
      <c r="D15" s="544"/>
      <c r="E15" s="544"/>
      <c r="F15" s="544"/>
      <c r="G15" s="16"/>
      <c r="J15" s="4"/>
      <c r="K15" s="4"/>
      <c r="P15" s="4"/>
      <c r="Q15" s="4"/>
    </row>
    <row r="16" spans="1:17" ht="15.75" customHeight="1" hidden="1">
      <c r="A16" s="385"/>
      <c r="B16" s="545"/>
      <c r="C16" s="546" t="s">
        <v>75</v>
      </c>
      <c r="D16" s="547" t="s">
        <v>76</v>
      </c>
      <c r="E16" s="103">
        <f>E14</f>
        <v>81.56207536027954</v>
      </c>
      <c r="F16" s="103">
        <f>F14</f>
        <v>58.109020638970975</v>
      </c>
      <c r="G16" s="103">
        <f>G14</f>
        <v>136.28646962144418</v>
      </c>
      <c r="J16" s="4"/>
      <c r="K16" s="4"/>
      <c r="P16" s="4"/>
      <c r="Q16" s="4"/>
    </row>
    <row r="17" spans="1:9" s="11" customFormat="1" ht="12.75" customHeight="1" hidden="1">
      <c r="A17" s="385"/>
      <c r="B17" s="548"/>
      <c r="C17" s="548"/>
      <c r="D17" s="549" t="s">
        <v>41</v>
      </c>
      <c r="E17" s="543">
        <f>(1-C5)*E14</f>
        <v>77.48397159226556</v>
      </c>
      <c r="F17" s="543">
        <f>(1-C5)*F14</f>
        <v>55.20356960702242</v>
      </c>
      <c r="G17" s="543">
        <f>(1-C5)*G14</f>
        <v>129.47214614037196</v>
      </c>
      <c r="I17" s="57"/>
    </row>
    <row r="18" spans="1:7" s="11" customFormat="1" ht="12.75" customHeight="1" hidden="1">
      <c r="A18" s="385"/>
      <c r="B18" s="550"/>
      <c r="C18" s="550"/>
      <c r="D18" s="546" t="s">
        <v>72</v>
      </c>
      <c r="E18" s="543">
        <f>E14*E13</f>
        <v>1</v>
      </c>
      <c r="F18" s="543">
        <f>F14*G13</f>
        <v>1</v>
      </c>
      <c r="G18" s="543">
        <f>G14*F13</f>
        <v>1</v>
      </c>
    </row>
    <row r="19" spans="1:7" s="11" customFormat="1" ht="12.75" customHeight="1" hidden="1">
      <c r="A19" s="385"/>
      <c r="B19" s="550"/>
      <c r="C19" s="550"/>
      <c r="D19" s="546" t="s">
        <v>42</v>
      </c>
      <c r="E19" s="543">
        <f>(C5-E13)*E14</f>
        <v>3.078103768013977</v>
      </c>
      <c r="F19" s="543">
        <f>(C5-G13)*F14</f>
        <v>1.905451031948549</v>
      </c>
      <c r="G19" s="543">
        <f>(C5-F13)*G14</f>
        <v>5.8143234810722095</v>
      </c>
    </row>
    <row r="20" spans="1:12" s="11" customFormat="1" ht="12.75" customHeight="1" hidden="1">
      <c r="A20" s="385"/>
      <c r="B20" s="107"/>
      <c r="C20" s="107"/>
      <c r="D20" s="107"/>
      <c r="E20" s="551"/>
      <c r="F20" s="551"/>
      <c r="G20" s="551"/>
      <c r="J20" s="443"/>
      <c r="K20" s="62"/>
      <c r="L20" s="64"/>
    </row>
    <row r="21" spans="1:12" s="11" customFormat="1" ht="15.75" customHeight="1" hidden="1">
      <c r="A21" s="385"/>
      <c r="B21" s="545"/>
      <c r="C21" s="546" t="s">
        <v>77</v>
      </c>
      <c r="D21" s="547" t="s">
        <v>78</v>
      </c>
      <c r="E21" s="103">
        <f>E14</f>
        <v>81.56207536027954</v>
      </c>
      <c r="F21" s="103">
        <f>F14</f>
        <v>58.109020638970975</v>
      </c>
      <c r="G21" s="103">
        <f>G14</f>
        <v>136.28646962144418</v>
      </c>
      <c r="I21" s="443"/>
      <c r="J21" s="443"/>
      <c r="K21" s="63"/>
      <c r="L21" s="64"/>
    </row>
    <row r="22" spans="1:12" s="11" customFormat="1" ht="12.75" customHeight="1" hidden="1">
      <c r="A22" s="385"/>
      <c r="B22" s="552"/>
      <c r="C22" s="552"/>
      <c r="D22" s="224" t="s">
        <v>41</v>
      </c>
      <c r="E22" s="543">
        <f>ABS((1-(C5-E13))*E14)</f>
        <v>78.48397159226556</v>
      </c>
      <c r="F22" s="543">
        <f>ABS((1-(C5-G13))*F14)</f>
        <v>56.20356960702242</v>
      </c>
      <c r="G22" s="543">
        <f>ABS((1-(C5-F13))*G14)</f>
        <v>130.47214614037196</v>
      </c>
      <c r="I22" s="443"/>
      <c r="J22" s="443"/>
      <c r="K22" s="62"/>
      <c r="L22" s="64"/>
    </row>
    <row r="23" spans="1:17" ht="12.75" customHeight="1" hidden="1">
      <c r="A23" s="385"/>
      <c r="B23" s="86"/>
      <c r="C23" s="86"/>
      <c r="D23" s="33" t="s">
        <v>73</v>
      </c>
      <c r="E23" s="553">
        <f>E14*E13</f>
        <v>1</v>
      </c>
      <c r="F23" s="543">
        <f>F14*G13</f>
        <v>1</v>
      </c>
      <c r="G23" s="543">
        <f>G14*F13</f>
        <v>1</v>
      </c>
      <c r="J23" s="4"/>
      <c r="K23" s="4"/>
      <c r="P23" s="4"/>
      <c r="Q23" s="4"/>
    </row>
    <row r="24" spans="1:17" ht="12.75" customHeight="1" hidden="1">
      <c r="A24" s="385"/>
      <c r="B24" s="548"/>
      <c r="C24" s="554"/>
      <c r="D24" s="549" t="s">
        <v>74</v>
      </c>
      <c r="E24" s="543">
        <f>ABS(C5*E14)</f>
        <v>4.078103768013977</v>
      </c>
      <c r="F24" s="543">
        <f>ABS(C5*F14)</f>
        <v>2.905451031948549</v>
      </c>
      <c r="G24" s="543">
        <f>ABS(C5*G14)</f>
        <v>6.8143234810722095</v>
      </c>
      <c r="I24" s="17"/>
      <c r="J24" s="17"/>
      <c r="K24" s="17"/>
      <c r="P24" s="4"/>
      <c r="Q24" s="4"/>
    </row>
    <row r="25" spans="1:11" s="11" customFormat="1" ht="12.75" customHeight="1" hidden="1">
      <c r="A25" s="385"/>
      <c r="B25" s="86"/>
      <c r="C25" s="108"/>
      <c r="D25" s="69"/>
      <c r="E25" s="70"/>
      <c r="F25" s="70"/>
      <c r="G25" s="70"/>
      <c r="I25" s="17"/>
      <c r="J25" s="17"/>
      <c r="K25" s="90"/>
    </row>
    <row r="26" spans="1:17" ht="12.75" customHeight="1" hidden="1">
      <c r="A26" s="385"/>
      <c r="B26" s="523" t="s">
        <v>58</v>
      </c>
      <c r="C26" s="555"/>
      <c r="D26" s="555"/>
      <c r="E26" s="556">
        <f>ROUND(D9,2)</f>
        <v>0.75</v>
      </c>
      <c r="F26" s="557">
        <f>ROUND(E13,4)</f>
        <v>0.0123</v>
      </c>
      <c r="G26" s="558">
        <f>ROUND(E14,0)</f>
        <v>82</v>
      </c>
      <c r="I26" s="17"/>
      <c r="J26" s="17"/>
      <c r="K26" s="4"/>
      <c r="P26" s="4"/>
      <c r="Q26" s="4"/>
    </row>
    <row r="27" spans="1:17" ht="12.75" customHeight="1" hidden="1">
      <c r="A27" s="385"/>
      <c r="B27" s="528" t="s">
        <v>60</v>
      </c>
      <c r="C27" s="559">
        <f>ROUND(D11,4)</f>
        <v>0.0377</v>
      </c>
      <c r="D27" s="559">
        <f>ROUND(C5,4)</f>
        <v>0.05</v>
      </c>
      <c r="E27" s="560">
        <f>ROUND(E9,2)</f>
        <v>0.65</v>
      </c>
      <c r="F27" s="35">
        <f>ROUND(F13,4)</f>
        <v>0.0073</v>
      </c>
      <c r="G27" s="561">
        <f>ROUND(F14,0)</f>
        <v>58</v>
      </c>
      <c r="I27" s="17"/>
      <c r="J27" s="17"/>
      <c r="P27" s="4"/>
      <c r="Q27" s="4"/>
    </row>
    <row r="28" spans="1:17" ht="12.75" customHeight="1" hidden="1">
      <c r="A28" s="385"/>
      <c r="B28" s="528" t="s">
        <v>59</v>
      </c>
      <c r="C28" s="86"/>
      <c r="D28" s="86"/>
      <c r="E28" s="560">
        <f>ROUND(F9,2)</f>
        <v>0.85</v>
      </c>
      <c r="F28" s="35">
        <f>ROUND(G13,4)</f>
        <v>0.0172</v>
      </c>
      <c r="G28" s="561">
        <f>ROUND(G14,0)</f>
        <v>136</v>
      </c>
      <c r="I28" s="17"/>
      <c r="J28" s="17"/>
      <c r="P28" s="4"/>
      <c r="Q28" s="4"/>
    </row>
    <row r="29" spans="1:17" ht="12.75" customHeight="1" hidden="1">
      <c r="A29" s="385"/>
      <c r="B29" s="528" t="s">
        <v>61</v>
      </c>
      <c r="C29" s="446" t="s">
        <v>87</v>
      </c>
      <c r="D29" s="446" t="s">
        <v>88</v>
      </c>
      <c r="E29" s="446" t="s">
        <v>64</v>
      </c>
      <c r="F29" s="446" t="s">
        <v>63</v>
      </c>
      <c r="G29" s="446" t="s">
        <v>57</v>
      </c>
      <c r="I29" s="17"/>
      <c r="J29" s="17"/>
      <c r="K29" s="4"/>
      <c r="P29" s="4"/>
      <c r="Q29" s="4"/>
    </row>
    <row r="30" spans="1:17" ht="12.75" customHeight="1" hidden="1">
      <c r="A30" s="385"/>
      <c r="B30" s="535" t="s">
        <v>18</v>
      </c>
      <c r="C30" s="446" t="str">
        <f>CONCATENATE(C27*100,B29)</f>
        <v>3,77%</v>
      </c>
      <c r="D30" s="446" t="str">
        <f>CONCATENATE(D27*100,B29)</f>
        <v>5%</v>
      </c>
      <c r="E30" s="446" t="str">
        <f>CONCATENATE(E26," ",B26,E27,B27,E28,B28)</f>
        <v>0,75 (0,65-0,85)</v>
      </c>
      <c r="F30" s="446" t="str">
        <f>CONCATENATE(F26*100,B29," ",B26,F27*100,B29," ",B30," ",F28*100,B29,B28)</f>
        <v>1,23% (0,73% a 1,72%)</v>
      </c>
      <c r="G30" s="446" t="str">
        <f>CONCATENATE(G26," ",B26,G27," ",B30," ",G28,B28)</f>
        <v>82 (58 a 136)</v>
      </c>
      <c r="I30" s="17"/>
      <c r="J30" s="17"/>
      <c r="K30" s="4"/>
      <c r="P30" s="4"/>
      <c r="Q30" s="4"/>
    </row>
    <row r="31" spans="1:10" s="16" customFormat="1" ht="12.75" customHeight="1" hidden="1">
      <c r="A31" s="385"/>
      <c r="B31" s="86"/>
      <c r="C31" s="8"/>
      <c r="D31" s="86"/>
      <c r="E31" s="86"/>
      <c r="F31" s="86"/>
      <c r="G31" s="11"/>
      <c r="I31" s="17"/>
      <c r="J31" s="17"/>
    </row>
    <row r="32" spans="1:17" ht="12.75">
      <c r="A32" s="385"/>
      <c r="B32" s="106"/>
      <c r="C32" s="106"/>
      <c r="D32" s="109"/>
      <c r="E32" s="106"/>
      <c r="F32" s="106"/>
      <c r="I32" s="17"/>
      <c r="J32" s="17"/>
      <c r="K32" s="4"/>
      <c r="P32" s="4"/>
      <c r="Q32" s="4"/>
    </row>
    <row r="33" spans="1:13" ht="18.75" customHeight="1">
      <c r="A33" s="385"/>
      <c r="C33" s="180" t="s">
        <v>87</v>
      </c>
      <c r="D33" s="180" t="s">
        <v>88</v>
      </c>
      <c r="E33" s="180" t="s">
        <v>64</v>
      </c>
      <c r="F33" s="180" t="s">
        <v>56</v>
      </c>
      <c r="G33" s="180" t="s">
        <v>57</v>
      </c>
      <c r="I33" s="511" t="s">
        <v>192</v>
      </c>
      <c r="J33" s="511" t="s">
        <v>191</v>
      </c>
      <c r="L33" s="31"/>
      <c r="M33" s="112"/>
    </row>
    <row r="34" spans="1:13" ht="18.75" customHeight="1">
      <c r="A34" s="385"/>
      <c r="C34" s="83" t="str">
        <f>C30</f>
        <v>3,77%</v>
      </c>
      <c r="D34" s="83" t="str">
        <f>D30</f>
        <v>5%</v>
      </c>
      <c r="E34" s="83" t="str">
        <f>E30</f>
        <v>0,75 (0,65-0,85)</v>
      </c>
      <c r="F34" s="83" t="str">
        <f>F30</f>
        <v>1,23% (0,73% a 1,72%)</v>
      </c>
      <c r="G34" s="83" t="str">
        <f>G30</f>
        <v>82 (58 a 136)</v>
      </c>
      <c r="I34" s="536">
        <f>IF((F27*F28&lt;0),(C27+D27)/2,C27)</f>
        <v>0.0377</v>
      </c>
      <c r="J34" s="536">
        <f>IF((F27*F28&lt;0),(C27+D27)/2,D27)</f>
        <v>0.05</v>
      </c>
      <c r="L34" s="31"/>
      <c r="M34" s="112"/>
    </row>
    <row r="35" spans="1:13" ht="12.75">
      <c r="A35" s="111"/>
      <c r="B35" s="389"/>
      <c r="C35" s="74"/>
      <c r="D35" s="74"/>
      <c r="E35" s="74"/>
      <c r="F35" s="74"/>
      <c r="G35" s="113"/>
      <c r="H35" s="74"/>
      <c r="L35" s="31"/>
      <c r="M35" s="112"/>
    </row>
    <row r="36" spans="1:8" ht="12.75">
      <c r="A36" s="111"/>
      <c r="B36" s="389"/>
      <c r="C36" s="409"/>
      <c r="D36" s="409"/>
      <c r="E36" s="409"/>
      <c r="F36" s="409"/>
      <c r="G36" s="409"/>
      <c r="H36" s="74"/>
    </row>
    <row r="37" spans="1:8" ht="12.75">
      <c r="A37" s="111"/>
      <c r="B37" s="390"/>
      <c r="C37" s="409"/>
      <c r="D37" s="409"/>
      <c r="E37" s="409"/>
      <c r="F37" s="409"/>
      <c r="G37" s="409"/>
      <c r="H37" s="74"/>
    </row>
    <row r="38" spans="1:8" ht="12.75">
      <c r="A38" s="111"/>
      <c r="B38" s="390"/>
      <c r="C38" s="409"/>
      <c r="D38" s="409"/>
      <c r="E38" s="409"/>
      <c r="F38" s="409"/>
      <c r="G38" s="409"/>
      <c r="H38" s="74"/>
    </row>
    <row r="39" spans="1:8" ht="12.75">
      <c r="A39" s="106"/>
      <c r="B39" s="106"/>
      <c r="C39" s="409"/>
      <c r="D39" s="409"/>
      <c r="E39" s="409"/>
      <c r="F39" s="409"/>
      <c r="G39" s="409"/>
      <c r="H39" s="74"/>
    </row>
    <row r="40" spans="1:8" ht="12.75">
      <c r="A40" s="106"/>
      <c r="B40" s="106"/>
      <c r="C40" s="409"/>
      <c r="D40" s="409"/>
      <c r="E40" s="409"/>
      <c r="F40" s="409"/>
      <c r="G40" s="409"/>
      <c r="H40" s="74"/>
    </row>
    <row r="41" spans="1:8" ht="12.75">
      <c r="A41" s="106"/>
      <c r="B41" s="106"/>
      <c r="C41" s="409"/>
      <c r="D41" s="409"/>
      <c r="E41" s="409"/>
      <c r="F41" s="409"/>
      <c r="G41" s="409"/>
      <c r="H41" s="74"/>
    </row>
    <row r="42" spans="1:8" ht="12.75">
      <c r="A42" s="106"/>
      <c r="B42" s="106"/>
      <c r="C42" s="409"/>
      <c r="D42" s="409"/>
      <c r="E42" s="409"/>
      <c r="F42" s="409"/>
      <c r="G42" s="409"/>
      <c r="H42" s="74"/>
    </row>
    <row r="43" spans="1:8" ht="12.75">
      <c r="A43" s="106"/>
      <c r="B43" s="106"/>
      <c r="C43" s="409"/>
      <c r="D43" s="409"/>
      <c r="E43" s="409"/>
      <c r="F43" s="409"/>
      <c r="G43" s="409"/>
      <c r="H43" s="74"/>
    </row>
    <row r="44" spans="1:8" ht="12.75">
      <c r="A44" s="106"/>
      <c r="B44" s="106"/>
      <c r="C44" s="409"/>
      <c r="D44" s="409"/>
      <c r="E44" s="409"/>
      <c r="F44" s="409"/>
      <c r="G44" s="409"/>
      <c r="H44" s="74"/>
    </row>
    <row r="45" spans="1:8" ht="12.75">
      <c r="A45" s="106"/>
      <c r="B45" s="106"/>
      <c r="C45" s="409"/>
      <c r="D45" s="409"/>
      <c r="E45" s="409"/>
      <c r="F45" s="409"/>
      <c r="G45" s="409"/>
      <c r="H45" s="74"/>
    </row>
    <row r="46" spans="1:8" ht="12.75">
      <c r="A46" s="106"/>
      <c r="B46" s="106"/>
      <c r="C46" s="409"/>
      <c r="D46" s="409"/>
      <c r="E46" s="409"/>
      <c r="F46" s="409"/>
      <c r="G46" s="409"/>
      <c r="H46" s="74"/>
    </row>
    <row r="47" spans="1:8" ht="12.75">
      <c r="A47" s="106"/>
      <c r="B47" s="106"/>
      <c r="C47" s="409"/>
      <c r="D47" s="409"/>
      <c r="E47" s="409"/>
      <c r="F47" s="409"/>
      <c r="G47" s="409"/>
      <c r="H47" s="74"/>
    </row>
    <row r="48" spans="1:8" ht="12.75">
      <c r="A48" s="106"/>
      <c r="B48" s="106"/>
      <c r="C48" s="409"/>
      <c r="D48" s="409"/>
      <c r="E48" s="409"/>
      <c r="F48" s="409"/>
      <c r="G48" s="409"/>
      <c r="H48" s="74"/>
    </row>
    <row r="49" spans="1:8" ht="12.75">
      <c r="A49" s="106"/>
      <c r="B49" s="106"/>
      <c r="C49" s="409"/>
      <c r="D49" s="409"/>
      <c r="E49" s="409"/>
      <c r="F49" s="409"/>
      <c r="G49" s="409"/>
      <c r="H49" s="74"/>
    </row>
    <row r="50" spans="1:8" ht="12.75">
      <c r="A50" s="106"/>
      <c r="B50" s="106"/>
      <c r="C50" s="409"/>
      <c r="D50" s="409"/>
      <c r="E50" s="409"/>
      <c r="F50" s="409"/>
      <c r="G50" s="409"/>
      <c r="H50" s="74"/>
    </row>
    <row r="51" spans="1:8" ht="12.75">
      <c r="A51" s="106"/>
      <c r="B51" s="106"/>
      <c r="C51" s="409"/>
      <c r="D51" s="409"/>
      <c r="E51" s="409"/>
      <c r="F51" s="409"/>
      <c r="G51" s="409"/>
      <c r="H51" s="74"/>
    </row>
    <row r="52" spans="1:8" ht="12.75">
      <c r="A52" s="106"/>
      <c r="B52" s="106"/>
      <c r="C52" s="409"/>
      <c r="D52" s="409"/>
      <c r="E52" s="409"/>
      <c r="F52" s="409"/>
      <c r="G52" s="409"/>
      <c r="H52" s="74"/>
    </row>
    <row r="53" spans="1:8" ht="12.75">
      <c r="A53" s="106"/>
      <c r="B53" s="106"/>
      <c r="C53" s="409"/>
      <c r="D53" s="409"/>
      <c r="E53" s="409"/>
      <c r="F53" s="409"/>
      <c r="G53" s="409"/>
      <c r="H53" s="74"/>
    </row>
    <row r="54" spans="1:7" ht="12.75">
      <c r="A54" s="106"/>
      <c r="B54" s="106"/>
      <c r="C54" s="409"/>
      <c r="D54" s="409"/>
      <c r="E54" s="409"/>
      <c r="F54" s="409"/>
      <c r="G54" s="409"/>
    </row>
    <row r="55" spans="1:7" ht="12.75">
      <c r="A55" s="106"/>
      <c r="B55" s="106"/>
      <c r="C55" s="409"/>
      <c r="D55" s="409"/>
      <c r="E55" s="409"/>
      <c r="F55" s="409"/>
      <c r="G55" s="409"/>
    </row>
    <row r="56" spans="1:7" ht="12.75">
      <c r="A56" s="106"/>
      <c r="B56" s="106"/>
      <c r="C56" s="409"/>
      <c r="D56" s="409"/>
      <c r="E56" s="409"/>
      <c r="F56" s="409"/>
      <c r="G56" s="409"/>
    </row>
    <row r="57" spans="1:7" ht="12.75">
      <c r="A57" s="106"/>
      <c r="B57" s="106"/>
      <c r="C57" s="409"/>
      <c r="D57" s="409"/>
      <c r="E57" s="409"/>
      <c r="F57" s="409"/>
      <c r="G57" s="409"/>
    </row>
    <row r="58" spans="1:7" ht="12.75">
      <c r="A58" s="106"/>
      <c r="B58" s="106"/>
      <c r="C58" s="409"/>
      <c r="D58" s="409"/>
      <c r="E58" s="409"/>
      <c r="F58" s="409"/>
      <c r="G58" s="409"/>
    </row>
    <row r="59" spans="1:7" ht="12.75">
      <c r="A59" s="106"/>
      <c r="B59" s="106"/>
      <c r="C59" s="409"/>
      <c r="D59" s="409"/>
      <c r="E59" s="409"/>
      <c r="F59" s="409"/>
      <c r="G59" s="409"/>
    </row>
    <row r="60" spans="1:7" ht="12.75">
      <c r="A60" s="106"/>
      <c r="B60" s="106"/>
      <c r="C60" s="409"/>
      <c r="D60" s="409"/>
      <c r="E60" s="409"/>
      <c r="F60" s="409"/>
      <c r="G60" s="409"/>
    </row>
    <row r="61" spans="1:7" ht="12.75">
      <c r="A61" s="106"/>
      <c r="B61" s="106"/>
      <c r="C61" s="409"/>
      <c r="D61" s="409"/>
      <c r="E61" s="409"/>
      <c r="F61" s="409"/>
      <c r="G61" s="409"/>
    </row>
    <row r="62" spans="1:7" ht="12.75">
      <c r="A62" s="106"/>
      <c r="B62" s="106"/>
      <c r="C62" s="409"/>
      <c r="D62" s="409"/>
      <c r="E62" s="409"/>
      <c r="F62" s="409"/>
      <c r="G62" s="409"/>
    </row>
    <row r="63" spans="1:7" ht="12.75">
      <c r="A63" s="106"/>
      <c r="B63" s="106"/>
      <c r="C63" s="409"/>
      <c r="D63" s="409"/>
      <c r="E63" s="409"/>
      <c r="F63" s="409"/>
      <c r="G63" s="409"/>
    </row>
    <row r="64" spans="1:7" ht="12.75">
      <c r="A64" s="106"/>
      <c r="B64" s="106"/>
      <c r="C64" s="409"/>
      <c r="D64" s="409"/>
      <c r="E64" s="409"/>
      <c r="F64" s="409"/>
      <c r="G64" s="409"/>
    </row>
    <row r="65" spans="1:7" ht="12.75">
      <c r="A65" s="106"/>
      <c r="B65" s="106"/>
      <c r="C65" s="409"/>
      <c r="D65" s="409"/>
      <c r="E65" s="409"/>
      <c r="F65" s="409"/>
      <c r="G65" s="409"/>
    </row>
    <row r="66" spans="1:7" ht="12.75">
      <c r="A66" s="106"/>
      <c r="B66" s="106"/>
      <c r="C66" s="409"/>
      <c r="D66" s="409"/>
      <c r="E66" s="409"/>
      <c r="F66" s="409"/>
      <c r="G66" s="409"/>
    </row>
    <row r="67" spans="1:7" ht="12.75">
      <c r="A67" s="106"/>
      <c r="B67" s="106"/>
      <c r="C67" s="409"/>
      <c r="D67" s="409"/>
      <c r="E67" s="409"/>
      <c r="F67" s="409"/>
      <c r="G67" s="409"/>
    </row>
    <row r="68" spans="1:7" ht="12.75">
      <c r="A68" s="106"/>
      <c r="B68" s="106"/>
      <c r="C68" s="409"/>
      <c r="D68" s="409"/>
      <c r="E68" s="409"/>
      <c r="F68" s="409"/>
      <c r="G68" s="409"/>
    </row>
    <row r="69" spans="1:7" ht="12.75">
      <c r="A69" s="106"/>
      <c r="B69" s="106"/>
      <c r="C69" s="409"/>
      <c r="D69" s="409"/>
      <c r="E69" s="409"/>
      <c r="F69" s="409"/>
      <c r="G69" s="409"/>
    </row>
    <row r="70" spans="1:7" ht="12.75">
      <c r="A70" s="106"/>
      <c r="B70" s="106"/>
      <c r="C70" s="409"/>
      <c r="D70" s="409"/>
      <c r="E70" s="409"/>
      <c r="F70" s="409"/>
      <c r="G70" s="409"/>
    </row>
    <row r="71" spans="1:7" ht="12.75">
      <c r="A71" s="106"/>
      <c r="B71" s="106"/>
      <c r="C71" s="409"/>
      <c r="D71" s="409"/>
      <c r="E71" s="409"/>
      <c r="F71" s="409"/>
      <c r="G71" s="409"/>
    </row>
    <row r="72" spans="1:7" ht="12.75">
      <c r="A72" s="106"/>
      <c r="B72" s="106"/>
      <c r="C72" s="409"/>
      <c r="D72" s="409"/>
      <c r="E72" s="409"/>
      <c r="F72" s="409"/>
      <c r="G72" s="409"/>
    </row>
    <row r="73" spans="1:7" ht="12.75">
      <c r="A73" s="106"/>
      <c r="B73" s="106"/>
      <c r="C73" s="409"/>
      <c r="D73" s="409"/>
      <c r="E73" s="409"/>
      <c r="F73" s="409"/>
      <c r="G73" s="409"/>
    </row>
    <row r="74" spans="1:7" ht="12.75">
      <c r="A74" s="106"/>
      <c r="B74" s="106"/>
      <c r="C74" s="409"/>
      <c r="D74" s="409"/>
      <c r="E74" s="409"/>
      <c r="F74" s="409"/>
      <c r="G74" s="409"/>
    </row>
    <row r="75" spans="1:7" ht="12.75">
      <c r="A75" s="106"/>
      <c r="B75" s="106"/>
      <c r="C75" s="409"/>
      <c r="D75" s="409"/>
      <c r="E75" s="409"/>
      <c r="F75" s="409"/>
      <c r="G75" s="409"/>
    </row>
    <row r="76" spans="1:2" ht="12.75">
      <c r="A76" s="106"/>
      <c r="B76" s="106"/>
    </row>
    <row r="77" spans="1:2" ht="12.75">
      <c r="A77" s="106"/>
      <c r="B77" s="106"/>
    </row>
    <row r="78" spans="1:2" ht="12.75">
      <c r="A78" s="106"/>
      <c r="B78" s="106"/>
    </row>
    <row r="79" spans="1:2" ht="12.75">
      <c r="A79" s="106"/>
      <c r="B79" s="106"/>
    </row>
    <row r="80" spans="1:2" ht="12.75">
      <c r="A80" s="106"/>
      <c r="B80" s="106"/>
    </row>
    <row r="81" spans="1:2" ht="12.75">
      <c r="A81" s="106"/>
      <c r="B81" s="106"/>
    </row>
    <row r="82" spans="1:2" ht="12.75">
      <c r="A82" s="106"/>
      <c r="B82" s="106"/>
    </row>
    <row r="83" spans="1:2" ht="12.75">
      <c r="A83" s="106"/>
      <c r="B83" s="106"/>
    </row>
  </sheetData>
  <sheetProtection/>
  <mergeCells count="3">
    <mergeCell ref="D7:F7"/>
    <mergeCell ref="A2:G2"/>
    <mergeCell ref="A3:G3"/>
  </mergeCells>
  <printOptions/>
  <pageMargins left="0.47" right="0.75" top="0.53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57421875" style="116" customWidth="1"/>
    <col min="2" max="2" width="18.7109375" style="116" customWidth="1"/>
    <col min="3" max="3" width="18.28125" style="116" customWidth="1"/>
    <col min="4" max="4" width="17.28125" style="116" customWidth="1"/>
    <col min="5" max="5" width="22.8515625" style="116" customWidth="1"/>
    <col min="6" max="6" width="26.421875" style="116" customWidth="1"/>
    <col min="7" max="7" width="21.8515625" style="116" customWidth="1"/>
    <col min="8" max="8" width="8.28125" style="117" customWidth="1"/>
    <col min="9" max="9" width="17.00390625" style="116" customWidth="1"/>
    <col min="10" max="10" width="19.57421875" style="118" customWidth="1"/>
    <col min="11" max="16384" width="11.421875" style="116" customWidth="1"/>
  </cols>
  <sheetData>
    <row r="1" ht="6.75" customHeight="1" thickBot="1"/>
    <row r="2" spans="1:6" ht="23.25" customHeight="1" thickBot="1">
      <c r="A2" s="582" t="s">
        <v>114</v>
      </c>
      <c r="B2" s="583"/>
      <c r="C2" s="583"/>
      <c r="D2" s="583"/>
      <c r="E2" s="583"/>
      <c r="F2" s="584"/>
    </row>
    <row r="3" spans="1:6" ht="27.75" customHeight="1">
      <c r="A3" s="585" t="s">
        <v>115</v>
      </c>
      <c r="B3" s="586"/>
      <c r="C3" s="586"/>
      <c r="D3" s="586"/>
      <c r="E3" s="586"/>
      <c r="F3" s="587"/>
    </row>
    <row r="4" ht="13.5" thickBot="1">
      <c r="A4" s="391"/>
    </row>
    <row r="5" spans="1:26" ht="22.5" customHeight="1" thickBot="1">
      <c r="A5" s="391"/>
      <c r="B5" s="562" t="s">
        <v>95</v>
      </c>
      <c r="C5" s="563">
        <v>0.5777777777777777</v>
      </c>
      <c r="D5" s="579" t="s">
        <v>98</v>
      </c>
      <c r="E5" s="580"/>
      <c r="F5" s="581"/>
      <c r="G5" s="314"/>
      <c r="H5" s="312"/>
      <c r="I5" s="313"/>
      <c r="J5" s="313"/>
      <c r="K5" s="119"/>
      <c r="L5" s="119"/>
      <c r="M5" s="120"/>
      <c r="N5" s="121"/>
      <c r="O5" s="121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spans="1:26" ht="27.75" customHeight="1" thickBot="1">
      <c r="A6" s="317"/>
      <c r="B6" s="392"/>
      <c r="C6" s="393"/>
      <c r="D6" s="183" t="s">
        <v>96</v>
      </c>
      <c r="E6" s="182" t="s">
        <v>107</v>
      </c>
      <c r="F6" s="284" t="s">
        <v>108</v>
      </c>
      <c r="G6" s="395"/>
      <c r="H6" s="314"/>
      <c r="I6" s="314"/>
      <c r="J6" s="314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6" ht="18.75" customHeight="1" thickBot="1">
      <c r="A7" s="317"/>
      <c r="B7" s="394"/>
      <c r="C7" s="393"/>
      <c r="D7" s="283">
        <v>0.5</v>
      </c>
      <c r="E7" s="286">
        <v>0.4</v>
      </c>
      <c r="F7" s="285">
        <v>0.6</v>
      </c>
      <c r="G7" s="320"/>
      <c r="H7" s="320"/>
      <c r="I7" s="321"/>
      <c r="J7" s="315"/>
      <c r="K7" s="124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6.25" customHeight="1" hidden="1" thickBot="1">
      <c r="A8" s="318"/>
      <c r="B8" s="117"/>
      <c r="C8" s="117"/>
      <c r="D8" s="130"/>
      <c r="E8" s="130"/>
      <c r="F8" s="130"/>
      <c r="G8" s="130"/>
      <c r="H8" s="122"/>
      <c r="I8" s="122"/>
      <c r="J8" s="123"/>
      <c r="K8" s="124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13.5" customHeight="1" hidden="1" thickBot="1">
      <c r="A9" s="318"/>
      <c r="B9" s="513"/>
      <c r="C9" s="513"/>
      <c r="D9" s="514">
        <f>C5*D7</f>
        <v>0.28888888888888886</v>
      </c>
      <c r="E9" s="514">
        <f>C5*E7</f>
        <v>0.2311111111111111</v>
      </c>
      <c r="F9" s="514">
        <f>C5*F7</f>
        <v>0.3466666666666666</v>
      </c>
      <c r="G9" s="130"/>
      <c r="H9" s="125"/>
      <c r="I9" s="122"/>
      <c r="J9" s="126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ht="13.5" customHeight="1" hidden="1" thickBot="1">
      <c r="A10" s="318"/>
      <c r="B10" s="515"/>
      <c r="C10" s="516"/>
      <c r="D10" s="517"/>
      <c r="E10" s="517"/>
      <c r="F10" s="517"/>
      <c r="G10" s="130"/>
      <c r="H10" s="122"/>
      <c r="I10" s="122"/>
      <c r="J10" s="127"/>
      <c r="K10" s="128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ht="15.75" customHeight="1" hidden="1" thickBot="1">
      <c r="A11" s="318"/>
      <c r="B11" s="515"/>
      <c r="C11" s="518" t="s">
        <v>56</v>
      </c>
      <c r="D11" s="519">
        <f>C5-D9</f>
        <v>0.28888888888888886</v>
      </c>
      <c r="E11" s="520">
        <f>C5-F9</f>
        <v>0.2311111111111111</v>
      </c>
      <c r="F11" s="520">
        <f>C5-E9</f>
        <v>0.3466666666666666</v>
      </c>
      <c r="G11" s="130"/>
      <c r="H11" s="122"/>
      <c r="I11" s="122"/>
      <c r="J11" s="124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14" ht="13.5" customHeight="1" hidden="1" thickBot="1">
      <c r="A12" s="318"/>
      <c r="B12" s="515"/>
      <c r="C12" s="518" t="s">
        <v>57</v>
      </c>
      <c r="D12" s="521">
        <f>1/D11</f>
        <v>3.4615384615384617</v>
      </c>
      <c r="E12" s="522">
        <f>1/F11</f>
        <v>2.884615384615385</v>
      </c>
      <c r="F12" s="522">
        <f>1/E11</f>
        <v>4.3269230769230775</v>
      </c>
      <c r="G12" s="130"/>
      <c r="H12" s="116"/>
      <c r="I12" s="117"/>
      <c r="J12" s="129"/>
      <c r="K12" s="117"/>
      <c r="L12" s="117"/>
      <c r="M12" s="117"/>
      <c r="N12" s="117"/>
    </row>
    <row r="13" spans="1:8" ht="12.75" customHeight="1" hidden="1">
      <c r="A13" s="318"/>
      <c r="B13" s="117"/>
      <c r="C13" s="130"/>
      <c r="D13" s="130"/>
      <c r="E13" s="130"/>
      <c r="F13" s="130"/>
      <c r="G13" s="130"/>
      <c r="H13" s="116"/>
    </row>
    <row r="14" spans="1:10" s="117" customFormat="1" ht="12.75" customHeight="1" hidden="1">
      <c r="A14" s="319"/>
      <c r="B14" s="138"/>
      <c r="C14" s="133"/>
      <c r="D14" s="134"/>
      <c r="E14" s="135"/>
      <c r="F14" s="134"/>
      <c r="G14" s="130"/>
      <c r="J14" s="129"/>
    </row>
    <row r="15" spans="1:8" ht="12.75" customHeight="1" hidden="1">
      <c r="A15" s="318"/>
      <c r="B15" s="523" t="s">
        <v>58</v>
      </c>
      <c r="C15" s="524"/>
      <c r="D15" s="524"/>
      <c r="E15" s="525">
        <f>ROUND(D7,2)</f>
        <v>0.5</v>
      </c>
      <c r="F15" s="526">
        <f>ROUND(D11,4)</f>
        <v>0.2889</v>
      </c>
      <c r="G15" s="527">
        <f>ROUND(D12,0)</f>
        <v>3</v>
      </c>
      <c r="H15" s="116"/>
    </row>
    <row r="16" spans="1:8" ht="12.75" customHeight="1" hidden="1">
      <c r="A16" s="318"/>
      <c r="B16" s="528" t="s">
        <v>60</v>
      </c>
      <c r="C16" s="529">
        <f>ROUND(D9,4)</f>
        <v>0.2889</v>
      </c>
      <c r="D16" s="529">
        <f>ROUND(C5,4)</f>
        <v>0.5778</v>
      </c>
      <c r="E16" s="530">
        <f>ROUND(E7,2)</f>
        <v>0.4</v>
      </c>
      <c r="F16" s="531">
        <f>ROUND(E11,4)</f>
        <v>0.2311</v>
      </c>
      <c r="G16" s="532">
        <f>ROUND(E12,0)</f>
        <v>3</v>
      </c>
      <c r="H16" s="116"/>
    </row>
    <row r="17" spans="1:8" ht="12.75" customHeight="1" hidden="1">
      <c r="A17" s="318"/>
      <c r="B17" s="528" t="s">
        <v>59</v>
      </c>
      <c r="C17" s="124"/>
      <c r="D17" s="124"/>
      <c r="E17" s="530">
        <f>ROUND(F7,2)</f>
        <v>0.6</v>
      </c>
      <c r="F17" s="531">
        <f>ROUND(F11,4)</f>
        <v>0.3467</v>
      </c>
      <c r="G17" s="532">
        <f>ROUND(F12,0)</f>
        <v>4</v>
      </c>
      <c r="H17" s="116"/>
    </row>
    <row r="18" spans="1:8" ht="12.75" customHeight="1" hidden="1">
      <c r="A18" s="318"/>
      <c r="B18" s="528" t="s">
        <v>61</v>
      </c>
      <c r="C18" s="533" t="s">
        <v>87</v>
      </c>
      <c r="D18" s="533" t="s">
        <v>88</v>
      </c>
      <c r="E18" s="534" t="s">
        <v>62</v>
      </c>
      <c r="F18" s="534" t="s">
        <v>63</v>
      </c>
      <c r="G18" s="533" t="s">
        <v>57</v>
      </c>
      <c r="H18" s="116"/>
    </row>
    <row r="19" spans="1:8" ht="12.75" customHeight="1" hidden="1">
      <c r="A19" s="318"/>
      <c r="B19" s="535" t="s">
        <v>18</v>
      </c>
      <c r="C19" s="533" t="str">
        <f>CONCATENATE(C16*100,B18)</f>
        <v>28,89%</v>
      </c>
      <c r="D19" s="533" t="str">
        <f>CONCATENATE(D16*100,B18)</f>
        <v>57,78%</v>
      </c>
      <c r="E19" s="533" t="str">
        <f>CONCATENATE(E15," ",B15,E16,B16,E17,B17)</f>
        <v>0,5 (0,4-0,6)</v>
      </c>
      <c r="F19" s="533" t="str">
        <f>CONCATENATE(F15*100,B18," ",B15,F16*100,B18," ",B19," ",F17*100,B18,B17)</f>
        <v>28,89% (23,11% a 34,67%)</v>
      </c>
      <c r="G19" s="533" t="str">
        <f>CONCATENATE(G15," ",B15,G16," ",B19," ",G17,B17)</f>
        <v>3 (3 a 4)</v>
      </c>
      <c r="H19" s="116"/>
    </row>
    <row r="20" spans="1:10" s="117" customFormat="1" ht="13.5" customHeight="1" hidden="1">
      <c r="A20" s="319"/>
      <c r="B20" s="122"/>
      <c r="C20" s="136"/>
      <c r="D20" s="136"/>
      <c r="E20" s="136"/>
      <c r="F20" s="136"/>
      <c r="G20" s="136"/>
      <c r="J20" s="129"/>
    </row>
    <row r="21" spans="1:8" ht="12.75">
      <c r="A21" s="318"/>
      <c r="B21" s="139"/>
      <c r="C21" s="132"/>
      <c r="D21" s="132"/>
      <c r="E21" s="132"/>
      <c r="F21" s="132"/>
      <c r="G21" s="132"/>
      <c r="H21" s="116"/>
    </row>
    <row r="22" spans="1:12" ht="21.75" customHeight="1">
      <c r="A22" s="318"/>
      <c r="B22" s="132"/>
      <c r="C22" s="305" t="s">
        <v>87</v>
      </c>
      <c r="D22" s="305" t="s">
        <v>88</v>
      </c>
      <c r="E22" s="305" t="s">
        <v>62</v>
      </c>
      <c r="F22" s="305" t="s">
        <v>56</v>
      </c>
      <c r="G22" s="305" t="s">
        <v>57</v>
      </c>
      <c r="I22" s="511" t="s">
        <v>192</v>
      </c>
      <c r="J22" s="511" t="s">
        <v>191</v>
      </c>
      <c r="K22" s="117"/>
      <c r="L22" s="117"/>
    </row>
    <row r="23" spans="1:12" ht="21" customHeight="1">
      <c r="A23" s="318"/>
      <c r="B23" s="132"/>
      <c r="C23" s="137" t="str">
        <f>C19</f>
        <v>28,89%</v>
      </c>
      <c r="D23" s="137" t="str">
        <f>D19</f>
        <v>57,78%</v>
      </c>
      <c r="E23" s="137" t="str">
        <f>E19</f>
        <v>0,5 (0,4-0,6)</v>
      </c>
      <c r="F23" s="137" t="str">
        <f>F19</f>
        <v>28,89% (23,11% a 34,67%)</v>
      </c>
      <c r="G23" s="137" t="str">
        <f>G19</f>
        <v>3 (3 a 4)</v>
      </c>
      <c r="I23" s="536">
        <f>IF((F16*F17&lt;0),(C16+D16)/2,C16)</f>
        <v>0.2889</v>
      </c>
      <c r="J23" s="536">
        <f>IF((F16*F17&lt;0),(C16+D16)/2,D16)</f>
        <v>0.5778</v>
      </c>
      <c r="K23" s="130"/>
      <c r="L23" s="117"/>
    </row>
    <row r="24" spans="1:12" ht="12.75">
      <c r="A24" s="397"/>
      <c r="B24" s="398"/>
      <c r="C24" s="391"/>
      <c r="D24" s="391"/>
      <c r="E24" s="391"/>
      <c r="F24" s="396"/>
      <c r="G24" s="396"/>
      <c r="H24" s="396"/>
      <c r="I24" s="396"/>
      <c r="J24" s="129"/>
      <c r="K24" s="117"/>
      <c r="L24" s="117"/>
    </row>
    <row r="25" spans="1:12" ht="12.75">
      <c r="A25" s="397"/>
      <c r="B25" s="398"/>
      <c r="C25" s="410"/>
      <c r="D25" s="410"/>
      <c r="E25" s="410"/>
      <c r="F25" s="410"/>
      <c r="G25" s="410"/>
      <c r="H25" s="396"/>
      <c r="I25" s="396"/>
      <c r="J25" s="129"/>
      <c r="K25" s="117"/>
      <c r="L25" s="117"/>
    </row>
    <row r="26" spans="1:12" ht="12.75">
      <c r="A26" s="398"/>
      <c r="B26" s="398"/>
      <c r="C26" s="410"/>
      <c r="D26" s="410"/>
      <c r="E26" s="410"/>
      <c r="F26" s="410"/>
      <c r="G26" s="410"/>
      <c r="H26" s="396"/>
      <c r="I26" s="396"/>
      <c r="J26" s="129"/>
      <c r="K26" s="130"/>
      <c r="L26" s="117"/>
    </row>
    <row r="27" spans="1:12" ht="12.75">
      <c r="A27" s="399"/>
      <c r="B27" s="399"/>
      <c r="C27" s="410"/>
      <c r="D27" s="410"/>
      <c r="E27" s="410"/>
      <c r="F27" s="410"/>
      <c r="G27" s="410"/>
      <c r="H27" s="396"/>
      <c r="I27" s="396"/>
      <c r="J27" s="129"/>
      <c r="K27" s="130"/>
      <c r="L27" s="117"/>
    </row>
    <row r="28" spans="1:12" ht="12.75">
      <c r="A28" s="399"/>
      <c r="B28" s="399"/>
      <c r="C28" s="410"/>
      <c r="D28" s="410"/>
      <c r="E28" s="410"/>
      <c r="F28" s="410"/>
      <c r="G28" s="410"/>
      <c r="H28" s="396"/>
      <c r="I28" s="396"/>
      <c r="J28" s="129"/>
      <c r="K28" s="117"/>
      <c r="L28" s="117"/>
    </row>
    <row r="29" spans="1:9" ht="12.75">
      <c r="A29" s="400"/>
      <c r="B29" s="401"/>
      <c r="C29" s="410"/>
      <c r="D29" s="410"/>
      <c r="E29" s="410"/>
      <c r="F29" s="410"/>
      <c r="G29" s="410"/>
      <c r="H29" s="391"/>
      <c r="I29" s="391"/>
    </row>
    <row r="30" spans="1:9" ht="12.75">
      <c r="A30" s="399"/>
      <c r="B30" s="399"/>
      <c r="C30" s="410"/>
      <c r="D30" s="410"/>
      <c r="E30" s="410"/>
      <c r="F30" s="410"/>
      <c r="G30" s="410"/>
      <c r="H30" s="391"/>
      <c r="I30" s="391"/>
    </row>
    <row r="31" spans="1:9" ht="12.75">
      <c r="A31" s="399"/>
      <c r="B31" s="399"/>
      <c r="C31" s="410"/>
      <c r="D31" s="410"/>
      <c r="E31" s="410"/>
      <c r="F31" s="410"/>
      <c r="G31" s="410"/>
      <c r="H31" s="396"/>
      <c r="I31" s="391"/>
    </row>
    <row r="32" spans="1:9" ht="12.75">
      <c r="A32" s="398"/>
      <c r="B32" s="398"/>
      <c r="C32" s="410"/>
      <c r="D32" s="410"/>
      <c r="E32" s="410"/>
      <c r="F32" s="410"/>
      <c r="G32" s="410"/>
      <c r="H32" s="396"/>
      <c r="I32" s="391"/>
    </row>
    <row r="33" spans="1:9" ht="12.75">
      <c r="A33" s="398"/>
      <c r="B33" s="398"/>
      <c r="C33" s="410"/>
      <c r="D33" s="410"/>
      <c r="E33" s="410"/>
      <c r="F33" s="410"/>
      <c r="G33" s="410"/>
      <c r="H33" s="396"/>
      <c r="I33" s="391"/>
    </row>
    <row r="34" spans="1:10" s="117" customFormat="1" ht="12.75">
      <c r="A34" s="402"/>
      <c r="B34" s="398"/>
      <c r="C34" s="410"/>
      <c r="D34" s="410"/>
      <c r="E34" s="410"/>
      <c r="F34" s="410"/>
      <c r="G34" s="410"/>
      <c r="H34" s="396"/>
      <c r="I34" s="391"/>
      <c r="J34" s="118"/>
    </row>
    <row r="35" spans="1:9" ht="12.75">
      <c r="A35" s="398"/>
      <c r="B35" s="398"/>
      <c r="C35" s="410"/>
      <c r="D35" s="410"/>
      <c r="E35" s="410"/>
      <c r="F35" s="410"/>
      <c r="G35" s="410"/>
      <c r="H35" s="396"/>
      <c r="I35" s="391"/>
    </row>
    <row r="36" spans="1:9" ht="12.75">
      <c r="A36" s="398"/>
      <c r="B36" s="398"/>
      <c r="C36" s="410"/>
      <c r="D36" s="410"/>
      <c r="E36" s="410"/>
      <c r="F36" s="410"/>
      <c r="G36" s="410"/>
      <c r="H36" s="396"/>
      <c r="I36" s="391"/>
    </row>
    <row r="37" spans="1:9" ht="12.75">
      <c r="A37" s="398"/>
      <c r="B37" s="398"/>
      <c r="C37" s="410"/>
      <c r="D37" s="410"/>
      <c r="E37" s="410"/>
      <c r="F37" s="410"/>
      <c r="G37" s="410"/>
      <c r="H37" s="396"/>
      <c r="I37" s="391"/>
    </row>
    <row r="38" spans="1:9" ht="12.75">
      <c r="A38" s="398"/>
      <c r="B38" s="398"/>
      <c r="C38" s="410"/>
      <c r="D38" s="410"/>
      <c r="E38" s="410"/>
      <c r="F38" s="410"/>
      <c r="G38" s="410"/>
      <c r="H38" s="396"/>
      <c r="I38" s="391"/>
    </row>
    <row r="39" spans="1:9" ht="12.75">
      <c r="A39" s="398"/>
      <c r="B39" s="398"/>
      <c r="C39" s="410"/>
      <c r="D39" s="410"/>
      <c r="E39" s="410"/>
      <c r="F39" s="410"/>
      <c r="G39" s="410"/>
      <c r="H39" s="396"/>
      <c r="I39" s="391"/>
    </row>
    <row r="40" spans="1:9" ht="12.75">
      <c r="A40" s="398"/>
      <c r="B40" s="398"/>
      <c r="C40" s="410"/>
      <c r="D40" s="410"/>
      <c r="E40" s="410"/>
      <c r="F40" s="410"/>
      <c r="G40" s="410"/>
      <c r="H40" s="396"/>
      <c r="I40" s="391"/>
    </row>
    <row r="41" spans="1:9" ht="12.75">
      <c r="A41" s="398"/>
      <c r="B41" s="398"/>
      <c r="C41" s="410"/>
      <c r="D41" s="410"/>
      <c r="E41" s="410"/>
      <c r="F41" s="410"/>
      <c r="G41" s="410"/>
      <c r="H41" s="396"/>
      <c r="I41" s="391"/>
    </row>
    <row r="42" spans="1:9" ht="12.75">
      <c r="A42" s="398"/>
      <c r="B42" s="398"/>
      <c r="C42" s="410"/>
      <c r="D42" s="410"/>
      <c r="E42" s="410"/>
      <c r="F42" s="410"/>
      <c r="G42" s="410"/>
      <c r="H42" s="396"/>
      <c r="I42" s="391"/>
    </row>
    <row r="43" spans="1:7" ht="12.75">
      <c r="A43" s="403"/>
      <c r="B43" s="403"/>
      <c r="C43" s="410"/>
      <c r="D43" s="410"/>
      <c r="E43" s="410"/>
      <c r="F43" s="410"/>
      <c r="G43" s="410"/>
    </row>
    <row r="44" spans="1:7" ht="12.75">
      <c r="A44" s="403"/>
      <c r="B44" s="403"/>
      <c r="C44" s="410"/>
      <c r="D44" s="410"/>
      <c r="E44" s="410"/>
      <c r="F44" s="410"/>
      <c r="G44" s="410"/>
    </row>
    <row r="45" spans="1:7" ht="12.75">
      <c r="A45" s="403"/>
      <c r="B45" s="403"/>
      <c r="C45" s="410"/>
      <c r="D45" s="410"/>
      <c r="E45" s="410"/>
      <c r="F45" s="410"/>
      <c r="G45" s="410"/>
    </row>
    <row r="46" spans="1:7" ht="12.75">
      <c r="A46" s="403"/>
      <c r="B46" s="403"/>
      <c r="C46" s="410"/>
      <c r="D46" s="410"/>
      <c r="E46" s="410"/>
      <c r="F46" s="410"/>
      <c r="G46" s="410"/>
    </row>
    <row r="47" spans="1:7" ht="12.75">
      <c r="A47" s="403"/>
      <c r="B47" s="403"/>
      <c r="C47" s="410"/>
      <c r="D47" s="410"/>
      <c r="E47" s="410"/>
      <c r="F47" s="410"/>
      <c r="G47" s="410"/>
    </row>
    <row r="48" spans="1:7" ht="12.75">
      <c r="A48" s="403"/>
      <c r="B48" s="403"/>
      <c r="C48" s="410"/>
      <c r="D48" s="410"/>
      <c r="E48" s="410"/>
      <c r="F48" s="410"/>
      <c r="G48" s="410"/>
    </row>
    <row r="49" spans="3:7" ht="12.75">
      <c r="C49" s="410"/>
      <c r="D49" s="410"/>
      <c r="E49" s="410"/>
      <c r="F49" s="410"/>
      <c r="G49" s="410"/>
    </row>
    <row r="50" spans="3:7" ht="12.75">
      <c r="C50" s="410"/>
      <c r="D50" s="410"/>
      <c r="E50" s="410"/>
      <c r="F50" s="410"/>
      <c r="G50" s="410"/>
    </row>
    <row r="51" spans="3:7" ht="12.75">
      <c r="C51" s="410"/>
      <c r="D51" s="410"/>
      <c r="E51" s="410"/>
      <c r="F51" s="410"/>
      <c r="G51" s="410"/>
    </row>
    <row r="52" spans="3:7" ht="12.75">
      <c r="C52" s="410"/>
      <c r="D52" s="410"/>
      <c r="E52" s="410"/>
      <c r="F52" s="410"/>
      <c r="G52" s="410"/>
    </row>
    <row r="53" spans="3:7" ht="12.75">
      <c r="C53" s="410"/>
      <c r="D53" s="410"/>
      <c r="E53" s="410"/>
      <c r="F53" s="410"/>
      <c r="G53" s="410"/>
    </row>
    <row r="54" spans="3:7" ht="12.75">
      <c r="C54" s="410"/>
      <c r="D54" s="410"/>
      <c r="E54" s="410"/>
      <c r="F54" s="410"/>
      <c r="G54" s="410"/>
    </row>
    <row r="55" spans="3:7" ht="12.75">
      <c r="C55" s="410"/>
      <c r="D55" s="410"/>
      <c r="E55" s="410"/>
      <c r="F55" s="410"/>
      <c r="G55" s="410"/>
    </row>
    <row r="56" spans="3:7" ht="12.75">
      <c r="C56" s="410"/>
      <c r="D56" s="410"/>
      <c r="E56" s="410"/>
      <c r="F56" s="410"/>
      <c r="G56" s="410"/>
    </row>
    <row r="57" spans="3:7" ht="12.75">
      <c r="C57" s="410"/>
      <c r="D57" s="410"/>
      <c r="E57" s="410"/>
      <c r="F57" s="410"/>
      <c r="G57" s="410"/>
    </row>
    <row r="58" spans="3:7" ht="12.75">
      <c r="C58" s="410"/>
      <c r="D58" s="410"/>
      <c r="E58" s="410"/>
      <c r="F58" s="410"/>
      <c r="G58" s="410"/>
    </row>
    <row r="59" spans="3:7" ht="12.75">
      <c r="C59" s="410"/>
      <c r="D59" s="410"/>
      <c r="E59" s="410"/>
      <c r="F59" s="410"/>
      <c r="G59" s="410"/>
    </row>
    <row r="60" spans="3:7" ht="12.75">
      <c r="C60" s="410"/>
      <c r="D60" s="410"/>
      <c r="E60" s="410"/>
      <c r="F60" s="410"/>
      <c r="G60" s="410"/>
    </row>
    <row r="61" spans="3:7" ht="12.75">
      <c r="C61" s="410"/>
      <c r="D61" s="410"/>
      <c r="E61" s="410"/>
      <c r="F61" s="410"/>
      <c r="G61" s="410"/>
    </row>
    <row r="62" spans="3:7" ht="12.75">
      <c r="C62" s="410"/>
      <c r="D62" s="410"/>
      <c r="E62" s="410"/>
      <c r="F62" s="410"/>
      <c r="G62" s="410"/>
    </row>
    <row r="63" spans="3:7" ht="12.75">
      <c r="C63" s="410"/>
      <c r="D63" s="410"/>
      <c r="E63" s="410"/>
      <c r="F63" s="410"/>
      <c r="G63" s="410"/>
    </row>
    <row r="64" spans="3:7" ht="12.75">
      <c r="C64" s="410"/>
      <c r="D64" s="410"/>
      <c r="E64" s="410"/>
      <c r="F64" s="410"/>
      <c r="G64" s="410"/>
    </row>
    <row r="65" spans="3:7" ht="12.75">
      <c r="C65" s="131"/>
      <c r="D65" s="131"/>
      <c r="E65" s="131"/>
      <c r="F65" s="131"/>
      <c r="G65" s="131"/>
    </row>
    <row r="66" spans="3:7" ht="12.75">
      <c r="C66" s="131"/>
      <c r="D66" s="131"/>
      <c r="E66" s="131"/>
      <c r="F66" s="131"/>
      <c r="G66" s="131"/>
    </row>
    <row r="67" spans="3:7" ht="12.75">
      <c r="C67" s="131"/>
      <c r="D67" s="131"/>
      <c r="E67" s="131"/>
      <c r="F67" s="131"/>
      <c r="G67" s="131"/>
    </row>
    <row r="68" spans="3:7" ht="12.75">
      <c r="C68" s="131"/>
      <c r="D68" s="131"/>
      <c r="E68" s="131"/>
      <c r="F68" s="131"/>
      <c r="G68" s="131"/>
    </row>
    <row r="69" spans="3:7" ht="12.75">
      <c r="C69" s="131"/>
      <c r="D69" s="131"/>
      <c r="E69" s="131"/>
      <c r="F69" s="131"/>
      <c r="G69" s="131"/>
    </row>
    <row r="70" spans="3:7" ht="12.75">
      <c r="C70" s="131"/>
      <c r="D70" s="131"/>
      <c r="E70" s="131"/>
      <c r="F70" s="131"/>
      <c r="G70" s="131"/>
    </row>
    <row r="71" spans="3:7" ht="12.75">
      <c r="C71" s="131"/>
      <c r="D71" s="131"/>
      <c r="E71" s="131"/>
      <c r="F71" s="131"/>
      <c r="G71" s="131"/>
    </row>
    <row r="72" spans="3:7" ht="12.75">
      <c r="C72" s="131"/>
      <c r="D72" s="131"/>
      <c r="E72" s="131"/>
      <c r="F72" s="131"/>
      <c r="G72" s="131"/>
    </row>
    <row r="73" spans="3:7" ht="12.75">
      <c r="C73" s="131"/>
      <c r="D73" s="131"/>
      <c r="E73" s="131"/>
      <c r="F73" s="131"/>
      <c r="G73" s="131"/>
    </row>
    <row r="74" spans="3:7" ht="12.75">
      <c r="C74" s="131"/>
      <c r="D74" s="131"/>
      <c r="E74" s="131"/>
      <c r="F74" s="131"/>
      <c r="G74" s="131"/>
    </row>
    <row r="75" spans="3:7" ht="12.75">
      <c r="C75" s="131"/>
      <c r="D75" s="131"/>
      <c r="E75" s="131"/>
      <c r="F75" s="131"/>
      <c r="G75" s="131"/>
    </row>
    <row r="76" spans="3:7" ht="12.75">
      <c r="C76" s="131"/>
      <c r="D76" s="131"/>
      <c r="E76" s="131"/>
      <c r="F76" s="131"/>
      <c r="G76" s="131"/>
    </row>
    <row r="77" spans="3:7" ht="12.75">
      <c r="C77" s="131"/>
      <c r="D77" s="131"/>
      <c r="E77" s="131"/>
      <c r="F77" s="131"/>
      <c r="G77" s="131"/>
    </row>
    <row r="78" ht="12.75" customHeight="1"/>
    <row r="79" ht="38.25" customHeight="1"/>
  </sheetData>
  <sheetProtection/>
  <mergeCells count="3">
    <mergeCell ref="D5:F5"/>
    <mergeCell ref="A2:F2"/>
    <mergeCell ref="A3:F3"/>
  </mergeCells>
  <printOptions/>
  <pageMargins left="0.17" right="0.16" top="0.57" bottom="0.72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4"/>
  <sheetViews>
    <sheetView zoomScale="90" zoomScaleNormal="90" zoomScalePageLayoutView="0" workbookViewId="0" topLeftCell="A1">
      <selection activeCell="B1" sqref="B1"/>
    </sheetView>
  </sheetViews>
  <sheetFormatPr defaultColWidth="25.28125" defaultRowHeight="12.75"/>
  <cols>
    <col min="1" max="1" width="1.7109375" style="0" customWidth="1"/>
    <col min="2" max="2" width="25.28125" style="0" customWidth="1"/>
    <col min="3" max="3" width="17.28125" style="0" customWidth="1"/>
    <col min="4" max="4" width="10.7109375" style="0" customWidth="1"/>
    <col min="5" max="5" width="9.421875" style="0" customWidth="1"/>
    <col min="6" max="6" width="8.28125" style="0" customWidth="1"/>
    <col min="7" max="7" width="12.421875" style="0" customWidth="1"/>
    <col min="8" max="9" width="11.421875" style="0" customWidth="1"/>
    <col min="10" max="10" width="32.57421875" style="0" customWidth="1"/>
    <col min="11" max="11" width="1.57421875" style="0" customWidth="1"/>
    <col min="12" max="254" width="11.421875" style="0" customWidth="1"/>
  </cols>
  <sheetData>
    <row r="1" ht="6" customHeight="1" thickBot="1"/>
    <row r="2" spans="2:9" ht="19.5" thickBot="1">
      <c r="B2" s="588" t="s">
        <v>90</v>
      </c>
      <c r="C2" s="589"/>
      <c r="D2" s="589"/>
      <c r="E2" s="589"/>
      <c r="F2" s="589"/>
      <c r="G2" s="589"/>
      <c r="H2" s="589"/>
      <c r="I2" s="590"/>
    </row>
    <row r="3" spans="2:9" ht="26.25" customHeight="1">
      <c r="B3" s="578" t="s">
        <v>142</v>
      </c>
      <c r="C3" s="578"/>
      <c r="D3" s="578"/>
      <c r="E3" s="578"/>
      <c r="F3" s="578"/>
      <c r="G3" s="578"/>
      <c r="H3" s="578"/>
      <c r="I3" s="578"/>
    </row>
    <row r="4" spans="2:9" ht="9.75" customHeight="1" thickBot="1">
      <c r="B4" s="232"/>
      <c r="C4" s="232"/>
      <c r="D4" s="232"/>
      <c r="E4" s="232"/>
      <c r="F4" s="232"/>
      <c r="G4" s="232"/>
      <c r="H4" s="232"/>
      <c r="I4" s="232"/>
    </row>
    <row r="5" spans="2:9" s="146" customFormat="1" ht="18">
      <c r="B5" s="233" t="s">
        <v>160</v>
      </c>
      <c r="C5" s="234" t="s">
        <v>162</v>
      </c>
      <c r="D5" s="234"/>
      <c r="E5" s="234"/>
      <c r="F5" s="234"/>
      <c r="G5" s="234"/>
      <c r="H5" s="234"/>
      <c r="I5" s="236"/>
    </row>
    <row r="6" spans="2:9" s="146" customFormat="1" ht="15">
      <c r="B6" s="237" t="s">
        <v>156</v>
      </c>
      <c r="C6" s="287">
        <v>0.2</v>
      </c>
      <c r="D6" s="167" t="s">
        <v>147</v>
      </c>
      <c r="E6" s="239">
        <v>1</v>
      </c>
      <c r="F6" s="169" t="s">
        <v>68</v>
      </c>
      <c r="G6" s="240"/>
      <c r="H6" s="241" t="s">
        <v>157</v>
      </c>
      <c r="I6" s="288">
        <f>E6*C6</f>
        <v>0.2</v>
      </c>
    </row>
    <row r="7" spans="2:9" s="146" customFormat="1" ht="15">
      <c r="B7" s="243" t="s">
        <v>158</v>
      </c>
      <c r="C7" s="289">
        <v>1.5</v>
      </c>
      <c r="D7" s="169"/>
      <c r="E7" s="169"/>
      <c r="F7" s="169"/>
      <c r="G7" s="169"/>
      <c r="H7" s="169"/>
      <c r="I7" s="168"/>
    </row>
    <row r="8" spans="2:9" s="146" customFormat="1" ht="18.75" thickBot="1">
      <c r="B8" s="290" t="s">
        <v>161</v>
      </c>
      <c r="C8" s="291">
        <f>I6*C7</f>
        <v>0.30000000000000004</v>
      </c>
      <c r="D8" s="247"/>
      <c r="E8" s="247"/>
      <c r="F8" s="247"/>
      <c r="G8" s="247"/>
      <c r="H8" s="247"/>
      <c r="I8" s="175"/>
    </row>
    <row r="9" s="146" customFormat="1" ht="10.5" customHeight="1" thickBot="1"/>
    <row r="10" spans="2:9" s="148" customFormat="1" ht="15.75" hidden="1" thickBot="1">
      <c r="B10" s="150"/>
      <c r="C10" s="151"/>
      <c r="D10" s="152"/>
      <c r="E10" s="153"/>
      <c r="G10" s="146"/>
      <c r="H10" s="146"/>
      <c r="I10" s="146"/>
    </row>
    <row r="11" spans="2:19" s="146" customFormat="1" ht="15.75" hidden="1" thickBot="1">
      <c r="B11" s="147" t="s">
        <v>46</v>
      </c>
      <c r="L11" s="148"/>
      <c r="M11" s="148"/>
      <c r="R11" s="148"/>
      <c r="S11" s="148"/>
    </row>
    <row r="12" spans="2:19" s="146" customFormat="1" ht="19.5" hidden="1" thickBot="1">
      <c r="B12" s="146" t="s">
        <v>47</v>
      </c>
      <c r="D12" s="149" t="s">
        <v>151</v>
      </c>
      <c r="L12" s="148"/>
      <c r="M12" s="148"/>
      <c r="R12" s="148"/>
      <c r="S12" s="148"/>
    </row>
    <row r="13" spans="2:19" s="146" customFormat="1" ht="18" hidden="1" thickBot="1">
      <c r="B13" s="156" t="s">
        <v>48</v>
      </c>
      <c r="D13" s="149"/>
      <c r="G13" s="149" t="s">
        <v>152</v>
      </c>
      <c r="L13" s="148"/>
      <c r="M13" s="148"/>
      <c r="R13" s="148"/>
      <c r="S13" s="148"/>
    </row>
    <row r="14" spans="2:19" s="146" customFormat="1" ht="33" customHeight="1" thickBot="1">
      <c r="B14" s="591" t="s">
        <v>91</v>
      </c>
      <c r="C14" s="592"/>
      <c r="D14" s="592"/>
      <c r="E14" s="593"/>
      <c r="F14" s="411"/>
      <c r="G14" s="412"/>
      <c r="H14" s="413"/>
      <c r="I14" s="413"/>
      <c r="J14" s="413"/>
      <c r="K14" s="4"/>
      <c r="L14" s="148"/>
      <c r="M14" s="148"/>
      <c r="R14" s="148"/>
      <c r="S14" s="148"/>
    </row>
    <row r="15" spans="2:19" s="146" customFormat="1" ht="15.75">
      <c r="B15" s="248" t="s">
        <v>88</v>
      </c>
      <c r="C15" s="249">
        <f>I6</f>
        <v>0.2</v>
      </c>
      <c r="D15" s="250" t="s">
        <v>49</v>
      </c>
      <c r="E15" s="251">
        <f>1-C15</f>
        <v>0.8</v>
      </c>
      <c r="F15" s="411"/>
      <c r="G15" s="412"/>
      <c r="H15" s="414"/>
      <c r="I15" s="413"/>
      <c r="J15" s="413"/>
      <c r="K15" s="4"/>
      <c r="L15" s="148"/>
      <c r="M15" s="148"/>
      <c r="R15" s="148"/>
      <c r="S15" s="148"/>
    </row>
    <row r="16" spans="2:19" s="146" customFormat="1" ht="15.75">
      <c r="B16" s="161" t="s">
        <v>92</v>
      </c>
      <c r="C16" s="252">
        <f>C8</f>
        <v>0.30000000000000004</v>
      </c>
      <c r="D16" s="162" t="s">
        <v>50</v>
      </c>
      <c r="E16" s="163">
        <f>1-C16</f>
        <v>0.7</v>
      </c>
      <c r="F16" s="411"/>
      <c r="G16" s="412"/>
      <c r="H16" s="414"/>
      <c r="I16" s="413"/>
      <c r="J16" s="413"/>
      <c r="K16" s="4"/>
      <c r="L16" s="148"/>
      <c r="M16" s="148"/>
      <c r="R16" s="148"/>
      <c r="S16" s="148"/>
    </row>
    <row r="17" spans="2:19" s="146" customFormat="1" ht="15.75">
      <c r="B17" s="164" t="s">
        <v>89</v>
      </c>
      <c r="C17" s="165">
        <f>(C15+C16)/2</f>
        <v>0.25</v>
      </c>
      <c r="D17" s="162" t="s">
        <v>51</v>
      </c>
      <c r="E17" s="163">
        <f>1-C17</f>
        <v>0.75</v>
      </c>
      <c r="F17" s="411"/>
      <c r="G17" s="413"/>
      <c r="H17" s="413"/>
      <c r="I17" s="415"/>
      <c r="J17" s="413"/>
      <c r="K17" s="4"/>
      <c r="L17" s="148"/>
      <c r="M17" s="148"/>
      <c r="R17" s="148"/>
      <c r="S17" s="148"/>
    </row>
    <row r="18" spans="2:19" s="146" customFormat="1" ht="15.75">
      <c r="B18" s="166" t="s">
        <v>167</v>
      </c>
      <c r="C18" s="253">
        <v>0.05</v>
      </c>
      <c r="D18" s="254" t="s">
        <v>52</v>
      </c>
      <c r="E18" s="163">
        <f>-NORMSINV((C18*100/2)/100)</f>
        <v>1.9599639845400538</v>
      </c>
      <c r="F18" s="156"/>
      <c r="G18" s="255" t="s">
        <v>103</v>
      </c>
      <c r="H18" s="256"/>
      <c r="I18" s="257"/>
      <c r="J18" s="258"/>
      <c r="K18" s="4"/>
      <c r="L18" s="148"/>
      <c r="M18" s="148"/>
      <c r="R18" s="148"/>
      <c r="S18" s="148"/>
    </row>
    <row r="19" spans="2:19" s="146" customFormat="1" ht="15.75">
      <c r="B19" s="166" t="s">
        <v>168</v>
      </c>
      <c r="C19" s="253">
        <v>0.2</v>
      </c>
      <c r="D19" s="254" t="s">
        <v>53</v>
      </c>
      <c r="E19" s="163">
        <f>-NORMSINV(C19)</f>
        <v>0.8416212335729145</v>
      </c>
      <c r="F19" s="156"/>
      <c r="G19" s="261">
        <f>C22*C15</f>
        <v>59</v>
      </c>
      <c r="H19" s="262" t="s">
        <v>104</v>
      </c>
      <c r="I19" s="263"/>
      <c r="J19" s="258"/>
      <c r="K19" s="4"/>
      <c r="L19" s="148"/>
      <c r="M19" s="148"/>
      <c r="R19" s="148"/>
      <c r="S19" s="148"/>
    </row>
    <row r="20" spans="2:19" s="146" customFormat="1" ht="15.75">
      <c r="B20" s="166" t="s">
        <v>93</v>
      </c>
      <c r="C20" s="264">
        <f>2*C17*E17*(E18+E19)^2</f>
        <v>2.943329900380908</v>
      </c>
      <c r="D20" s="167"/>
      <c r="E20" s="168"/>
      <c r="F20" s="156"/>
      <c r="G20" s="265">
        <f>C22*C16</f>
        <v>88.50000000000001</v>
      </c>
      <c r="H20" s="266" t="s">
        <v>117</v>
      </c>
      <c r="I20" s="267"/>
      <c r="J20" s="268"/>
      <c r="K20" s="4"/>
      <c r="L20" s="148"/>
      <c r="M20" s="148"/>
      <c r="R20" s="148"/>
      <c r="S20" s="148"/>
    </row>
    <row r="21" spans="2:19" s="146" customFormat="1" ht="15.75">
      <c r="B21" s="166" t="s">
        <v>94</v>
      </c>
      <c r="C21" s="269">
        <f>(C15-C16)^2</f>
        <v>0.010000000000000007</v>
      </c>
      <c r="D21" s="169"/>
      <c r="E21" s="168"/>
      <c r="F21" s="156"/>
      <c r="G21" s="270">
        <f>SUM(G19:G20)</f>
        <v>147.5</v>
      </c>
      <c r="H21" s="255" t="s">
        <v>105</v>
      </c>
      <c r="I21" s="256"/>
      <c r="J21" s="258"/>
      <c r="K21" s="4"/>
      <c r="L21" s="148"/>
      <c r="M21" s="148"/>
      <c r="R21" s="148"/>
      <c r="S21" s="148"/>
    </row>
    <row r="22" spans="2:19" s="146" customFormat="1" ht="15">
      <c r="B22" s="170" t="s">
        <v>44</v>
      </c>
      <c r="C22" s="160">
        <f>ROUNDUP(C20/C21,0)</f>
        <v>295</v>
      </c>
      <c r="D22" s="171"/>
      <c r="E22" s="168"/>
      <c r="F22" s="156"/>
      <c r="G22" s="411"/>
      <c r="H22" s="411"/>
      <c r="I22" s="411"/>
      <c r="J22" s="411"/>
      <c r="K22" s="4"/>
      <c r="L22" s="148"/>
      <c r="M22" s="148"/>
      <c r="R22" s="148"/>
      <c r="S22" s="148"/>
    </row>
    <row r="23" spans="2:19" s="146" customFormat="1" ht="15.75" thickBot="1">
      <c r="B23" s="172" t="s">
        <v>45</v>
      </c>
      <c r="C23" s="173">
        <f>C22*2</f>
        <v>590</v>
      </c>
      <c r="D23" s="174"/>
      <c r="E23" s="175"/>
      <c r="F23" s="156"/>
      <c r="G23" s="411"/>
      <c r="H23" s="411"/>
      <c r="I23" s="416"/>
      <c r="J23" s="411"/>
      <c r="L23" s="148"/>
      <c r="M23" s="148"/>
      <c r="R23" s="148"/>
      <c r="S23" s="148"/>
    </row>
    <row r="24" s="146" customFormat="1" ht="15">
      <c r="H24" s="157"/>
    </row>
    <row r="25" spans="2:4" s="146" customFormat="1" ht="15">
      <c r="B25" s="154" t="s">
        <v>153</v>
      </c>
      <c r="C25" s="155"/>
      <c r="D25" s="154" t="s">
        <v>159</v>
      </c>
    </row>
    <row r="26" s="146" customFormat="1" ht="9" customHeight="1"/>
    <row r="27" spans="2:8" s="146" customFormat="1" ht="15">
      <c r="B27" s="158" t="s">
        <v>118</v>
      </c>
      <c r="C27" s="159">
        <v>0</v>
      </c>
      <c r="D27" s="156" t="s">
        <v>116</v>
      </c>
      <c r="E27" s="160">
        <f>C22*1/(1-C27)</f>
        <v>295</v>
      </c>
      <c r="F27" s="146" t="s">
        <v>155</v>
      </c>
      <c r="G27" s="155"/>
      <c r="H27" s="155"/>
    </row>
    <row r="28" s="271" customFormat="1" ht="6.75" customHeight="1">
      <c r="I28" s="4"/>
    </row>
    <row r="29" spans="4:9" s="271" customFormat="1" ht="15">
      <c r="D29" s="272"/>
      <c r="E29" s="273"/>
      <c r="I29" s="4"/>
    </row>
    <row r="30" spans="4:15" s="271" customFormat="1" ht="15">
      <c r="D30" s="272"/>
      <c r="E30" s="273"/>
      <c r="I30" s="4"/>
      <c r="J30" s="11"/>
      <c r="K30" s="11"/>
      <c r="L30" s="11"/>
      <c r="M30" s="11"/>
      <c r="N30" s="11"/>
      <c r="O30" s="11"/>
    </row>
    <row r="31" spans="2:15" ht="12.75">
      <c r="B31" s="292"/>
      <c r="C31" s="4"/>
      <c r="D31" s="4"/>
      <c r="E31" s="4"/>
      <c r="F31" s="4"/>
      <c r="G31" s="4"/>
      <c r="H31" s="4"/>
      <c r="I31" s="4"/>
      <c r="J31" s="4"/>
      <c r="K31" s="275"/>
      <c r="L31" s="274"/>
      <c r="M31" s="275"/>
      <c r="N31" s="275"/>
      <c r="O31" s="276"/>
    </row>
    <row r="32" spans="2:15" ht="12.75">
      <c r="B32" s="293"/>
      <c r="C32" s="4"/>
      <c r="D32" s="4"/>
      <c r="E32" s="4"/>
      <c r="F32" s="4"/>
      <c r="G32" s="4"/>
      <c r="H32" s="4"/>
      <c r="I32" s="4"/>
      <c r="J32" s="4"/>
      <c r="K32" s="279"/>
      <c r="L32" s="279"/>
      <c r="M32" s="280"/>
      <c r="N32" s="279"/>
      <c r="O32" s="281"/>
    </row>
    <row r="33" spans="2:10" ht="12.75">
      <c r="B33" s="294"/>
      <c r="C33" s="4"/>
      <c r="D33" s="4"/>
      <c r="E33" s="4"/>
      <c r="F33" s="4"/>
      <c r="G33" s="4"/>
      <c r="H33" s="4"/>
      <c r="I33" s="4"/>
      <c r="J33" s="4"/>
    </row>
    <row r="34" spans="2:10" ht="12.75">
      <c r="B34" s="295"/>
      <c r="C34" s="4"/>
      <c r="D34" s="4"/>
      <c r="E34" s="4"/>
      <c r="F34" s="4"/>
      <c r="G34" s="4"/>
      <c r="H34" s="4"/>
      <c r="I34" s="4"/>
      <c r="J34" s="4"/>
    </row>
    <row r="35" spans="2:10" ht="12.75">
      <c r="B35" s="4"/>
      <c r="C35" s="113"/>
      <c r="D35" s="113"/>
      <c r="E35" s="113"/>
      <c r="F35" s="113"/>
      <c r="G35" s="113"/>
      <c r="H35" s="296"/>
      <c r="I35" s="113"/>
      <c r="J35" s="297"/>
    </row>
    <row r="36" spans="2:10" ht="12.75">
      <c r="B36" s="4"/>
      <c r="C36" s="113"/>
      <c r="D36" s="113"/>
      <c r="E36" s="113"/>
      <c r="F36" s="113"/>
      <c r="G36" s="113"/>
      <c r="H36" s="298"/>
      <c r="I36" s="113"/>
      <c r="J36" s="297"/>
    </row>
    <row r="37" spans="2:10" ht="12.75">
      <c r="B37" s="4"/>
      <c r="C37" s="113"/>
      <c r="D37" s="113"/>
      <c r="E37" s="113"/>
      <c r="F37" s="113"/>
      <c r="G37" s="113"/>
      <c r="H37" s="298"/>
      <c r="I37" s="113"/>
      <c r="J37" s="297"/>
    </row>
    <row r="38" spans="2:10" ht="12.75">
      <c r="B38" s="11"/>
      <c r="C38" s="299"/>
      <c r="D38" s="299"/>
      <c r="E38" s="299"/>
      <c r="F38" s="299"/>
      <c r="G38" s="299"/>
      <c r="H38" s="300"/>
      <c r="I38" s="299"/>
      <c r="J38" s="297"/>
    </row>
    <row r="39" spans="2:10" ht="12.75">
      <c r="B39" s="11"/>
      <c r="C39" s="299"/>
      <c r="D39" s="299"/>
      <c r="E39" s="299"/>
      <c r="F39" s="299"/>
      <c r="G39" s="299"/>
      <c r="H39" s="300"/>
      <c r="I39" s="8"/>
      <c r="J39" s="297"/>
    </row>
    <row r="40" spans="2:10" ht="12.75">
      <c r="B40" s="11"/>
      <c r="C40" s="11"/>
      <c r="D40" s="11"/>
      <c r="E40" s="11"/>
      <c r="F40" s="11"/>
      <c r="G40" s="11"/>
      <c r="H40" s="301"/>
      <c r="I40" s="11"/>
      <c r="J40" s="297"/>
    </row>
    <row r="41" spans="2:10" ht="12.75">
      <c r="B41" s="11"/>
      <c r="C41" s="299"/>
      <c r="D41" s="299"/>
      <c r="E41" s="299"/>
      <c r="F41" s="299"/>
      <c r="G41" s="299"/>
      <c r="H41" s="300"/>
      <c r="I41" s="299"/>
      <c r="J41" s="297"/>
    </row>
    <row r="42" spans="2:10" ht="12.75">
      <c r="B42" s="11"/>
      <c r="C42" s="299"/>
      <c r="D42" s="299"/>
      <c r="E42" s="299"/>
      <c r="F42" s="299"/>
      <c r="G42" s="299"/>
      <c r="H42" s="300"/>
      <c r="I42" s="299"/>
      <c r="J42" s="297"/>
    </row>
    <row r="43" spans="2:10" ht="12.75">
      <c r="B43" s="11"/>
      <c r="C43" s="113"/>
      <c r="D43" s="113"/>
      <c r="E43" s="113"/>
      <c r="F43" s="113"/>
      <c r="G43" s="113"/>
      <c r="H43" s="298"/>
      <c r="I43" s="113"/>
      <c r="J43" s="297"/>
    </row>
    <row r="44" spans="2:10" ht="12.75">
      <c r="B44" s="11"/>
      <c r="C44" s="113"/>
      <c r="D44" s="113"/>
      <c r="E44" s="113"/>
      <c r="F44" s="113"/>
      <c r="G44" s="113"/>
      <c r="H44" s="298"/>
      <c r="I44" s="113"/>
      <c r="J44" s="297"/>
    </row>
  </sheetData>
  <sheetProtection/>
  <mergeCells count="3">
    <mergeCell ref="B2:I2"/>
    <mergeCell ref="B3:I3"/>
    <mergeCell ref="B14:E1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33"/>
  <sheetViews>
    <sheetView zoomScale="90" zoomScaleNormal="90" zoomScalePageLayoutView="0" workbookViewId="0" topLeftCell="A1">
      <selection activeCell="B1" sqref="B1"/>
    </sheetView>
  </sheetViews>
  <sheetFormatPr defaultColWidth="25.28125" defaultRowHeight="12.75"/>
  <cols>
    <col min="1" max="1" width="1.7109375" style="0" customWidth="1"/>
    <col min="2" max="2" width="27.00390625" style="0" customWidth="1"/>
    <col min="3" max="3" width="17.28125" style="0" customWidth="1"/>
    <col min="4" max="4" width="10.7109375" style="0" customWidth="1"/>
    <col min="5" max="5" width="10.28125" style="0" customWidth="1"/>
    <col min="6" max="6" width="3.140625" style="0" customWidth="1"/>
    <col min="7" max="7" width="12.421875" style="0" customWidth="1"/>
    <col min="8" max="9" width="11.421875" style="0" customWidth="1"/>
    <col min="10" max="10" width="23.421875" style="0" customWidth="1"/>
    <col min="11" max="11" width="0.9921875" style="0" customWidth="1"/>
    <col min="12" max="12" width="5.140625" style="0" customWidth="1"/>
    <col min="13" max="255" width="11.421875" style="0" customWidth="1"/>
  </cols>
  <sheetData>
    <row r="1" ht="7.5" customHeight="1" thickBot="1"/>
    <row r="2" spans="2:9" ht="19.5" thickBot="1">
      <c r="B2" s="588" t="s">
        <v>90</v>
      </c>
      <c r="C2" s="589"/>
      <c r="D2" s="589"/>
      <c r="E2" s="589"/>
      <c r="F2" s="589"/>
      <c r="G2" s="589"/>
      <c r="H2" s="589"/>
      <c r="I2" s="590"/>
    </row>
    <row r="3" spans="2:9" ht="26.25" customHeight="1">
      <c r="B3" s="578" t="s">
        <v>142</v>
      </c>
      <c r="C3" s="578"/>
      <c r="D3" s="578"/>
      <c r="E3" s="578"/>
      <c r="F3" s="578"/>
      <c r="G3" s="578"/>
      <c r="H3" s="578"/>
      <c r="I3" s="578"/>
    </row>
    <row r="4" spans="2:9" ht="5.25" customHeight="1" thickBot="1">
      <c r="B4" s="232"/>
      <c r="C4" s="232"/>
      <c r="D4" s="232"/>
      <c r="E4" s="232"/>
      <c r="F4" s="232"/>
      <c r="G4" s="232"/>
      <c r="H4" s="232"/>
      <c r="I4" s="232"/>
    </row>
    <row r="5" spans="2:19" s="146" customFormat="1" ht="18.75">
      <c r="B5" s="233" t="s">
        <v>143</v>
      </c>
      <c r="C5" s="234" t="s">
        <v>144</v>
      </c>
      <c r="D5" s="235" t="s">
        <v>145</v>
      </c>
      <c r="E5" s="234"/>
      <c r="F5" s="234"/>
      <c r="G5" s="234"/>
      <c r="H5" s="234"/>
      <c r="I5" s="236"/>
      <c r="Q5" s="184"/>
      <c r="R5" s="148"/>
      <c r="S5" s="148"/>
    </row>
    <row r="6" spans="2:19" s="146" customFormat="1" ht="18">
      <c r="B6" s="237" t="s">
        <v>146</v>
      </c>
      <c r="C6" s="238">
        <v>0.02</v>
      </c>
      <c r="D6" s="167" t="s">
        <v>147</v>
      </c>
      <c r="E6" s="239">
        <v>3.33</v>
      </c>
      <c r="F6" s="169" t="s">
        <v>68</v>
      </c>
      <c r="G6" s="240"/>
      <c r="H6" s="241" t="s">
        <v>148</v>
      </c>
      <c r="I6" s="242">
        <f>E6*C6</f>
        <v>0.0666</v>
      </c>
      <c r="Q6" s="184"/>
      <c r="R6" s="148"/>
      <c r="S6" s="148"/>
    </row>
    <row r="7" spans="2:19" s="146" customFormat="1" ht="15">
      <c r="B7" s="243" t="s">
        <v>149</v>
      </c>
      <c r="C7" s="244">
        <v>0.85</v>
      </c>
      <c r="D7" s="169"/>
      <c r="E7" s="169"/>
      <c r="F7" s="169"/>
      <c r="G7" s="169"/>
      <c r="H7" s="169"/>
      <c r="I7" s="168"/>
      <c r="R7" s="148"/>
      <c r="S7" s="148"/>
    </row>
    <row r="8" spans="2:9" s="146" customFormat="1" ht="19.5" thickBot="1">
      <c r="B8" s="245" t="s">
        <v>150</v>
      </c>
      <c r="C8" s="246">
        <f>1-((1-I6)^C7)</f>
        <v>0.056900255782040166</v>
      </c>
      <c r="D8" s="247"/>
      <c r="E8" s="247"/>
      <c r="F8" s="247"/>
      <c r="G8" s="247"/>
      <c r="H8" s="247"/>
      <c r="I8" s="175"/>
    </row>
    <row r="9" s="146" customFormat="1" ht="10.5" customHeight="1" thickBot="1"/>
    <row r="10" spans="2:9" s="148" customFormat="1" ht="15.75" hidden="1" thickBot="1">
      <c r="B10" s="150"/>
      <c r="C10" s="151"/>
      <c r="D10" s="152"/>
      <c r="E10" s="153"/>
      <c r="G10" s="146"/>
      <c r="H10" s="146"/>
      <c r="I10" s="146"/>
    </row>
    <row r="11" spans="2:20" s="146" customFormat="1" ht="15.75" hidden="1" thickBot="1">
      <c r="B11" s="147" t="s">
        <v>46</v>
      </c>
      <c r="M11" s="148"/>
      <c r="N11" s="148"/>
      <c r="S11" s="148"/>
      <c r="T11" s="148"/>
    </row>
    <row r="12" spans="2:20" s="146" customFormat="1" ht="19.5" hidden="1" thickBot="1">
      <c r="B12" s="146" t="s">
        <v>47</v>
      </c>
      <c r="D12" s="149" t="s">
        <v>151</v>
      </c>
      <c r="M12" s="148"/>
      <c r="N12" s="148"/>
      <c r="S12" s="148"/>
      <c r="T12" s="148"/>
    </row>
    <row r="13" spans="2:20" s="146" customFormat="1" ht="18" hidden="1" thickBot="1">
      <c r="B13" s="156" t="s">
        <v>48</v>
      </c>
      <c r="D13" s="149"/>
      <c r="G13" s="149" t="s">
        <v>152</v>
      </c>
      <c r="M13" s="148"/>
      <c r="N13" s="148"/>
      <c r="S13" s="148"/>
      <c r="T13" s="148"/>
    </row>
    <row r="14" spans="2:20" s="146" customFormat="1" ht="33" customHeight="1" thickBot="1">
      <c r="B14" s="591" t="s">
        <v>91</v>
      </c>
      <c r="C14" s="592"/>
      <c r="D14" s="592"/>
      <c r="E14" s="593"/>
      <c r="F14" s="411"/>
      <c r="G14" s="412"/>
      <c r="H14" s="417"/>
      <c r="I14" s="417"/>
      <c r="J14" s="417"/>
      <c r="K14" s="4"/>
      <c r="M14" s="148"/>
      <c r="N14" s="148"/>
      <c r="S14" s="148"/>
      <c r="T14" s="148"/>
    </row>
    <row r="15" spans="2:14" s="146" customFormat="1" ht="15.75">
      <c r="B15" s="248" t="s">
        <v>88</v>
      </c>
      <c r="C15" s="249">
        <f>I6</f>
        <v>0.0666</v>
      </c>
      <c r="D15" s="250" t="s">
        <v>49</v>
      </c>
      <c r="E15" s="251">
        <f>1-C15</f>
        <v>0.9334</v>
      </c>
      <c r="F15" s="411"/>
      <c r="G15" s="412"/>
      <c r="H15" s="418"/>
      <c r="I15" s="417"/>
      <c r="J15" s="417"/>
      <c r="K15" s="4"/>
      <c r="M15" s="148"/>
      <c r="N15" s="148"/>
    </row>
    <row r="16" spans="2:14" s="146" customFormat="1" ht="15.75">
      <c r="B16" s="161" t="s">
        <v>92</v>
      </c>
      <c r="C16" s="252">
        <f>C8</f>
        <v>0.056900255782040166</v>
      </c>
      <c r="D16" s="162" t="s">
        <v>50</v>
      </c>
      <c r="E16" s="163">
        <f>1-C16</f>
        <v>0.9430997442179598</v>
      </c>
      <c r="F16" s="411"/>
      <c r="G16" s="412"/>
      <c r="H16" s="418"/>
      <c r="I16" s="417"/>
      <c r="J16" s="417"/>
      <c r="K16" s="4"/>
      <c r="M16" s="148"/>
      <c r="N16" s="148"/>
    </row>
    <row r="17" spans="2:14" s="146" customFormat="1" ht="15.75">
      <c r="B17" s="164" t="s">
        <v>89</v>
      </c>
      <c r="C17" s="165">
        <f>(C15+C16)/2</f>
        <v>0.061750127891020086</v>
      </c>
      <c r="D17" s="162" t="s">
        <v>51</v>
      </c>
      <c r="E17" s="163">
        <f>1-C17</f>
        <v>0.9382498721089799</v>
      </c>
      <c r="F17" s="411"/>
      <c r="G17" s="417"/>
      <c r="H17" s="417"/>
      <c r="I17" s="419"/>
      <c r="J17" s="417"/>
      <c r="K17" s="4"/>
      <c r="M17" s="148"/>
      <c r="N17" s="148"/>
    </row>
    <row r="18" spans="2:20" s="146" customFormat="1" ht="15.75">
      <c r="B18" s="166" t="s">
        <v>167</v>
      </c>
      <c r="C18" s="253">
        <v>0.05</v>
      </c>
      <c r="D18" s="254" t="s">
        <v>52</v>
      </c>
      <c r="E18" s="163">
        <f>-NORMSINV((C18*100/2)/100)</f>
        <v>1.9599639845400538</v>
      </c>
      <c r="F18" s="411"/>
      <c r="G18" s="420" t="s">
        <v>103</v>
      </c>
      <c r="H18" s="421"/>
      <c r="I18" s="422"/>
      <c r="J18" s="423"/>
      <c r="K18" s="4"/>
      <c r="M18" s="148"/>
      <c r="N18" s="148"/>
      <c r="S18" s="148"/>
      <c r="T18" s="148"/>
    </row>
    <row r="19" spans="2:20" s="146" customFormat="1" ht="15.75">
      <c r="B19" s="166" t="s">
        <v>168</v>
      </c>
      <c r="C19" s="259">
        <v>0.1</v>
      </c>
      <c r="D19" s="260" t="s">
        <v>53</v>
      </c>
      <c r="E19" s="163">
        <f>-NORMSINV(C19)</f>
        <v>1.2815515655446006</v>
      </c>
      <c r="F19" s="411"/>
      <c r="G19" s="424">
        <f>E27*C15</f>
        <v>888.5263917525774</v>
      </c>
      <c r="H19" s="425" t="s">
        <v>104</v>
      </c>
      <c r="I19" s="426"/>
      <c r="J19" s="423"/>
      <c r="K19" s="4"/>
      <c r="M19" s="148"/>
      <c r="N19" s="148"/>
      <c r="S19" s="148"/>
      <c r="T19" s="148"/>
    </row>
    <row r="20" spans="2:20" s="146" customFormat="1" ht="15.75">
      <c r="B20" s="166" t="s">
        <v>93</v>
      </c>
      <c r="C20" s="264">
        <f>2*C17*E17*(E18+E19)^2</f>
        <v>1.2175381820834033</v>
      </c>
      <c r="D20" s="167"/>
      <c r="E20" s="168"/>
      <c r="F20" s="411"/>
      <c r="G20" s="427">
        <f>E27*C16</f>
        <v>759.1198042014245</v>
      </c>
      <c r="H20" s="428" t="s">
        <v>117</v>
      </c>
      <c r="I20" s="429"/>
      <c r="J20" s="430"/>
      <c r="K20" s="4"/>
      <c r="M20" s="148"/>
      <c r="N20" s="148"/>
      <c r="S20" s="148"/>
      <c r="T20" s="148"/>
    </row>
    <row r="21" spans="2:20" s="146" customFormat="1" ht="15.75">
      <c r="B21" s="166" t="s">
        <v>94</v>
      </c>
      <c r="C21" s="269">
        <f>(C15-C16)^2</f>
        <v>9.408503789384536E-05</v>
      </c>
      <c r="D21" s="169"/>
      <c r="E21" s="168"/>
      <c r="F21" s="411"/>
      <c r="G21" s="431">
        <f>SUM(G19:G20)</f>
        <v>1647.646195954002</v>
      </c>
      <c r="H21" s="420" t="s">
        <v>105</v>
      </c>
      <c r="I21" s="421"/>
      <c r="J21" s="423"/>
      <c r="K21" s="4"/>
      <c r="M21" s="148"/>
      <c r="N21" s="148"/>
      <c r="S21" s="148"/>
      <c r="T21" s="148"/>
    </row>
    <row r="22" spans="2:20" s="146" customFormat="1" ht="15">
      <c r="B22" s="170" t="s">
        <v>44</v>
      </c>
      <c r="C22" s="160">
        <f>ROUNDUP(C20/C21,0)</f>
        <v>12941</v>
      </c>
      <c r="D22" s="171"/>
      <c r="E22" s="168"/>
      <c r="F22" s="411"/>
      <c r="G22" s="411"/>
      <c r="H22" s="411"/>
      <c r="I22" s="411"/>
      <c r="J22" s="411"/>
      <c r="K22" s="4"/>
      <c r="M22" s="148"/>
      <c r="N22" s="148"/>
      <c r="S22" s="148"/>
      <c r="T22" s="148"/>
    </row>
    <row r="23" spans="2:20" s="146" customFormat="1" ht="15.75" thickBot="1">
      <c r="B23" s="172" t="s">
        <v>45</v>
      </c>
      <c r="C23" s="173">
        <f>C22*2</f>
        <v>25882</v>
      </c>
      <c r="D23" s="174"/>
      <c r="E23" s="175"/>
      <c r="F23" s="411"/>
      <c r="G23" s="411"/>
      <c r="H23" s="411"/>
      <c r="I23" s="416"/>
      <c r="J23" s="411"/>
      <c r="M23" s="148"/>
      <c r="N23" s="148"/>
      <c r="S23" s="148"/>
      <c r="T23" s="148"/>
    </row>
    <row r="24" s="146" customFormat="1" ht="6.75" customHeight="1">
      <c r="H24" s="157"/>
    </row>
    <row r="25" spans="2:4" s="146" customFormat="1" ht="15">
      <c r="B25" s="154" t="s">
        <v>153</v>
      </c>
      <c r="C25" s="155"/>
      <c r="D25" s="154" t="s">
        <v>154</v>
      </c>
    </row>
    <row r="26" s="146" customFormat="1" ht="8.25" customHeight="1"/>
    <row r="27" spans="2:8" s="146" customFormat="1" ht="15">
      <c r="B27" s="158" t="s">
        <v>118</v>
      </c>
      <c r="C27" s="159">
        <v>0.03</v>
      </c>
      <c r="D27" s="156" t="s">
        <v>116</v>
      </c>
      <c r="E27" s="160">
        <f>C22*1/(1-C27)</f>
        <v>13341.237113402061</v>
      </c>
      <c r="F27" s="146" t="s">
        <v>155</v>
      </c>
      <c r="G27" s="155"/>
      <c r="H27" s="155"/>
    </row>
    <row r="28" s="271" customFormat="1" ht="6.75" customHeight="1">
      <c r="I28" s="4"/>
    </row>
    <row r="29" spans="4:9" s="271" customFormat="1" ht="15">
      <c r="D29" s="272"/>
      <c r="E29" s="273"/>
      <c r="I29" s="4"/>
    </row>
    <row r="30" spans="4:16" s="271" customFormat="1" ht="15">
      <c r="D30" s="272"/>
      <c r="E30" s="273"/>
      <c r="I30" s="4"/>
      <c r="J30" s="11"/>
      <c r="K30" s="11"/>
      <c r="L30" s="11"/>
      <c r="M30" s="11"/>
      <c r="N30" s="11"/>
      <c r="O30" s="11"/>
      <c r="P30" s="11"/>
    </row>
    <row r="31" spans="10:16" ht="12.75">
      <c r="J31" s="274"/>
      <c r="K31" s="275"/>
      <c r="L31" s="275"/>
      <c r="M31" s="274"/>
      <c r="N31" s="275"/>
      <c r="O31" s="275"/>
      <c r="P31" s="276"/>
    </row>
    <row r="32" spans="5:16" ht="12.75">
      <c r="E32" s="277"/>
      <c r="J32" s="278"/>
      <c r="K32" s="279"/>
      <c r="L32" s="279"/>
      <c r="M32" s="279"/>
      <c r="N32" s="280"/>
      <c r="O32" s="279"/>
      <c r="P32" s="281"/>
    </row>
    <row r="33" spans="7:9" ht="12.75">
      <c r="G33" s="282"/>
      <c r="H33" s="282"/>
      <c r="I33" s="282"/>
    </row>
  </sheetData>
  <sheetProtection/>
  <mergeCells count="3">
    <mergeCell ref="B2:I2"/>
    <mergeCell ref="B3:I3"/>
    <mergeCell ref="B14:E1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2020-03-06T08:01:06Z</dcterms:modified>
  <cp:category/>
  <cp:version/>
  <cp:contentType/>
  <cp:contentStatus/>
</cp:coreProperties>
</file>