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955" tabRatio="650" activeTab="0"/>
  </bookViews>
  <sheets>
    <sheet name="NNT por IncAcum" sheetId="1" r:id="rId1"/>
    <sheet name="Ensayar por IncAcum" sheetId="2" r:id="rId2"/>
    <sheet name="NNT desde HR" sheetId="3" r:id="rId3"/>
    <sheet name="Ensayar por HR" sheetId="4" r:id="rId4"/>
  </sheets>
  <definedNames>
    <definedName name="ArticleComments" localSheetId="0">'NNT por IncAcum'!#REF!</definedName>
  </definedNames>
  <calcPr fullCalcOnLoad="1"/>
</workbook>
</file>

<file path=xl/sharedStrings.xml><?xml version="1.0" encoding="utf-8"?>
<sst xmlns="http://schemas.openxmlformats.org/spreadsheetml/2006/main" count="653" uniqueCount="303">
  <si>
    <t>Límite inferior del IC</t>
  </si>
  <si>
    <t>Límite superior del IC</t>
  </si>
  <si>
    <t>Sin eventos</t>
  </si>
  <si>
    <t>Con eventos</t>
  </si>
  <si>
    <t>Nº con evento</t>
  </si>
  <si>
    <t>RR</t>
  </si>
  <si>
    <t>Z α/2 (0,05)</t>
  </si>
  <si>
    <t>pM = proporción "media" de los eventos = nº total eventos / nº suma de ambos grupos; qM= complementario</t>
  </si>
  <si>
    <t>Los límites del intervalos de confianza son los exponentes neperianos o antilogaritmos de la ecuación [ ln RR +- Z α/2 x EE (ln RR) ]</t>
  </si>
  <si>
    <t>C= 2(n+z^2)</t>
  </si>
  <si>
    <t>IC = (A+-B)/C</t>
  </si>
  <si>
    <t>A= 2*eventos + z^2</t>
  </si>
  <si>
    <t>p (proporción) = eventos / n</t>
  </si>
  <si>
    <t>Operar</t>
  </si>
  <si>
    <t>Primero se procede haciendo los IC de ambas proporciones por el método de Wilson, y después se aplica: IC = RAR - Raíz [(p1-Ls1)^2 + (Li2-p2)^2]  hasta RAR + Raíz [(p2-Ls2)^2 + (Li1-p1)^2]</t>
  </si>
  <si>
    <t xml:space="preserve">Mét. Newcombe, 1988 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</si>
  <si>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</si>
  <si>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</si>
  <si>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</si>
  <si>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</si>
  <si>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probabliidad o riesgo de cometer un error β =&gt; probabilidad de no detectar una diferencia que sí exista.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</si>
  <si>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</si>
  <si>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</si>
  <si>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</si>
  <si>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</si>
  <si>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</si>
  <si>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</si>
  <si>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</si>
  <si>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</si>
  <si>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</si>
  <si>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</si>
  <si>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</si>
  <si>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Estimación puntual de la proporción</t>
  </si>
  <si>
    <t>Z α/2 = Dif Proporc / EE (Difer Proporc)</t>
  </si>
  <si>
    <t>Dif Proporc de ambos grupos =  RAR</t>
  </si>
  <si>
    <t xml:space="preserve">EE (Dif Proporc) = Raíz[ pm(1-pm)/n1] + [ pm(1-pm)/n2] = 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</si>
  <si>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</si>
  <si>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</si>
  <si>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Cálculo del intervalo de confianza (IC) cada una de las dos proporciones (Riesgo absoluto de la intervención y Riesgo absoluto del control)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</si>
  <si>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</si>
  <si>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</si>
  <si>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</si>
  <si>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</si>
  <si>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</si>
  <si>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</si>
  <si>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</si>
  <si>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</si>
  <si>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</si>
  <si>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</si>
  <si>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</si>
  <si>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Chi cuadrado de Pearson (un ejemplo de variable cualitativa)</t>
  </si>
  <si>
    <t>Es &lt; 0 =&gt;Acepto Ho =&gt; Homogeneidad o independencia (o tratamiento no eficaz)</t>
  </si>
  <si>
    <t>Es &gt; 0 =&gt;Rechazo Ho =&gt; Heterogenicidad o dependencia (o tratamiento eficaz)</t>
  </si>
  <si>
    <t>χ² cal= Sumat (observado i - esperado i)^2 / esperado i)</t>
  </si>
  <si>
    <t>Permanecerán sanos sin tomar el fármaco</t>
  </si>
  <si>
    <t>Enfermarán incluso tomando el fármaco</t>
  </si>
  <si>
    <t>Z α/2 = Dif Proporc / EE Dif proporc</t>
  </si>
  <si>
    <t>RRR</t>
  </si>
  <si>
    <t xml:space="preserve">NNT = 1 / RAR = </t>
  </si>
  <si>
    <t>---------------------------------------------&gt;</t>
  </si>
  <si>
    <t>RAR (IC 95%)</t>
  </si>
  <si>
    <t>NNT (IC 95%)</t>
  </si>
  <si>
    <t>α = probab de que la diferencia detectada entre ambos sea debida al azar, en caso de que no exista (error alfa)</t>
  </si>
  <si>
    <t>(</t>
  </si>
  <si>
    <t>)</t>
  </si>
  <si>
    <t>-</t>
  </si>
  <si>
    <t>%</t>
  </si>
  <si>
    <t>RR (IC 95%)</t>
  </si>
  <si>
    <t>RAR (IC95%)</t>
  </si>
  <si>
    <t>HR (IC 95%)</t>
  </si>
  <si>
    <t>% Eventos interv = complementario:</t>
  </si>
  <si>
    <t>NNT</t>
  </si>
  <si>
    <t>/</t>
  </si>
  <si>
    <t xml:space="preserve">en </t>
  </si>
  <si>
    <t>…….</t>
  </si>
  <si>
    <t>años</t>
  </si>
  <si>
    <t>RAR</t>
  </si>
  <si>
    <t>potencia</t>
  </si>
  <si>
    <t>Potencia</t>
  </si>
  <si>
    <t>Permanecerán sanos por tomar el fármaco</t>
  </si>
  <si>
    <t>Enfermarán por tomar el fármaco</t>
  </si>
  <si>
    <t>Enfermarán incluso sin tomar el fármaco</t>
  </si>
  <si>
    <t>APLICAR SÓLO SI EL NNT Y SUS IC SON POSITIVOS</t>
  </si>
  <si>
    <t>====&gt;  NNT</t>
  </si>
  <si>
    <t>APLICAR SÓLO SI EL NNT Y SUS IC SON NEGATIVOS</t>
  </si>
  <si>
    <t>====&gt;  NND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</si>
  <si>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</si>
  <si>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</si>
  <si>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</si>
  <si>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</si>
  <si>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</si>
  <si>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>Cálculo del IC del RAR y del NNT</t>
  </si>
  <si>
    <t xml:space="preserve"> </t>
  </si>
  <si>
    <t>Nº event Interv (%)</t>
  </si>
  <si>
    <t>Nº event Control (%)</t>
  </si>
  <si>
    <t>% RA interv</t>
  </si>
  <si>
    <t>% RA control</t>
  </si>
  <si>
    <t>0,90 (0,78-1,04)</t>
  </si>
  <si>
    <t>0,95 (0,82-1,09)</t>
  </si>
  <si>
    <t>VARIABLES SECUNDARIAS</t>
  </si>
  <si>
    <t>Muerte por cualquier causa</t>
  </si>
  <si>
    <t>Muerte por causa CV</t>
  </si>
  <si>
    <t>1,35 (1,04-1,76)</t>
  </si>
  <si>
    <t>1,43 (1,11-1,86)</t>
  </si>
  <si>
    <t xml:space="preserve">IAM no fatal </t>
  </si>
  <si>
    <t>0,76 (0,62-0,92)</t>
  </si>
  <si>
    <t>ACV no fatal</t>
  </si>
  <si>
    <t>1,06 (0,75-1,50)</t>
  </si>
  <si>
    <t>Insuf Card Congest fatal y no fatal</t>
  </si>
  <si>
    <t>1,18 (0,93-1,49)</t>
  </si>
  <si>
    <t>1,22 (0,97-1,55)</t>
  </si>
  <si>
    <t>-184 (1127 a -85)</t>
  </si>
  <si>
    <t>0,38% (-0,62% a 1,37%)</t>
  </si>
  <si>
    <t>0,96% (0,19% a 1,73%)</t>
  </si>
  <si>
    <t>-0,54% (-1,17% a 0,09%)</t>
  </si>
  <si>
    <t>[Mort CV o IAM o ACV]</t>
  </si>
  <si>
    <t>104 (58 a 535)</t>
  </si>
  <si>
    <t>1,22 (1,01-1,46)</t>
  </si>
  <si>
    <t>0,35% (0,12% a 0,55%)</t>
  </si>
  <si>
    <t>0,79 (0,65-0,95)</t>
  </si>
  <si>
    <t>289 (182 a 868)</t>
  </si>
  <si>
    <t>-0,02% (-0,18% a 0,09%)</t>
  </si>
  <si>
    <t>-4513 (1083 a -542)</t>
  </si>
  <si>
    <t>n = 5.128</t>
  </si>
  <si>
    <t>n = 5.123</t>
  </si>
  <si>
    <t>Estudio ACCORD (10y DM2), Seguimiento 3,5 años</t>
  </si>
  <si>
    <t>Accidente conduciendo vehículos</t>
  </si>
  <si>
    <t>Retención de líquidos</t>
  </si>
  <si>
    <t>538/5128 (10,49%)</t>
  </si>
  <si>
    <t>179/5123 (3,49%)</t>
  </si>
  <si>
    <t>-14 (-17 a -13)</t>
  </si>
  <si>
    <t>830/5128 (16,19%)</t>
  </si>
  <si>
    <t>261/5123 (5,09%)</t>
  </si>
  <si>
    <t>3,18 (2,78-3,63)</t>
  </si>
  <si>
    <t>-11,09% (-12,26% a -9,91%)</t>
  </si>
  <si>
    <t>-9 (-10 a -8)</t>
  </si>
  <si>
    <t>9/5033 (0,18%)</t>
  </si>
  <si>
    <t>14/5036 (0,28%)</t>
  </si>
  <si>
    <t>0,64 (0,28-1,48)</t>
  </si>
  <si>
    <t>0,1% (-0,11% a 0,3%)</t>
  </si>
  <si>
    <t>1008 (339 a -933)</t>
  </si>
  <si>
    <t>1,05 (1,02-1,08)</t>
  </si>
  <si>
    <t>1,96 (1,81-2,13)</t>
  </si>
  <si>
    <t>-7 (-8 a -7)</t>
  </si>
  <si>
    <t>113/5128 (2,2%)</t>
  </si>
  <si>
    <t>82/5123 (1,6%)</t>
  </si>
  <si>
    <t>1,38 (1,04-1,82)</t>
  </si>
  <si>
    <t>-0,6% (-1,13% a -0,07%)</t>
  </si>
  <si>
    <t>-166 (-1515 a -88)</t>
  </si>
  <si>
    <t>EFECTOS ADVERSOS DESPUÉS DE LA ALEATORIZACIÓN</t>
  </si>
  <si>
    <t>Ganan &gt;10 Kg peso desde el inicio</t>
  </si>
  <si>
    <t>3,00 (2,55-3,54)</t>
  </si>
  <si>
    <t>-7,00% (-7,97% a -6,01%)</t>
  </si>
  <si>
    <t>Hipoglucemia que requiere asist. médica</t>
  </si>
  <si>
    <t>Hipoglucemia que requiere alguna asist.</t>
  </si>
  <si>
    <t>Algún evento grave no por hipoglucemia</t>
  </si>
  <si>
    <t>-512 (-236 a -4477)</t>
  </si>
  <si>
    <t>-0,2% (-0,02% a -0,42%)</t>
  </si>
  <si>
    <t>441 (200 a -1105)</t>
  </si>
  <si>
    <t>VARIABLES INTERMEDIAS DE LABORATORIO</t>
  </si>
  <si>
    <t>GPT &gt; 3 LSN</t>
  </si>
  <si>
    <t>51/5065 (1,01%)</t>
  </si>
  <si>
    <t>77/5061 (1,52%)</t>
  </si>
  <si>
    <t>0,66 (0,47-0,94)</t>
  </si>
  <si>
    <t>0,51% (0,07% a 0,95%)</t>
  </si>
  <si>
    <t>194 (105 a 1461)</t>
  </si>
  <si>
    <t>VARIABLE PRIMARIA</t>
  </si>
  <si>
    <t>[Mort CV, IAM o ACV]</t>
  </si>
  <si>
    <t>-0,13% (-0,37% a 0,05%)</t>
  </si>
  <si>
    <t>-744 (1911 a -274)</t>
  </si>
  <si>
    <t>3541/5053 (70,08%)</t>
  </si>
  <si>
    <t>3378/5054 (66,84%)</t>
  </si>
  <si>
    <t>-3,24% (-5,05% a -1,43%)</t>
  </si>
  <si>
    <t>-31 (-70 a -20)</t>
  </si>
  <si>
    <t>1399/5036 (27,78%)</t>
  </si>
  <si>
    <t>713/5042 (14,14%)</t>
  </si>
  <si>
    <t>-13,64% (-15,21% a -12,08%)</t>
  </si>
  <si>
    <t>nº eventos (%); Control intensivo</t>
  </si>
  <si>
    <t>nº eventos (%); Control convencional</t>
  </si>
  <si>
    <r>
      <t>p</t>
    </r>
    <r>
      <rPr>
        <sz val="10"/>
        <color indexed="12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</si>
  <si>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color indexed="12"/>
        <rFont val="Calibri"/>
        <family val="2"/>
      </rPr>
      <t>p</t>
    </r>
    <r>
      <rPr>
        <sz val="10"/>
        <color indexed="12"/>
        <rFont val="Calibri"/>
        <family val="2"/>
      </rPr>
      <t xml:space="preserve">)] </t>
    </r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</si>
  <si>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</si>
  <si>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</si>
  <si>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Zβ = [Raíz (nd^2 /2</t>
    </r>
    <r>
      <rPr>
        <i/>
        <sz val="10"/>
        <rFont val="Calibri"/>
        <family val="2"/>
      </rPr>
      <t>pM</t>
    </r>
    <r>
      <rPr>
        <sz val="10"/>
        <rFont val="Calibri"/>
        <family val="2"/>
      </rPr>
      <t>*</t>
    </r>
    <r>
      <rPr>
        <i/>
        <sz val="10"/>
        <rFont val="Calibri"/>
        <family val="2"/>
      </rPr>
      <t>qM</t>
    </r>
    <r>
      <rPr>
        <sz val="10"/>
        <rFont val="Calibri"/>
        <family val="2"/>
      </rPr>
      <t>)] - Z α/2 (0,05)</t>
    </r>
  </si>
  <si>
    <r>
      <t>Ls1:</t>
    </r>
    <r>
      <rPr>
        <sz val="10"/>
        <color indexed="12"/>
        <rFont val="Calibri"/>
        <family val="2"/>
      </rPr>
      <t xml:space="preserve"> límite superior del grupo 1; </t>
    </r>
    <r>
      <rPr>
        <b/>
        <sz val="10"/>
        <color indexed="12"/>
        <rFont val="Calibri"/>
        <family val="2"/>
      </rPr>
      <t xml:space="preserve">Li2: </t>
    </r>
    <r>
      <rPr>
        <sz val="10"/>
        <color indexed="12"/>
        <rFont val="Calibri"/>
        <family val="2"/>
      </rPr>
      <t>límite inferior del grupo 2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</si>
  <si>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</si>
  <si>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</si>
  <si>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</si>
  <si>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r>
      <t>S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</si>
  <si>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</si>
  <si>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t>100% - % RA control =</t>
  </si>
  <si>
    <t>Estimación puntual</t>
  </si>
  <si>
    <t>Límite inferior del IC 95%</t>
  </si>
  <si>
    <t>Límite superior del IC 95%</t>
  </si>
  <si>
    <t>Cálculo de RAR y NNT a partir del HR y el % RA en el grupo control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</si>
  <si>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</si>
  <si>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r>
      <t>Log</t>
    </r>
    <r>
      <rPr>
        <vertAlign val="subscript"/>
        <sz val="10"/>
        <rFont val="Calibri"/>
        <family val="2"/>
      </rPr>
      <t>Sc</t>
    </r>
    <r>
      <rPr>
        <sz val="10"/>
        <rFont val="Calibri"/>
        <family val="2"/>
      </rPr>
      <t xml:space="preserve"> Si = HR</t>
    </r>
  </si>
  <si>
    <t>En excel procádase así: HR = LOG(Si;Sc)</t>
  </si>
  <si>
    <t>% RA control =</t>
  </si>
  <si>
    <r>
      <t>Si = Sc</t>
    </r>
    <r>
      <rPr>
        <vertAlign val="superscript"/>
        <sz val="10"/>
        <rFont val="Calibri"/>
        <family val="2"/>
      </rPr>
      <t>HR</t>
    </r>
  </si>
  <si>
    <r>
      <t>1-RAi = (1-Rac)</t>
    </r>
    <r>
      <rPr>
        <vertAlign val="superscript"/>
        <sz val="10"/>
        <rFont val="Calibri"/>
        <family val="2"/>
      </rPr>
      <t>HR</t>
    </r>
  </si>
  <si>
    <t xml:space="preserve">RAi= 1- (1-RAc)^HR </t>
  </si>
  <si>
    <r>
      <t>Sc =  Si</t>
    </r>
    <r>
      <rPr>
        <vertAlign val="superscript"/>
        <sz val="10"/>
        <rFont val="Calibri"/>
        <family val="2"/>
      </rPr>
      <t>1/HR</t>
    </r>
    <r>
      <rPr>
        <sz val="10"/>
        <rFont val="Calibri"/>
        <family val="2"/>
      </rPr>
      <t xml:space="preserve"> </t>
    </r>
  </si>
  <si>
    <t>En excell procédase así: Sc = Potencia(Si;1/HR)</t>
  </si>
  <si>
    <t>Cálculo por incidencias acumuladas de RR, RAR, NNT con sus IC 95%, potencia estadística y valor de p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</si>
  <si>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 R</t>
    </r>
    <r>
      <rPr>
        <b/>
        <sz val="10"/>
        <rFont val="Calibri"/>
        <family val="2"/>
      </rPr>
      <t>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  <r>
      <rPr>
        <sz val="10"/>
        <color indexed="12"/>
        <rFont val="Calibri"/>
        <family val="2"/>
      </rPr>
      <t>.</t>
    </r>
  </si>
  <si>
    <t>Fármaco intervención</t>
  </si>
  <si>
    <t>Fármaco control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</si>
  <si>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</si>
  <si>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</si>
  <si>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</si>
  <si>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</si>
  <si>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1-α = probabilidad de dar por buena una diferencia que existe.</t>
  </si>
  <si>
    <t>CÁLCULOS EN incidencias acumuladas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</si>
  <si>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 R</t>
    </r>
    <r>
      <rPr>
        <b/>
        <sz val="10"/>
        <rFont val="Calibri"/>
        <family val="2"/>
      </rPr>
      <t>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  <r>
      <rPr>
        <sz val="10"/>
        <color indexed="12"/>
        <rFont val="Calibri"/>
        <family val="2"/>
      </rPr>
      <t>.</t>
    </r>
  </si>
  <si>
    <t>Control Intensivo; nº eventos (%)</t>
  </si>
  <si>
    <t>Control Convencional; nº eventos (%)</t>
  </si>
  <si>
    <r>
      <t xml:space="preserve">Cálculo por incidencias acumuladas </t>
    </r>
    <r>
      <rPr>
        <b/>
        <u val="single"/>
        <sz val="12"/>
        <rFont val="Calibri"/>
        <family val="2"/>
      </rPr>
      <t>EN 3,5 AÑOS</t>
    </r>
  </si>
  <si>
    <t>RAR (IC 95%) en 3,5 años</t>
  </si>
  <si>
    <t>NNT (IC 95%) en 3,5 años</t>
  </si>
  <si>
    <t>352/5128 (6,86%)</t>
  </si>
  <si>
    <t>371/5123 (7,24%)</t>
  </si>
  <si>
    <t>265 (73 a -162)</t>
  </si>
  <si>
    <t>257/5128 (5,01%)</t>
  </si>
  <si>
    <t>135/5128 (2,63%)</t>
  </si>
  <si>
    <t>94/5123 (1,83%)</t>
  </si>
  <si>
    <t>-0,8% (-1,37% a -0,22%)</t>
  </si>
  <si>
    <t>-125 (-459 a -73)</t>
  </si>
  <si>
    <t>186/5128 (3,63%)</t>
  </si>
  <si>
    <t>235/5123 (4,59%)</t>
  </si>
  <si>
    <t>152/5128 (2,96%)</t>
  </si>
  <si>
    <t>124/5123 (2,42%)</t>
  </si>
  <si>
    <t>Intensivo, % eventos ajustados / año</t>
  </si>
  <si>
    <t>Convencional; % eventos crudos / año</t>
  </si>
  <si>
    <r>
      <t xml:space="preserve">Medidas del efecto </t>
    </r>
    <r>
      <rPr>
        <b/>
        <u val="single"/>
        <sz val="10"/>
        <rFont val="Calibri"/>
        <family val="2"/>
      </rPr>
      <t>POR AÑO</t>
    </r>
    <r>
      <rPr>
        <b/>
        <sz val="10"/>
        <rFont val="Calibri"/>
        <family val="2"/>
      </rPr>
      <t xml:space="preserve"> calculadas a partir de los HR obtenidos por los investigadores.</t>
    </r>
  </si>
  <si>
    <t>RAR (IC 95%) por año</t>
  </si>
  <si>
    <t>NNT (IC 95%) por año</t>
  </si>
  <si>
    <t>0,9 (0,78-1,04)</t>
  </si>
  <si>
    <t>0,23% (-0,09% a 0,5%)</t>
  </si>
  <si>
    <t>-0,25% (-0,52% a -0,01%)</t>
  </si>
  <si>
    <t>-402 (-8823 a -192)</t>
  </si>
  <si>
    <r>
      <rPr>
        <b/>
        <sz val="12"/>
        <color indexed="60"/>
        <rFont val="Calibri"/>
        <family val="2"/>
      </rPr>
      <t>Tabla ...:</t>
    </r>
    <r>
      <rPr>
        <b/>
        <sz val="12"/>
        <rFont val="Calibri"/>
        <family val="2"/>
      </rPr>
      <t xml:space="preserve"> Paciente de 62 años (DE 7) con DM2 10 años establecida y con enfermedad CV o al menos otro FRCV adicional.</t>
    </r>
  </si>
  <si>
    <r>
      <rPr>
        <b/>
        <sz val="12"/>
        <color indexed="60"/>
        <rFont val="Calibri"/>
        <family val="2"/>
      </rPr>
      <t xml:space="preserve">Tabla ...: </t>
    </r>
    <r>
      <rPr>
        <b/>
        <sz val="12"/>
        <rFont val="Calibri"/>
        <family val="2"/>
      </rPr>
      <t>Paciente de 62 años (DE 7) con DM2 10 años establecida y con enfermedad CV o al menos otro FRCV adicional.</t>
    </r>
  </si>
  <si>
    <r>
      <rPr>
        <b/>
        <sz val="11"/>
        <color indexed="60"/>
        <rFont val="Calibri"/>
        <family val="2"/>
      </rPr>
      <t xml:space="preserve">Tabla …: </t>
    </r>
    <r>
      <rPr>
        <b/>
        <sz val="11"/>
        <rFont val="Calibri"/>
        <family val="2"/>
      </rPr>
      <t>Paciente de 62 años (DE 7) con DM2 10 años establecida y con enfermedad CV o al menos otro FRCV adicional.</t>
    </r>
  </si>
  <si>
    <t>Intens</t>
  </si>
  <si>
    <t>Convenc</t>
  </si>
  <si>
    <t>3,55 años</t>
  </si>
  <si>
    <t>3,48 años</t>
  </si>
  <si>
    <t>Mort por RR</t>
  </si>
  <si>
    <t>1,26 (1,06-1,51)</t>
  </si>
  <si>
    <t>-1,05% (-1,85% a -0,24%)</t>
  </si>
  <si>
    <t>-95 (-411 a -54)</t>
  </si>
  <si>
    <t>Mort por HR</t>
  </si>
  <si>
    <t>-0,86% (-1,79% a -0,04%)</t>
  </si>
  <si>
    <t>-117 (-2552 a -56)</t>
  </si>
  <si>
    <t>HR</t>
  </si>
  <si>
    <t>0,7% (-0,28% a 1,54%)</t>
  </si>
  <si>
    <t>144 (65 a -361)</t>
  </si>
  <si>
    <t>-0,62% (-1,35% a -0,07%)</t>
  </si>
  <si>
    <t>-161 (-1402 a -74)</t>
  </si>
  <si>
    <t>0,76 (0,62-0,09)</t>
  </si>
  <si>
    <t>1,08% (4,17% a 1,72%)</t>
  </si>
  <si>
    <t>92 (58 a 24)</t>
  </si>
  <si>
    <t>1,14% x 3,48 = 4,00%</t>
  </si>
  <si>
    <r>
      <t>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S</t>
    </r>
    <r>
      <rPr>
        <vertAlign val="subscript"/>
        <sz val="10"/>
        <rFont val="Calibri"/>
        <family val="2"/>
      </rPr>
      <t>c</t>
    </r>
    <r>
      <rPr>
        <vertAlign val="superscript"/>
        <sz val="10"/>
        <rFont val="Calibri"/>
        <family val="2"/>
      </rPr>
      <t>HR</t>
    </r>
  </si>
  <si>
    <r>
      <t>En excel procédase así: HR = LOG(S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;S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</si>
  <si>
    <r>
      <t>1-RA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(1-RA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HR</t>
    </r>
  </si>
  <si>
    <r>
      <t>RA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= 1- (1-RA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HR</t>
    </r>
    <r>
      <rPr>
        <sz val="10"/>
        <rFont val="Calibri"/>
        <family val="2"/>
      </rPr>
      <t xml:space="preserve"> </t>
    </r>
  </si>
  <si>
    <r>
      <t>S</t>
    </r>
    <r>
      <rPr>
        <vertAlign val="subscript"/>
        <sz val="10"/>
        <rFont val="Calibri"/>
        <family val="2"/>
      </rPr>
      <t>c</t>
    </r>
    <r>
      <rPr>
        <sz val="10"/>
        <rFont val="Calibri"/>
        <family val="2"/>
      </rPr>
      <t xml:space="preserve"> =  S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1/HR</t>
    </r>
    <r>
      <rPr>
        <sz val="10"/>
        <rFont val="Calibri"/>
        <family val="2"/>
      </rPr>
      <t xml:space="preserve"> </t>
    </r>
  </si>
  <si>
    <r>
      <t>En excell procédase así: S</t>
    </r>
    <r>
      <rPr>
        <vertAlign val="subscript"/>
        <sz val="10"/>
        <rFont val="Calibri"/>
        <family val="2"/>
      </rPr>
      <t xml:space="preserve">c </t>
    </r>
    <r>
      <rPr>
        <sz val="10"/>
        <rFont val="Calibri"/>
        <family val="2"/>
      </rPr>
      <t>= Potencia(S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;1/HR)</t>
    </r>
  </si>
  <si>
    <t>1,06 (0,75-1,5)</t>
  </si>
  <si>
    <t>-0,07% (-0,59% a 0,3%)</t>
  </si>
  <si>
    <t>-1398 (335 a -168)</t>
  </si>
  <si>
    <t>1,18 (0,99-1,49)</t>
  </si>
  <si>
    <t>-0,43% (-1,15% a 0,02%)</t>
  </si>
  <si>
    <t>-235 (4217 a -87)</t>
  </si>
  <si>
    <t>% / ¿x años?</t>
  </si>
  <si>
    <t>% / año</t>
  </si>
  <si>
    <t>¿x años?</t>
  </si>
  <si>
    <t>Variable: Mortalidad por todas las causas</t>
  </si>
  <si>
    <r>
      <t xml:space="preserve">Medidas del efecto </t>
    </r>
    <r>
      <rPr>
        <b/>
        <u val="single"/>
        <sz val="10"/>
        <rFont val="Calibri"/>
        <family val="2"/>
      </rPr>
      <t>EN LOS AÑOS DEL GRUPO CONTROL</t>
    </r>
    <r>
      <rPr>
        <b/>
        <sz val="10"/>
        <rFont val="Calibri"/>
        <family val="2"/>
      </rPr>
      <t xml:space="preserve"> obtenidas a partir de los HR informados por los investigadores.</t>
    </r>
  </si>
  <si>
    <t>NNT (IC 95%) en los años del control</t>
  </si>
  <si>
    <t>203/5123 (3,96%)</t>
  </si>
  <si>
    <t>67/5128 (1,31%)</t>
  </si>
  <si>
    <t>61/5123 (1,19%)</t>
  </si>
  <si>
    <t>1,1 (0,78-1,55)</t>
  </si>
  <si>
    <t>-0,12% (-0,55% a 0,32%)</t>
  </si>
  <si>
    <t>-863 (311 a -182)</t>
  </si>
  <si>
    <t>7,61%</t>
  </si>
  <si>
    <t>[Mort CV o IAM o ACV]: 7,24% / 2,29% = 3,16 años</t>
  </si>
  <si>
    <t>Muerte por cualquier causa: 3,96% / 1,14% = 3,48 años</t>
  </si>
  <si>
    <t>Muerte por causa CV: 1,83% / 0,56% = 3,28 años</t>
  </si>
  <si>
    <t>IAM no fatal: 4,59% / 1,45% = 3,16 años</t>
  </si>
  <si>
    <t>ACV no fatal: 1,19% / 0,37% = 3,22 años</t>
  </si>
  <si>
    <t>Insuf Card Congest fatal y no fatal: 2,42% / 0,75% = 3,23 años</t>
  </si>
  <si>
    <t>Convencional; % eventos crudos / en los años de cada fila</t>
  </si>
  <si>
    <t>Intensivo, % eventos ajustados / en los años de cada fila</t>
  </si>
  <si>
    <t>[Mort CV o IAM o ACV] en 3,16 años</t>
  </si>
  <si>
    <t>Muerte por cualquier causa, en 3,48 años</t>
  </si>
  <si>
    <t>Muerte por causa CV, en 3,28 años</t>
  </si>
  <si>
    <t>IAM no fatal, en 3,16 años</t>
  </si>
  <si>
    <t>ACV no fatal. En 3,22 años</t>
  </si>
  <si>
    <t>Insuf Card Congest fatal y no fatal,en 3,23 años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</si>
</sst>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_-* #,##0.0000\ _€_-;\-* #,##0.0000\ _€_-;_-* &quot;-&quot;????\ _€_-;_-@_-"/>
    <numFmt numFmtId="195" formatCode="_-* #,##0.0000000\ _€_-;\-* #,##0.0000000\ _€_-;_-* &quot;-&quot;??\ _€_-;_-@_-"/>
    <numFmt numFmtId="196" formatCode="_-* #,##0.00000000\ _€_-;\-* #,##0.00000000\ _€_-;_-* &quot;-&quot;??\ _€_-;_-@_-"/>
    <numFmt numFmtId="197" formatCode="_-* #,##0\ _€_-;\-* #,##0\ _€_-;_-* &quot;-&quot;?\ _€_-;_-@_-"/>
    <numFmt numFmtId="198" formatCode="_-* #,##0.00000\ _€_-;\-* #,##0.00000\ _€_-;_-* &quot;-&quot;?????\ _€_-;_-@_-"/>
    <numFmt numFmtId="199" formatCode="_-* #,##0.00\ _€_-;\-* #,##0.00\ _€_-;_-* \-??\ _€_-;_-@_-"/>
  </numFmts>
  <fonts count="10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b/>
      <sz val="10"/>
      <name val="Calibri"/>
      <family val="2"/>
    </font>
    <font>
      <i/>
      <sz val="10"/>
      <color indexed="12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u val="single"/>
      <sz val="12"/>
      <name val="Calibri"/>
      <family val="2"/>
    </font>
    <font>
      <b/>
      <sz val="12"/>
      <color indexed="60"/>
      <name val="Calibri"/>
      <family val="2"/>
    </font>
    <font>
      <b/>
      <u val="single"/>
      <sz val="10"/>
      <name val="Calibri"/>
      <family val="2"/>
    </font>
    <font>
      <sz val="1.5"/>
      <color indexed="8"/>
      <name val="Arial"/>
      <family val="2"/>
    </font>
    <font>
      <sz val="1.35"/>
      <color indexed="8"/>
      <name val="Arial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56"/>
      <name val="Courier"/>
      <family val="2"/>
    </font>
    <font>
      <b/>
      <sz val="11"/>
      <color indexed="56"/>
      <name val="Courier"/>
      <family val="2"/>
    </font>
    <font>
      <sz val="11"/>
      <color indexed="62"/>
      <name val="Courier"/>
      <family val="2"/>
    </font>
    <font>
      <sz val="11"/>
      <color indexed="20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56"/>
      <name val="Cambria"/>
      <family val="2"/>
    </font>
    <font>
      <b/>
      <sz val="13"/>
      <color indexed="56"/>
      <name val="Courier"/>
      <family val="2"/>
    </font>
    <font>
      <b/>
      <sz val="11"/>
      <color indexed="8"/>
      <name val="Courier"/>
      <family val="2"/>
    </font>
    <font>
      <sz val="10"/>
      <color indexed="52"/>
      <name val="Calibri"/>
      <family val="2"/>
    </font>
    <font>
      <sz val="8"/>
      <name val="Calibri"/>
      <family val="2"/>
    </font>
    <font>
      <b/>
      <sz val="10"/>
      <color indexed="57"/>
      <name val="Calibri"/>
      <family val="2"/>
    </font>
    <font>
      <sz val="10"/>
      <color indexed="20"/>
      <name val="Calibri"/>
      <family val="2"/>
    </font>
    <font>
      <sz val="10"/>
      <color indexed="63"/>
      <name val="Calibri"/>
      <family val="2"/>
    </font>
    <font>
      <b/>
      <u val="single"/>
      <sz val="14"/>
      <name val="Calibri"/>
      <family val="2"/>
    </font>
    <font>
      <b/>
      <sz val="9"/>
      <name val="Calibri"/>
      <family val="2"/>
    </font>
    <font>
      <i/>
      <sz val="10"/>
      <color indexed="20"/>
      <name val="Calibri"/>
      <family val="2"/>
    </font>
    <font>
      <b/>
      <sz val="10"/>
      <color indexed="14"/>
      <name val="Calibri"/>
      <family val="2"/>
    </font>
    <font>
      <sz val="10"/>
      <color indexed="14"/>
      <name val="Calibri"/>
      <family val="2"/>
    </font>
    <font>
      <b/>
      <u val="single"/>
      <sz val="12.5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i/>
      <sz val="10"/>
      <color indexed="12"/>
      <name val="Calibri"/>
      <family val="2"/>
    </font>
    <font>
      <sz val="10"/>
      <color indexed="61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sz val="8.1"/>
      <color indexed="63"/>
      <name val="Calibri"/>
      <family val="2"/>
    </font>
    <font>
      <sz val="12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23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10"/>
      <color indexed="63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9"/>
      <color indexed="60"/>
      <name val="Calibri"/>
      <family val="2"/>
    </font>
    <font>
      <sz val="10"/>
      <color indexed="60"/>
      <name val="Calibri"/>
      <family val="2"/>
    </font>
    <font>
      <sz val="9"/>
      <color indexed="60"/>
      <name val="Calibri"/>
      <family val="2"/>
    </font>
    <font>
      <b/>
      <sz val="14"/>
      <color indexed="60"/>
      <name val="Calibri"/>
      <family val="2"/>
    </font>
    <font>
      <b/>
      <sz val="9"/>
      <color indexed="12"/>
      <name val="Calibri"/>
      <family val="2"/>
    </font>
    <font>
      <sz val="9"/>
      <color indexed="12"/>
      <name val="Calibri"/>
      <family val="2"/>
    </font>
    <font>
      <b/>
      <sz val="14"/>
      <color indexed="12"/>
      <name val="Calibri"/>
      <family val="2"/>
    </font>
    <font>
      <b/>
      <sz val="15"/>
      <name val="Calibri"/>
      <family val="2"/>
    </font>
    <font>
      <b/>
      <sz val="13"/>
      <name val="Calibri"/>
      <family val="2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b/>
      <sz val="9"/>
      <color rgb="FF993300"/>
      <name val="Calibri"/>
      <family val="2"/>
    </font>
    <font>
      <sz val="10"/>
      <color rgb="FF993300"/>
      <name val="Calibri"/>
      <family val="2"/>
    </font>
    <font>
      <sz val="9"/>
      <color rgb="FF993300"/>
      <name val="Calibri"/>
      <family val="2"/>
    </font>
    <font>
      <b/>
      <sz val="14"/>
      <color rgb="FF993300"/>
      <name val="Calibri"/>
      <family val="2"/>
    </font>
    <font>
      <b/>
      <sz val="9"/>
      <color rgb="FF0000FF"/>
      <name val="Calibri"/>
      <family val="2"/>
    </font>
    <font>
      <sz val="9"/>
      <color rgb="FF0000FF"/>
      <name val="Calibri"/>
      <family val="2"/>
    </font>
    <font>
      <b/>
      <sz val="14"/>
      <color rgb="FF0000FF"/>
      <name val="Calibri"/>
      <family val="2"/>
    </font>
    <font>
      <sz val="10"/>
      <color rgb="FF0000F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7" fillId="21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7" applyNumberFormat="0" applyFill="0" applyAlignment="0" applyProtection="0"/>
    <xf numFmtId="0" fontId="83" fillId="0" borderId="8" applyNumberFormat="0" applyFill="0" applyAlignment="0" applyProtection="0"/>
    <xf numFmtId="0" fontId="92" fillId="0" borderId="9" applyNumberFormat="0" applyFill="0" applyAlignment="0" applyProtection="0"/>
  </cellStyleXfs>
  <cellXfs count="557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10" fontId="5" fillId="0" borderId="0" xfId="5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0" fontId="4" fillId="0" borderId="0" xfId="55" applyNumberFormat="1" applyFont="1" applyBorder="1" applyAlignment="1">
      <alignment horizontal="center"/>
    </xf>
    <xf numFmtId="10" fontId="5" fillId="0" borderId="0" xfId="55" applyNumberFormat="1" applyFont="1" applyBorder="1" applyAlignment="1">
      <alignment horizontal="center"/>
    </xf>
    <xf numFmtId="0" fontId="6" fillId="0" borderId="0" xfId="0" applyFont="1" applyFill="1" applyBorder="1" applyAlignment="1">
      <alignment vertical="distributed"/>
    </xf>
    <xf numFmtId="0" fontId="4" fillId="0" borderId="0" xfId="0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18" fontId="4" fillId="0" borderId="0" xfId="49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0" xfId="49" applyFont="1" applyFill="1" applyAlignment="1">
      <alignment horizontal="center"/>
    </xf>
    <xf numFmtId="164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0" fillId="0" borderId="0" xfId="49" applyFont="1" applyFill="1" applyBorder="1" applyAlignment="1">
      <alignment horizontal="center"/>
    </xf>
    <xf numFmtId="43" fontId="4" fillId="0" borderId="0" xfId="49" applyFont="1" applyFill="1" applyAlignment="1">
      <alignment/>
    </xf>
    <xf numFmtId="0" fontId="41" fillId="0" borderId="0" xfId="0" applyFont="1" applyFill="1" applyAlignment="1">
      <alignment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4" fontId="4" fillId="0" borderId="0" xfId="55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5" fontId="4" fillId="0" borderId="0" xfId="55" applyNumberFormat="1" applyFont="1" applyAlignment="1">
      <alignment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43" fontId="4" fillId="0" borderId="0" xfId="49" applyFont="1" applyFill="1" applyBorder="1" applyAlignment="1">
      <alignment/>
    </xf>
    <xf numFmtId="0" fontId="4" fillId="0" borderId="0" xfId="0" applyFont="1" applyBorder="1" applyAlignment="1">
      <alignment horizontal="right"/>
    </xf>
    <xf numFmtId="10" fontId="4" fillId="0" borderId="0" xfId="55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 horizontal="center"/>
    </xf>
    <xf numFmtId="10" fontId="4" fillId="0" borderId="0" xfId="55" applyNumberFormat="1" applyFont="1" applyFill="1" applyBorder="1" applyAlignment="1">
      <alignment horizontal="center"/>
    </xf>
    <xf numFmtId="10" fontId="4" fillId="0" borderId="0" xfId="55" applyNumberFormat="1" applyFont="1" applyFill="1" applyBorder="1" applyAlignment="1">
      <alignment/>
    </xf>
    <xf numFmtId="43" fontId="7" fillId="0" borderId="11" xfId="49" applyFont="1" applyFill="1" applyBorder="1" applyAlignment="1">
      <alignment horizontal="center" vertical="distributed"/>
    </xf>
    <xf numFmtId="43" fontId="7" fillId="0" borderId="11" xfId="49" applyFont="1" applyBorder="1" applyAlignment="1">
      <alignment horizontal="center" vertical="distributed"/>
    </xf>
    <xf numFmtId="167" fontId="7" fillId="0" borderId="12" xfId="55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right"/>
    </xf>
    <xf numFmtId="43" fontId="42" fillId="0" borderId="0" xfId="0" applyNumberFormat="1" applyFont="1" applyFill="1" applyBorder="1" applyAlignment="1">
      <alignment horizontal="center"/>
    </xf>
    <xf numFmtId="43" fontId="42" fillId="0" borderId="0" xfId="49" applyFont="1" applyFill="1" applyBorder="1" applyAlignment="1">
      <alignment/>
    </xf>
    <xf numFmtId="165" fontId="42" fillId="0" borderId="0" xfId="0" applyNumberFormat="1" applyFont="1" applyFill="1" applyBorder="1" applyAlignment="1">
      <alignment horizontal="right"/>
    </xf>
    <xf numFmtId="43" fontId="42" fillId="0" borderId="0" xfId="49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3" fontId="42" fillId="0" borderId="0" xfId="49" applyFont="1" applyFill="1" applyAlignment="1">
      <alignment horizontal="right"/>
    </xf>
    <xf numFmtId="0" fontId="42" fillId="0" borderId="0" xfId="0" applyFont="1" applyFill="1" applyBorder="1" applyAlignment="1">
      <alignment/>
    </xf>
    <xf numFmtId="43" fontId="4" fillId="0" borderId="0" xfId="0" applyNumberFormat="1" applyFont="1" applyFill="1" applyAlignment="1">
      <alignment/>
    </xf>
    <xf numFmtId="166" fontId="42" fillId="0" borderId="0" xfId="0" applyNumberFormat="1" applyFont="1" applyFill="1" applyBorder="1" applyAlignment="1">
      <alignment/>
    </xf>
    <xf numFmtId="168" fontId="42" fillId="0" borderId="0" xfId="49" applyNumberFormat="1" applyFont="1" applyFill="1" applyBorder="1" applyAlignment="1">
      <alignment horizontal="center"/>
    </xf>
    <xf numFmtId="171" fontId="42" fillId="0" borderId="0" xfId="0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7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3" fontId="4" fillId="0" borderId="0" xfId="49" applyFont="1" applyFill="1" applyBorder="1" applyAlignment="1">
      <alignment horizontal="center"/>
    </xf>
    <xf numFmtId="169" fontId="4" fillId="0" borderId="0" xfId="49" applyNumberFormat="1" applyFont="1" applyFill="1" applyBorder="1" applyAlignment="1">
      <alignment horizontal="center"/>
    </xf>
    <xf numFmtId="43" fontId="7" fillId="0" borderId="0" xfId="49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171" fontId="5" fillId="0" borderId="0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3" fontId="6" fillId="0" borderId="0" xfId="49" applyFont="1" applyFill="1" applyBorder="1" applyAlignment="1">
      <alignment/>
    </xf>
    <xf numFmtId="0" fontId="39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0" fontId="6" fillId="0" borderId="11" xfId="0" applyFont="1" applyFill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5" fillId="0" borderId="0" xfId="0" applyFont="1" applyFill="1" applyBorder="1" applyAlignment="1">
      <alignment vertical="center" textRotation="90"/>
    </xf>
    <xf numFmtId="0" fontId="4" fillId="0" borderId="13" xfId="0" applyFont="1" applyFill="1" applyBorder="1" applyAlignment="1">
      <alignment horizontal="left"/>
    </xf>
    <xf numFmtId="43" fontId="45" fillId="0" borderId="14" xfId="49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169" fontId="4" fillId="0" borderId="14" xfId="49" applyNumberFormat="1" applyFont="1" applyFill="1" applyBorder="1" applyAlignment="1">
      <alignment horizontal="center"/>
    </xf>
    <xf numFmtId="43" fontId="4" fillId="0" borderId="14" xfId="49" applyFont="1" applyFill="1" applyBorder="1" applyAlignment="1">
      <alignment horizontal="center"/>
    </xf>
    <xf numFmtId="43" fontId="7" fillId="0" borderId="14" xfId="49" applyFont="1" applyFill="1" applyBorder="1" applyAlignment="1">
      <alignment/>
    </xf>
    <xf numFmtId="43" fontId="7" fillId="0" borderId="15" xfId="49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64" fontId="5" fillId="0" borderId="12" xfId="0" applyNumberFormat="1" applyFont="1" applyFill="1" applyBorder="1" applyAlignment="1">
      <alignment horizontal="center"/>
    </xf>
    <xf numFmtId="10" fontId="5" fillId="33" borderId="12" xfId="55" applyNumberFormat="1" applyFont="1" applyFill="1" applyBorder="1" applyAlignment="1">
      <alignment horizontal="center"/>
    </xf>
    <xf numFmtId="43" fontId="5" fillId="0" borderId="12" xfId="49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3" fontId="5" fillId="0" borderId="16" xfId="49" applyFont="1" applyFill="1" applyBorder="1" applyAlignment="1">
      <alignment horizontal="center"/>
    </xf>
    <xf numFmtId="10" fontId="6" fillId="33" borderId="12" xfId="55" applyNumberFormat="1" applyFont="1" applyFill="1" applyBorder="1" applyAlignment="1">
      <alignment horizontal="center"/>
    </xf>
    <xf numFmtId="10" fontId="6" fillId="34" borderId="12" xfId="55" applyNumberFormat="1" applyFont="1" applyFill="1" applyBorder="1" applyAlignment="1">
      <alignment horizontal="center"/>
    </xf>
    <xf numFmtId="10" fontId="6" fillId="35" borderId="12" xfId="55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/>
    </xf>
    <xf numFmtId="43" fontId="7" fillId="0" borderId="18" xfId="49" applyFont="1" applyFill="1" applyBorder="1" applyAlignment="1">
      <alignment/>
    </xf>
    <xf numFmtId="166" fontId="4" fillId="0" borderId="17" xfId="49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167" fontId="4" fillId="0" borderId="17" xfId="55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77" fontId="4" fillId="0" borderId="17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64" fontId="46" fillId="0" borderId="12" xfId="0" applyNumberFormat="1" applyFont="1" applyFill="1" applyBorder="1" applyAlignment="1">
      <alignment horizontal="center"/>
    </xf>
    <xf numFmtId="10" fontId="46" fillId="0" borderId="12" xfId="55" applyNumberFormat="1" applyFont="1" applyFill="1" applyBorder="1" applyAlignment="1">
      <alignment horizontal="center"/>
    </xf>
    <xf numFmtId="43" fontId="5" fillId="0" borderId="0" xfId="49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5" fillId="0" borderId="0" xfId="49" applyFont="1" applyFill="1" applyBorder="1" applyAlignment="1">
      <alignment horizontal="center"/>
    </xf>
    <xf numFmtId="10" fontId="6" fillId="0" borderId="0" xfId="55" applyNumberFormat="1" applyFont="1" applyFill="1" applyBorder="1" applyAlignment="1">
      <alignment/>
    </xf>
    <xf numFmtId="167" fontId="7" fillId="0" borderId="17" xfId="55" applyNumberFormat="1" applyFont="1" applyFill="1" applyBorder="1" applyAlignment="1">
      <alignment/>
    </xf>
    <xf numFmtId="165" fontId="7" fillId="0" borderId="17" xfId="49" applyNumberFormat="1" applyFont="1" applyFill="1" applyBorder="1" applyAlignment="1">
      <alignment/>
    </xf>
    <xf numFmtId="167" fontId="4" fillId="0" borderId="0" xfId="55" applyNumberFormat="1" applyFont="1" applyAlignment="1">
      <alignment/>
    </xf>
    <xf numFmtId="169" fontId="4" fillId="0" borderId="0" xfId="0" applyNumberFormat="1" applyFont="1" applyBorder="1" applyAlignment="1">
      <alignment/>
    </xf>
    <xf numFmtId="10" fontId="47" fillId="0" borderId="17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6" fillId="0" borderId="0" xfId="0" applyFont="1" applyAlignment="1">
      <alignment horizontal="center"/>
    </xf>
    <xf numFmtId="49" fontId="11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10" fontId="7" fillId="33" borderId="19" xfId="55" applyNumberFormat="1" applyFont="1" applyFill="1" applyBorder="1" applyAlignment="1">
      <alignment horizontal="center"/>
    </xf>
    <xf numFmtId="10" fontId="7" fillId="35" borderId="19" xfId="55" applyNumberFormat="1" applyFont="1" applyFill="1" applyBorder="1" applyAlignment="1">
      <alignment horizontal="center"/>
    </xf>
    <xf numFmtId="10" fontId="7" fillId="34" borderId="20" xfId="55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0" fontId="4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0" fontId="4" fillId="0" borderId="0" xfId="55" applyNumberFormat="1" applyFont="1" applyAlignment="1">
      <alignment/>
    </xf>
    <xf numFmtId="10" fontId="4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1" fontId="7" fillId="33" borderId="19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>
      <alignment horizontal="center"/>
    </xf>
    <xf numFmtId="1" fontId="7" fillId="34" borderId="2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/>
    </xf>
    <xf numFmtId="10" fontId="4" fillId="0" borderId="0" xfId="49" applyNumberFormat="1" applyFont="1" applyFill="1" applyBorder="1" applyAlignment="1">
      <alignment/>
    </xf>
    <xf numFmtId="164" fontId="4" fillId="0" borderId="0" xfId="49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0" fontId="39" fillId="0" borderId="16" xfId="55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7" fillId="0" borderId="12" xfId="0" applyFont="1" applyBorder="1" applyAlignment="1">
      <alignment horizontal="right"/>
    </xf>
    <xf numFmtId="49" fontId="11" fillId="0" borderId="12" xfId="49" applyNumberFormat="1" applyFont="1" applyBorder="1" applyAlignment="1">
      <alignment horizontal="right"/>
    </xf>
    <xf numFmtId="1" fontId="50" fillId="0" borderId="0" xfId="0" applyNumberFormat="1" applyFont="1" applyFill="1" applyBorder="1" applyAlignment="1">
      <alignment horizontal="center"/>
    </xf>
    <xf numFmtId="165" fontId="4" fillId="0" borderId="0" xfId="49" applyNumberFormat="1" applyFont="1" applyFill="1" applyBorder="1" applyAlignment="1">
      <alignment/>
    </xf>
    <xf numFmtId="10" fontId="39" fillId="0" borderId="0" xfId="55" applyNumberFormat="1" applyFont="1" applyFill="1" applyBorder="1" applyAlignment="1">
      <alignment horizontal="center"/>
    </xf>
    <xf numFmtId="0" fontId="39" fillId="36" borderId="24" xfId="0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7" fillId="36" borderId="23" xfId="0" applyFont="1" applyFill="1" applyBorder="1" applyAlignment="1">
      <alignment horizontal="right"/>
    </xf>
    <xf numFmtId="1" fontId="7" fillId="36" borderId="12" xfId="0" applyNumberFormat="1" applyFont="1" applyFill="1" applyBorder="1" applyAlignment="1">
      <alignment horizontal="center" vertical="distributed"/>
    </xf>
    <xf numFmtId="164" fontId="39" fillId="0" borderId="0" xfId="49" applyNumberFormat="1" applyFont="1" applyFill="1" applyBorder="1" applyAlignment="1">
      <alignment horizontal="center"/>
    </xf>
    <xf numFmtId="0" fontId="39" fillId="37" borderId="12" xfId="0" applyFont="1" applyFill="1" applyBorder="1" applyAlignment="1">
      <alignment horizontal="center"/>
    </xf>
    <xf numFmtId="0" fontId="4" fillId="37" borderId="12" xfId="0" applyFont="1" applyFill="1" applyBorder="1" applyAlignment="1">
      <alignment/>
    </xf>
    <xf numFmtId="0" fontId="7" fillId="37" borderId="12" xfId="0" applyFont="1" applyFill="1" applyBorder="1" applyAlignment="1">
      <alignment horizontal="right"/>
    </xf>
    <xf numFmtId="1" fontId="7" fillId="37" borderId="12" xfId="0" applyNumberFormat="1" applyFont="1" applyFill="1" applyBorder="1" applyAlignment="1">
      <alignment horizontal="center" vertical="distributed"/>
    </xf>
    <xf numFmtId="165" fontId="4" fillId="0" borderId="0" xfId="0" applyNumberFormat="1" applyFont="1" applyFill="1" applyBorder="1" applyAlignment="1">
      <alignment/>
    </xf>
    <xf numFmtId="164" fontId="39" fillId="38" borderId="16" xfId="0" applyNumberFormat="1" applyFont="1" applyFill="1" applyBorder="1" applyAlignment="1">
      <alignment horizontal="center"/>
    </xf>
    <xf numFmtId="43" fontId="40" fillId="38" borderId="23" xfId="49" applyFont="1" applyFill="1" applyBorder="1" applyAlignment="1">
      <alignment/>
    </xf>
    <xf numFmtId="43" fontId="7" fillId="38" borderId="23" xfId="49" applyFont="1" applyFill="1" applyBorder="1" applyAlignment="1">
      <alignment horizontal="right"/>
    </xf>
    <xf numFmtId="1" fontId="7" fillId="38" borderId="12" xfId="0" applyNumberFormat="1" applyFont="1" applyFill="1" applyBorder="1" applyAlignment="1">
      <alignment horizontal="center" vertical="distributed"/>
    </xf>
    <xf numFmtId="49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0" fontId="39" fillId="36" borderId="26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7" fillId="36" borderId="27" xfId="0" applyFont="1" applyFill="1" applyBorder="1" applyAlignment="1">
      <alignment horizontal="right"/>
    </xf>
    <xf numFmtId="49" fontId="5" fillId="0" borderId="0" xfId="0" applyNumberFormat="1" applyFont="1" applyAlignment="1">
      <alignment/>
    </xf>
    <xf numFmtId="0" fontId="39" fillId="34" borderId="16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7" fillId="34" borderId="28" xfId="0" applyFont="1" applyFill="1" applyBorder="1" applyAlignment="1">
      <alignment horizontal="right"/>
    </xf>
    <xf numFmtId="1" fontId="7" fillId="34" borderId="28" xfId="0" applyNumberFormat="1" applyFont="1" applyFill="1" applyBorder="1" applyAlignment="1">
      <alignment horizontal="center" vertical="distributed"/>
    </xf>
    <xf numFmtId="1" fontId="7" fillId="34" borderId="12" xfId="0" applyNumberFormat="1" applyFont="1" applyFill="1" applyBorder="1" applyAlignment="1">
      <alignment horizontal="center" vertical="distributed"/>
    </xf>
    <xf numFmtId="0" fontId="15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164" fontId="39" fillId="38" borderId="24" xfId="0" applyNumberFormat="1" applyFont="1" applyFill="1" applyBorder="1" applyAlignment="1">
      <alignment horizontal="center"/>
    </xf>
    <xf numFmtId="43" fontId="40" fillId="38" borderId="0" xfId="49" applyFont="1" applyFill="1" applyBorder="1" applyAlignment="1">
      <alignment/>
    </xf>
    <xf numFmtId="43" fontId="7" fillId="38" borderId="0" xfId="49" applyFont="1" applyFill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0" fillId="0" borderId="0" xfId="49" applyFont="1" applyFill="1" applyBorder="1" applyAlignment="1">
      <alignment/>
    </xf>
    <xf numFmtId="43" fontId="7" fillId="0" borderId="0" xfId="49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right"/>
    </xf>
    <xf numFmtId="164" fontId="5" fillId="0" borderId="12" xfId="49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2" fillId="0" borderId="12" xfId="0" applyFont="1" applyFill="1" applyBorder="1" applyAlignment="1">
      <alignment horizontal="right"/>
    </xf>
    <xf numFmtId="43" fontId="4" fillId="0" borderId="12" xfId="49" applyFont="1" applyFill="1" applyBorder="1" applyAlignment="1">
      <alignment/>
    </xf>
    <xf numFmtId="0" fontId="42" fillId="0" borderId="12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28" xfId="0" applyFont="1" applyBorder="1" applyAlignment="1">
      <alignment horizontal="right"/>
    </xf>
    <xf numFmtId="164" fontId="6" fillId="0" borderId="12" xfId="0" applyNumberFormat="1" applyFont="1" applyBorder="1" applyAlignment="1">
      <alignment horizontal="center"/>
    </xf>
    <xf numFmtId="164" fontId="6" fillId="0" borderId="12" xfId="49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164" fontId="5" fillId="0" borderId="0" xfId="49" applyNumberFormat="1" applyFont="1" applyFill="1" applyBorder="1" applyAlignment="1">
      <alignment/>
    </xf>
    <xf numFmtId="164" fontId="6" fillId="0" borderId="0" xfId="49" applyNumberFormat="1" applyFont="1" applyFill="1" applyBorder="1" applyAlignment="1">
      <alignment/>
    </xf>
    <xf numFmtId="0" fontId="53" fillId="0" borderId="17" xfId="0" applyFont="1" applyBorder="1" applyAlignment="1">
      <alignment/>
    </xf>
    <xf numFmtId="164" fontId="5" fillId="0" borderId="0" xfId="49" applyNumberFormat="1" applyFont="1" applyAlignment="1">
      <alignment/>
    </xf>
    <xf numFmtId="43" fontId="53" fillId="0" borderId="12" xfId="49" applyFont="1" applyBorder="1" applyAlignment="1">
      <alignment/>
    </xf>
    <xf numFmtId="43" fontId="6" fillId="0" borderId="0" xfId="49" applyFont="1" applyAlignment="1">
      <alignment/>
    </xf>
    <xf numFmtId="0" fontId="6" fillId="0" borderId="0" xfId="0" applyFont="1" applyBorder="1" applyAlignment="1">
      <alignment horizontal="right"/>
    </xf>
    <xf numFmtId="43" fontId="5" fillId="39" borderId="0" xfId="0" applyNumberFormat="1" applyFont="1" applyFill="1" applyAlignment="1">
      <alignment/>
    </xf>
    <xf numFmtId="43" fontId="4" fillId="0" borderId="0" xfId="49" applyFont="1" applyBorder="1" applyAlignment="1">
      <alignment/>
    </xf>
    <xf numFmtId="0" fontId="7" fillId="0" borderId="10" xfId="0" applyFont="1" applyBorder="1" applyAlignment="1">
      <alignment horizontal="right"/>
    </xf>
    <xf numFmtId="43" fontId="7" fillId="0" borderId="2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4" fillId="0" borderId="22" xfId="0" applyFont="1" applyFill="1" applyBorder="1" applyAlignment="1">
      <alignment horizontal="right"/>
    </xf>
    <xf numFmtId="165" fontId="7" fillId="39" borderId="31" xfId="49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9" fontId="4" fillId="0" borderId="0" xfId="55" applyFont="1" applyFill="1" applyBorder="1" applyAlignment="1">
      <alignment/>
    </xf>
    <xf numFmtId="49" fontId="4" fillId="40" borderId="19" xfId="0" applyNumberFormat="1" applyFont="1" applyFill="1" applyBorder="1" applyAlignment="1">
      <alignment/>
    </xf>
    <xf numFmtId="49" fontId="4" fillId="40" borderId="32" xfId="0" applyNumberFormat="1" applyFont="1" applyFill="1" applyBorder="1" applyAlignment="1">
      <alignment/>
    </xf>
    <xf numFmtId="49" fontId="4" fillId="40" borderId="33" xfId="0" applyNumberFormat="1" applyFont="1" applyFill="1" applyBorder="1" applyAlignment="1">
      <alignment horizontal="right"/>
    </xf>
    <xf numFmtId="49" fontId="4" fillId="40" borderId="13" xfId="0" applyNumberFormat="1" applyFont="1" applyFill="1" applyBorder="1" applyAlignment="1">
      <alignment/>
    </xf>
    <xf numFmtId="164" fontId="4" fillId="40" borderId="0" xfId="0" applyNumberFormat="1" applyFont="1" applyFill="1" applyBorder="1" applyAlignment="1">
      <alignment/>
    </xf>
    <xf numFmtId="2" fontId="4" fillId="40" borderId="0" xfId="0" applyNumberFormat="1" applyFont="1" applyFill="1" applyBorder="1" applyAlignment="1">
      <alignment/>
    </xf>
    <xf numFmtId="10" fontId="4" fillId="40" borderId="0" xfId="0" applyNumberFormat="1" applyFont="1" applyFill="1" applyBorder="1" applyAlignment="1">
      <alignment/>
    </xf>
    <xf numFmtId="1" fontId="4" fillId="40" borderId="0" xfId="0" applyNumberFormat="1" applyFont="1" applyFill="1" applyBorder="1" applyAlignment="1">
      <alignment horizontal="center"/>
    </xf>
    <xf numFmtId="49" fontId="4" fillId="40" borderId="17" xfId="0" applyNumberFormat="1" applyFont="1" applyFill="1" applyBorder="1" applyAlignment="1">
      <alignment/>
    </xf>
    <xf numFmtId="10" fontId="4" fillId="40" borderId="18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49" fontId="4" fillId="40" borderId="12" xfId="0" applyNumberFormat="1" applyFont="1" applyFill="1" applyBorder="1" applyAlignment="1">
      <alignment horizontal="center"/>
    </xf>
    <xf numFmtId="49" fontId="4" fillId="40" borderId="16" xfId="0" applyNumberFormat="1" applyFont="1" applyFill="1" applyBorder="1" applyAlignment="1">
      <alignment horizontal="center"/>
    </xf>
    <xf numFmtId="0" fontId="4" fillId="40" borderId="34" xfId="0" applyFont="1" applyFill="1" applyBorder="1" applyAlignment="1">
      <alignment horizontal="center"/>
    </xf>
    <xf numFmtId="0" fontId="4" fillId="40" borderId="17" xfId="0" applyFont="1" applyFill="1" applyBorder="1" applyAlignment="1">
      <alignment/>
    </xf>
    <xf numFmtId="0" fontId="4" fillId="40" borderId="12" xfId="0" applyFont="1" applyFill="1" applyBorder="1" applyAlignment="1">
      <alignment horizontal="center"/>
    </xf>
    <xf numFmtId="49" fontId="4" fillId="40" borderId="22" xfId="0" applyNumberFormat="1" applyFont="1" applyFill="1" applyBorder="1" applyAlignment="1">
      <alignment/>
    </xf>
    <xf numFmtId="0" fontId="4" fillId="40" borderId="10" xfId="0" applyFont="1" applyFill="1" applyBorder="1" applyAlignment="1">
      <alignment/>
    </xf>
    <xf numFmtId="0" fontId="4" fillId="40" borderId="21" xfId="0" applyFont="1" applyFill="1" applyBorder="1" applyAlignment="1">
      <alignment/>
    </xf>
    <xf numFmtId="0" fontId="7" fillId="40" borderId="12" xfId="0" applyFont="1" applyFill="1" applyBorder="1" applyAlignment="1">
      <alignment horizontal="center" vertical="distributed"/>
    </xf>
    <xf numFmtId="0" fontId="4" fillId="0" borderId="0" xfId="0" applyFont="1" applyAlignment="1">
      <alignment vertical="distributed"/>
    </xf>
    <xf numFmtId="0" fontId="4" fillId="0" borderId="0" xfId="0" applyFont="1" applyFill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31" xfId="0" applyFont="1" applyBorder="1" applyAlignment="1">
      <alignment horizontal="center" vertical="distributed"/>
    </xf>
    <xf numFmtId="164" fontId="7" fillId="0" borderId="20" xfId="49" applyNumberFormat="1" applyFont="1" applyBorder="1" applyAlignment="1">
      <alignment horizontal="center" vertical="distributed"/>
    </xf>
    <xf numFmtId="0" fontId="55" fillId="0" borderId="20" xfId="0" applyFont="1" applyFill="1" applyBorder="1" applyAlignment="1">
      <alignment horizontal="center" vertical="distributed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right"/>
    </xf>
    <xf numFmtId="49" fontId="9" fillId="0" borderId="19" xfId="0" applyNumberFormat="1" applyFont="1" applyBorder="1" applyAlignment="1">
      <alignment horizontal="right"/>
    </xf>
    <xf numFmtId="10" fontId="4" fillId="0" borderId="0" xfId="55" applyNumberFormat="1" applyFont="1" applyFill="1" applyBorder="1" applyAlignment="1">
      <alignment horizontal="center" vertical="distributed"/>
    </xf>
    <xf numFmtId="43" fontId="45" fillId="0" borderId="0" xfId="49" applyFont="1" applyFill="1" applyBorder="1" applyAlignment="1">
      <alignment horizontal="right"/>
    </xf>
    <xf numFmtId="0" fontId="56" fillId="0" borderId="0" xfId="0" applyFont="1" applyAlignment="1">
      <alignment/>
    </xf>
    <xf numFmtId="166" fontId="4" fillId="0" borderId="0" xfId="49" applyNumberFormat="1" applyFont="1" applyFill="1" applyBorder="1" applyAlignment="1">
      <alignment/>
    </xf>
    <xf numFmtId="0" fontId="57" fillId="0" borderId="0" xfId="0" applyFont="1" applyAlignment="1">
      <alignment/>
    </xf>
    <xf numFmtId="177" fontId="4" fillId="0" borderId="0" xfId="0" applyNumberFormat="1" applyFont="1" applyFill="1" applyBorder="1" applyAlignment="1">
      <alignment/>
    </xf>
    <xf numFmtId="0" fontId="9" fillId="0" borderId="32" xfId="0" applyFont="1" applyBorder="1" applyAlignment="1">
      <alignment horizontal="center"/>
    </xf>
    <xf numFmtId="185" fontId="4" fillId="0" borderId="19" xfId="0" applyNumberFormat="1" applyFont="1" applyBorder="1" applyAlignment="1">
      <alignment horizontal="center"/>
    </xf>
    <xf numFmtId="165" fontId="7" fillId="0" borderId="0" xfId="49" applyNumberFormat="1" applyFont="1" applyFill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0" fontId="7" fillId="0" borderId="0" xfId="55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0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10" fontId="7" fillId="33" borderId="12" xfId="55" applyNumberFormat="1" applyFont="1" applyFill="1" applyBorder="1" applyAlignment="1">
      <alignment horizontal="center"/>
    </xf>
    <xf numFmtId="10" fontId="7" fillId="34" borderId="12" xfId="55" applyNumberFormat="1" applyFont="1" applyFill="1" applyBorder="1" applyAlignment="1">
      <alignment horizontal="center"/>
    </xf>
    <xf numFmtId="10" fontId="7" fillId="35" borderId="12" xfId="55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" fontId="7" fillId="33" borderId="12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5" borderId="12" xfId="0" applyNumberFormat="1" applyFont="1" applyFill="1" applyBorder="1" applyAlignment="1">
      <alignment horizontal="center"/>
    </xf>
    <xf numFmtId="49" fontId="51" fillId="0" borderId="12" xfId="49" applyNumberFormat="1" applyFont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7" fillId="36" borderId="30" xfId="0" applyFont="1" applyFill="1" applyBorder="1" applyAlignment="1">
      <alignment horizontal="right"/>
    </xf>
    <xf numFmtId="1" fontId="7" fillId="36" borderId="12" xfId="0" applyNumberFormat="1" applyFont="1" applyFill="1" applyBorder="1" applyAlignment="1">
      <alignment horizontal="center"/>
    </xf>
    <xf numFmtId="1" fontId="7" fillId="37" borderId="12" xfId="0" applyNumberFormat="1" applyFont="1" applyFill="1" applyBorder="1" applyAlignment="1">
      <alignment horizontal="center"/>
    </xf>
    <xf numFmtId="0" fontId="7" fillId="38" borderId="12" xfId="0" applyFont="1" applyFill="1" applyBorder="1" applyAlignment="1">
      <alignment horizontal="right"/>
    </xf>
    <xf numFmtId="1" fontId="7" fillId="38" borderId="1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1" fontId="7" fillId="34" borderId="28" xfId="0" applyNumberFormat="1" applyFont="1" applyFill="1" applyBorder="1" applyAlignment="1">
      <alignment horizontal="center"/>
    </xf>
    <xf numFmtId="0" fontId="7" fillId="38" borderId="30" xfId="0" applyFont="1" applyFill="1" applyBorder="1" applyAlignment="1">
      <alignment horizontal="right"/>
    </xf>
    <xf numFmtId="2" fontId="4" fillId="40" borderId="27" xfId="0" applyNumberFormat="1" applyFont="1" applyFill="1" applyBorder="1" applyAlignment="1">
      <alignment horizontal="center"/>
    </xf>
    <xf numFmtId="10" fontId="4" fillId="40" borderId="27" xfId="55" applyNumberFormat="1" applyFont="1" applyFill="1" applyBorder="1" applyAlignment="1">
      <alignment horizontal="center"/>
    </xf>
    <xf numFmtId="1" fontId="4" fillId="40" borderId="35" xfId="0" applyNumberFormat="1" applyFont="1" applyFill="1" applyBorder="1" applyAlignment="1">
      <alignment horizontal="center"/>
    </xf>
    <xf numFmtId="2" fontId="4" fillId="40" borderId="0" xfId="0" applyNumberFormat="1" applyFont="1" applyFill="1" applyBorder="1" applyAlignment="1">
      <alignment horizontal="center"/>
    </xf>
    <xf numFmtId="10" fontId="4" fillId="40" borderId="0" xfId="55" applyNumberFormat="1" applyFont="1" applyFill="1" applyBorder="1" applyAlignment="1">
      <alignment horizontal="center"/>
    </xf>
    <xf numFmtId="1" fontId="4" fillId="40" borderId="36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 vertical="distributed"/>
    </xf>
    <xf numFmtId="164" fontId="7" fillId="0" borderId="37" xfId="49" applyNumberFormat="1" applyFont="1" applyBorder="1" applyAlignment="1">
      <alignment horizontal="center" vertical="distributed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>
      <alignment horizontal="center" vertical="center"/>
    </xf>
    <xf numFmtId="10" fontId="4" fillId="0" borderId="40" xfId="55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41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10" fontId="4" fillId="0" borderId="42" xfId="55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0" fontId="58" fillId="0" borderId="34" xfId="55" applyNumberFormat="1" applyFont="1" applyFill="1" applyBorder="1" applyAlignment="1">
      <alignment horizontal="center" vertical="center"/>
    </xf>
    <xf numFmtId="10" fontId="4" fillId="0" borderId="34" xfId="55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10" fontId="4" fillId="0" borderId="47" xfId="55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48" xfId="0" applyFont="1" applyFill="1" applyBorder="1" applyAlignment="1">
      <alignment horizontal="center" vertical="center"/>
    </xf>
    <xf numFmtId="49" fontId="59" fillId="0" borderId="33" xfId="0" applyNumberFormat="1" applyFont="1" applyBorder="1" applyAlignment="1">
      <alignment horizontal="center" vertical="center"/>
    </xf>
    <xf numFmtId="9" fontId="58" fillId="0" borderId="42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49" fontId="59" fillId="0" borderId="46" xfId="0" applyNumberFormat="1" applyFont="1" applyBorder="1" applyAlignment="1">
      <alignment horizontal="center" vertical="center"/>
    </xf>
    <xf numFmtId="9" fontId="58" fillId="0" borderId="4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10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10" fontId="4" fillId="0" borderId="34" xfId="0" applyNumberFormat="1" applyFont="1" applyBorder="1" applyAlignment="1">
      <alignment horizontal="center" vertical="center"/>
    </xf>
    <xf numFmtId="10" fontId="58" fillId="0" borderId="47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10" fontId="4" fillId="0" borderId="4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46" xfId="0" applyNumberFormat="1" applyFont="1" applyBorder="1" applyAlignment="1">
      <alignment horizontal="center" vertical="center"/>
    </xf>
    <xf numFmtId="10" fontId="4" fillId="0" borderId="33" xfId="0" applyNumberFormat="1" applyFont="1" applyFill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center" vertical="center"/>
    </xf>
    <xf numFmtId="10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10" fontId="4" fillId="0" borderId="50" xfId="0" applyNumberFormat="1" applyFont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49" fontId="54" fillId="41" borderId="12" xfId="0" applyNumberFormat="1" applyFont="1" applyFill="1" applyBorder="1" applyAlignment="1">
      <alignment horizontal="center" vertical="center"/>
    </xf>
    <xf numFmtId="2" fontId="4" fillId="42" borderId="19" xfId="0" applyNumberFormat="1" applyFont="1" applyFill="1" applyBorder="1" applyAlignment="1">
      <alignment horizontal="center" vertical="center"/>
    </xf>
    <xf numFmtId="2" fontId="4" fillId="42" borderId="20" xfId="0" applyNumberFormat="1" applyFont="1" applyFill="1" applyBorder="1" applyAlignment="1">
      <alignment horizontal="center" vertical="center"/>
    </xf>
    <xf numFmtId="49" fontId="9" fillId="0" borderId="3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0" fontId="4" fillId="0" borderId="37" xfId="55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0" fillId="0" borderId="0" xfId="0" applyFont="1" applyAlignment="1">
      <alignment/>
    </xf>
    <xf numFmtId="0" fontId="7" fillId="0" borderId="19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185" fontId="4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40" borderId="13" xfId="0" applyFont="1" applyFill="1" applyBorder="1" applyAlignment="1">
      <alignment/>
    </xf>
    <xf numFmtId="0" fontId="4" fillId="40" borderId="51" xfId="0" applyFont="1" applyFill="1" applyBorder="1" applyAlignment="1">
      <alignment horizontal="right"/>
    </xf>
    <xf numFmtId="0" fontId="4" fillId="40" borderId="19" xfId="0" applyFont="1" applyFill="1" applyBorder="1" applyAlignment="1">
      <alignment/>
    </xf>
    <xf numFmtId="0" fontId="4" fillId="40" borderId="37" xfId="0" applyFont="1" applyFill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36" borderId="30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6" borderId="5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8" borderId="30" xfId="0" applyFont="1" applyFill="1" applyBorder="1" applyAlignment="1">
      <alignment/>
    </xf>
    <xf numFmtId="43" fontId="40" fillId="38" borderId="30" xfId="49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0" fillId="0" borderId="0" xfId="49" applyFont="1" applyFill="1" applyBorder="1" applyAlignment="1">
      <alignment/>
    </xf>
    <xf numFmtId="0" fontId="4" fillId="40" borderId="29" xfId="0" applyFont="1" applyFill="1" applyBorder="1" applyAlignment="1">
      <alignment/>
    </xf>
    <xf numFmtId="0" fontId="4" fillId="40" borderId="27" xfId="0" applyFont="1" applyFill="1" applyBorder="1" applyAlignment="1">
      <alignment/>
    </xf>
    <xf numFmtId="0" fontId="4" fillId="40" borderId="26" xfId="0" applyFont="1" applyFill="1" applyBorder="1" applyAlignment="1">
      <alignment/>
    </xf>
    <xf numFmtId="10" fontId="4" fillId="40" borderId="0" xfId="0" applyNumberFormat="1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40" borderId="24" xfId="0" applyFont="1" applyFill="1" applyBorder="1" applyAlignment="1">
      <alignment/>
    </xf>
    <xf numFmtId="10" fontId="4" fillId="0" borderId="0" xfId="0" applyNumberFormat="1" applyFont="1" applyAlignment="1">
      <alignment/>
    </xf>
    <xf numFmtId="166" fontId="4" fillId="0" borderId="0" xfId="49" applyNumberFormat="1" applyFont="1" applyFill="1" applyAlignment="1">
      <alignment/>
    </xf>
    <xf numFmtId="0" fontId="62" fillId="0" borderId="12" xfId="0" applyFont="1" applyBorder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54" fillId="0" borderId="42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center" vertical="center"/>
    </xf>
    <xf numFmtId="49" fontId="58" fillId="0" borderId="34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18" fontId="4" fillId="0" borderId="13" xfId="49" applyNumberFormat="1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/>
    </xf>
    <xf numFmtId="18" fontId="4" fillId="0" borderId="17" xfId="49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43" xfId="0" applyFont="1" applyBorder="1" applyAlignment="1">
      <alignment horizontal="right"/>
    </xf>
    <xf numFmtId="164" fontId="7" fillId="42" borderId="30" xfId="0" applyNumberFormat="1" applyFont="1" applyFill="1" applyBorder="1" applyAlignment="1">
      <alignment/>
    </xf>
    <xf numFmtId="164" fontId="7" fillId="0" borderId="12" xfId="0" applyNumberFormat="1" applyFont="1" applyBorder="1" applyAlignment="1">
      <alignment/>
    </xf>
    <xf numFmtId="164" fontId="7" fillId="42" borderId="34" xfId="49" applyNumberFormat="1" applyFont="1" applyFill="1" applyBorder="1" applyAlignment="1">
      <alignment/>
    </xf>
    <xf numFmtId="164" fontId="7" fillId="42" borderId="12" xfId="0" applyNumberFormat="1" applyFont="1" applyFill="1" applyBorder="1" applyAlignment="1">
      <alignment/>
    </xf>
    <xf numFmtId="0" fontId="63" fillId="0" borderId="45" xfId="0" applyFont="1" applyBorder="1" applyAlignment="1">
      <alignment horizontal="right"/>
    </xf>
    <xf numFmtId="164" fontId="7" fillId="0" borderId="46" xfId="0" applyNumberFormat="1" applyFont="1" applyBorder="1" applyAlignment="1">
      <alignment horizontal="right"/>
    </xf>
    <xf numFmtId="164" fontId="7" fillId="0" borderId="47" xfId="0" applyNumberFormat="1" applyFont="1" applyBorder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2" fontId="4" fillId="0" borderId="12" xfId="49" applyNumberFormat="1" applyFont="1" applyBorder="1" applyAlignment="1">
      <alignment horizontal="center" vertical="center" wrapText="1"/>
    </xf>
    <xf numFmtId="2" fontId="4" fillId="0" borderId="12" xfId="49" applyNumberFormat="1" applyFont="1" applyFill="1" applyBorder="1" applyAlignment="1">
      <alignment horizontal="center" vertical="center" wrapText="1"/>
    </xf>
    <xf numFmtId="2" fontId="4" fillId="0" borderId="16" xfId="49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/>
    </xf>
    <xf numFmtId="166" fontId="4" fillId="33" borderId="17" xfId="49" applyNumberFormat="1" applyFont="1" applyFill="1" applyBorder="1" applyAlignment="1">
      <alignment/>
    </xf>
    <xf numFmtId="10" fontId="7" fillId="33" borderId="43" xfId="55" applyNumberFormat="1" applyFont="1" applyFill="1" applyBorder="1" applyAlignment="1">
      <alignment/>
    </xf>
    <xf numFmtId="10" fontId="47" fillId="0" borderId="45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85" fontId="4" fillId="0" borderId="12" xfId="0" applyNumberFormat="1" applyFont="1" applyBorder="1" applyAlignment="1">
      <alignment horizontal="center" vertical="distributed"/>
    </xf>
    <xf numFmtId="10" fontId="4" fillId="0" borderId="40" xfId="0" applyNumberFormat="1" applyFont="1" applyFill="1" applyBorder="1" applyAlignment="1">
      <alignment horizontal="center" vertical="center"/>
    </xf>
    <xf numFmtId="49" fontId="54" fillId="42" borderId="33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54" fillId="42" borderId="12" xfId="0" applyNumberFormat="1" applyFont="1" applyFill="1" applyBorder="1" applyAlignment="1">
      <alignment horizontal="center" vertical="center"/>
    </xf>
    <xf numFmtId="49" fontId="58" fillId="42" borderId="12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56" xfId="0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64" fillId="0" borderId="0" xfId="0" applyFont="1" applyAlignment="1">
      <alignment/>
    </xf>
    <xf numFmtId="167" fontId="4" fillId="0" borderId="0" xfId="55" applyNumberFormat="1" applyFont="1" applyBorder="1" applyAlignment="1">
      <alignment/>
    </xf>
    <xf numFmtId="10" fontId="4" fillId="0" borderId="0" xfId="55" applyNumberFormat="1" applyFont="1" applyBorder="1" applyAlignment="1">
      <alignment/>
    </xf>
    <xf numFmtId="164" fontId="7" fillId="0" borderId="20" xfId="49" applyNumberFormat="1" applyFont="1" applyBorder="1" applyAlignment="1">
      <alignment horizontal="center" vertical="center" wrapText="1"/>
    </xf>
    <xf numFmtId="49" fontId="54" fillId="41" borderId="33" xfId="0" applyNumberFormat="1" applyFont="1" applyFill="1" applyBorder="1" applyAlignment="1">
      <alignment horizontal="center" vertical="center"/>
    </xf>
    <xf numFmtId="49" fontId="58" fillId="41" borderId="12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/>
    </xf>
    <xf numFmtId="10" fontId="65" fillId="0" borderId="39" xfId="0" applyNumberFormat="1" applyFont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10" fontId="65" fillId="0" borderId="33" xfId="0" applyNumberFormat="1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49" fontId="54" fillId="42" borderId="42" xfId="0" applyNumberFormat="1" applyFont="1" applyFill="1" applyBorder="1" applyAlignment="1">
      <alignment horizontal="center" vertical="center"/>
    </xf>
    <xf numFmtId="10" fontId="65" fillId="0" borderId="12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49" fontId="54" fillId="42" borderId="34" xfId="0" applyNumberFormat="1" applyFont="1" applyFill="1" applyBorder="1" applyAlignment="1">
      <alignment horizontal="center" vertical="center"/>
    </xf>
    <xf numFmtId="49" fontId="58" fillId="42" borderId="34" xfId="0" applyNumberFormat="1" applyFont="1" applyFill="1" applyBorder="1" applyAlignment="1">
      <alignment horizontal="center" vertical="center"/>
    </xf>
    <xf numFmtId="10" fontId="65" fillId="0" borderId="46" xfId="0" applyNumberFormat="1" applyFont="1" applyBorder="1" applyAlignment="1">
      <alignment horizontal="center" vertical="center"/>
    </xf>
    <xf numFmtId="0" fontId="65" fillId="0" borderId="46" xfId="0" applyFont="1" applyFill="1" applyBorder="1" applyAlignment="1">
      <alignment horizontal="center" vertical="center"/>
    </xf>
    <xf numFmtId="10" fontId="62" fillId="42" borderId="37" xfId="55" applyNumberFormat="1" applyFont="1" applyFill="1" applyBorder="1" applyAlignment="1">
      <alignment vertical="center"/>
    </xf>
    <xf numFmtId="10" fontId="66" fillId="42" borderId="37" xfId="55" applyNumberFormat="1" applyFont="1" applyFill="1" applyBorder="1" applyAlignment="1">
      <alignment vertical="center"/>
    </xf>
    <xf numFmtId="43" fontId="5" fillId="0" borderId="0" xfId="49" applyNumberFormat="1" applyFont="1" applyBorder="1" applyAlignment="1">
      <alignment horizontal="center"/>
    </xf>
    <xf numFmtId="0" fontId="93" fillId="0" borderId="12" xfId="0" applyFont="1" applyBorder="1" applyAlignment="1">
      <alignment horizontal="center" vertical="center"/>
    </xf>
    <xf numFmtId="0" fontId="94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93" fillId="0" borderId="0" xfId="0" applyFont="1" applyAlignment="1">
      <alignment horizontal="right"/>
    </xf>
    <xf numFmtId="10" fontId="95" fillId="0" borderId="12" xfId="0" applyNumberFormat="1" applyFont="1" applyBorder="1" applyAlignment="1">
      <alignment horizontal="center" vertical="distributed"/>
    </xf>
    <xf numFmtId="2" fontId="61" fillId="0" borderId="12" xfId="0" applyNumberFormat="1" applyFont="1" applyBorder="1" applyAlignment="1">
      <alignment horizontal="center" vertical="center"/>
    </xf>
    <xf numFmtId="0" fontId="97" fillId="0" borderId="0" xfId="0" applyFont="1" applyAlignment="1">
      <alignment horizontal="right"/>
    </xf>
    <xf numFmtId="0" fontId="98" fillId="0" borderId="0" xfId="0" applyFont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7" fillId="0" borderId="12" xfId="0" applyFont="1" applyBorder="1" applyAlignment="1">
      <alignment horizontal="center" vertical="center"/>
    </xf>
    <xf numFmtId="0" fontId="100" fillId="0" borderId="0" xfId="0" applyFont="1" applyFill="1" applyAlignment="1">
      <alignment vertical="center"/>
    </xf>
    <xf numFmtId="10" fontId="97" fillId="0" borderId="12" xfId="0" applyNumberFormat="1" applyFont="1" applyBorder="1" applyAlignment="1">
      <alignment horizontal="center"/>
    </xf>
    <xf numFmtId="167" fontId="4" fillId="0" borderId="0" xfId="55" applyNumberFormat="1" applyFont="1" applyFill="1" applyAlignment="1">
      <alignment/>
    </xf>
    <xf numFmtId="10" fontId="98" fillId="0" borderId="12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43" fontId="4" fillId="0" borderId="35" xfId="49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7" fontId="4" fillId="0" borderId="26" xfId="55" applyNumberFormat="1" applyFont="1" applyBorder="1" applyAlignment="1">
      <alignment horizontal="center" vertical="center"/>
    </xf>
    <xf numFmtId="10" fontId="4" fillId="41" borderId="0" xfId="49" applyNumberFormat="1" applyFont="1" applyFill="1" applyBorder="1" applyAlignment="1">
      <alignment horizontal="center" vertical="center"/>
    </xf>
    <xf numFmtId="2" fontId="4" fillId="43" borderId="36" xfId="49" applyNumberFormat="1" applyFont="1" applyFill="1" applyBorder="1" applyAlignment="1">
      <alignment horizontal="center"/>
    </xf>
    <xf numFmtId="167" fontId="4" fillId="0" borderId="24" xfId="55" applyNumberFormat="1" applyFont="1" applyBorder="1" applyAlignment="1">
      <alignment horizontal="center" vertical="center"/>
    </xf>
    <xf numFmtId="10" fontId="4" fillId="41" borderId="25" xfId="55" applyNumberFormat="1" applyFont="1" applyFill="1" applyBorder="1" applyAlignment="1">
      <alignment horizontal="center" vertical="center"/>
    </xf>
    <xf numFmtId="2" fontId="4" fillId="43" borderId="58" xfId="49" applyNumberFormat="1" applyFont="1" applyFill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43" fontId="4" fillId="0" borderId="0" xfId="49" applyFont="1" applyAlignment="1">
      <alignment/>
    </xf>
    <xf numFmtId="43" fontId="4" fillId="0" borderId="0" xfId="49" applyNumberFormat="1" applyFont="1" applyAlignment="1">
      <alignment/>
    </xf>
    <xf numFmtId="49" fontId="7" fillId="40" borderId="12" xfId="0" applyNumberFormat="1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4" fillId="0" borderId="38" xfId="0" applyFont="1" applyBorder="1" applyAlignment="1">
      <alignment horizontal="left" vertical="distributed"/>
    </xf>
    <xf numFmtId="0" fontId="74" fillId="0" borderId="39" xfId="0" applyFont="1" applyBorder="1" applyAlignment="1">
      <alignment horizontal="left" vertical="distributed"/>
    </xf>
    <xf numFmtId="0" fontId="74" fillId="0" borderId="40" xfId="0" applyFont="1" applyBorder="1" applyAlignment="1">
      <alignment horizontal="left" vertical="distributed"/>
    </xf>
    <xf numFmtId="0" fontId="7" fillId="0" borderId="16" xfId="0" applyFont="1" applyBorder="1" applyAlignment="1">
      <alignment horizontal="center" vertical="distributed"/>
    </xf>
    <xf numFmtId="0" fontId="7" fillId="0" borderId="28" xfId="0" applyFont="1" applyBorder="1" applyAlignment="1">
      <alignment horizontal="center" vertical="distributed"/>
    </xf>
    <xf numFmtId="0" fontId="11" fillId="0" borderId="19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left" vertical="distributed"/>
    </xf>
    <xf numFmtId="0" fontId="7" fillId="0" borderId="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distributed"/>
    </xf>
    <xf numFmtId="0" fontId="11" fillId="0" borderId="32" xfId="0" applyFont="1" applyBorder="1" applyAlignment="1">
      <alignment horizontal="center" vertical="distributed"/>
    </xf>
    <xf numFmtId="0" fontId="11" fillId="0" borderId="37" xfId="0" applyFont="1" applyBorder="1" applyAlignment="1">
      <alignment horizontal="center" vertical="distributed"/>
    </xf>
    <xf numFmtId="0" fontId="20" fillId="0" borderId="19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left" vertical="distributed"/>
    </xf>
    <xf numFmtId="0" fontId="75" fillId="0" borderId="32" xfId="0" applyFont="1" applyBorder="1" applyAlignment="1">
      <alignment horizontal="left" vertical="distributed"/>
    </xf>
    <xf numFmtId="0" fontId="75" fillId="0" borderId="37" xfId="0" applyFont="1" applyBorder="1" applyAlignment="1">
      <alignment horizontal="left" vertical="distributed"/>
    </xf>
    <xf numFmtId="0" fontId="5" fillId="0" borderId="30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'NNT por IncAcum'!#REF!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026138"/>
        <c:axId val="46017515"/>
      </c:lineChart>
      <c:catAx>
        <c:axId val="2002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7515"/>
        <c:crosses val="autoZero"/>
        <c:auto val="1"/>
        <c:lblOffset val="100"/>
        <c:tickLblSkip val="1"/>
        <c:noMultiLvlLbl val="0"/>
      </c:catAx>
      <c:valAx>
        <c:axId val="46017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26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'NNT por IncAcum'!#REF!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504452"/>
        <c:axId val="36431205"/>
      </c:lineChart>
      <c:catAx>
        <c:axId val="11504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31205"/>
        <c:crosses val="autoZero"/>
        <c:auto val="1"/>
        <c:lblOffset val="100"/>
        <c:tickLblSkip val="1"/>
        <c:noMultiLvlLbl val="0"/>
      </c:catAx>
      <c:valAx>
        <c:axId val="36431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04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'NNT por IncAcum'!#REF!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445390"/>
        <c:axId val="65246463"/>
      </c:lineChart>
      <c:catAx>
        <c:axId val="5944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46463"/>
        <c:crosses val="autoZero"/>
        <c:auto val="1"/>
        <c:lblOffset val="100"/>
        <c:tickLblSkip val="1"/>
        <c:noMultiLvlLbl val="0"/>
      </c:catAx>
      <c:valAx>
        <c:axId val="65246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5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'NNT por IncAcum'!#REF!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347256"/>
        <c:axId val="50472121"/>
      </c:lineChart>
      <c:catAx>
        <c:axId val="5034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72121"/>
        <c:crosses val="autoZero"/>
        <c:auto val="1"/>
        <c:lblOffset val="100"/>
        <c:tickLblSkip val="1"/>
        <c:noMultiLvlLbl val="0"/>
      </c:catAx>
      <c:valAx>
        <c:axId val="50472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47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38100</xdr:rowOff>
    </xdr:to>
    <xdr:graphicFrame>
      <xdr:nvGraphicFramePr>
        <xdr:cNvPr id="1" name="Gráfico 10"/>
        <xdr:cNvGraphicFramePr/>
      </xdr:nvGraphicFramePr>
      <xdr:xfrm>
        <a:off x="0" y="1476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>
      <xdr:nvGraphicFramePr>
        <xdr:cNvPr id="2" name="Gráfico 11"/>
        <xdr:cNvGraphicFramePr/>
      </xdr:nvGraphicFramePr>
      <xdr:xfrm>
        <a:off x="0" y="1476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>
      <xdr:nvGraphicFramePr>
        <xdr:cNvPr id="3" name="Gráfico 12"/>
        <xdr:cNvGraphicFramePr/>
      </xdr:nvGraphicFramePr>
      <xdr:xfrm>
        <a:off x="0" y="14763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28575</xdr:rowOff>
    </xdr:to>
    <xdr:graphicFrame>
      <xdr:nvGraphicFramePr>
        <xdr:cNvPr id="4" name="Gráfico 13"/>
        <xdr:cNvGraphicFramePr/>
      </xdr:nvGraphicFramePr>
      <xdr:xfrm>
        <a:off x="0" y="14763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4</xdr:row>
      <xdr:rowOff>285750</xdr:rowOff>
    </xdr:from>
    <xdr:to>
      <xdr:col>3</xdr:col>
      <xdr:colOff>495300</xdr:colOff>
      <xdr:row>33</xdr:row>
      <xdr:rowOff>38100</xdr:rowOff>
    </xdr:to>
    <xdr:sp>
      <xdr:nvSpPr>
        <xdr:cNvPr id="1" name="Conector recto de flecha 2"/>
        <xdr:cNvSpPr>
          <a:spLocks/>
        </xdr:cNvSpPr>
      </xdr:nvSpPr>
      <xdr:spPr>
        <a:xfrm>
          <a:off x="3171825" y="1381125"/>
          <a:ext cx="1028700" cy="1304925"/>
        </a:xfrm>
        <a:prstGeom prst="straightConnector1">
          <a:avLst/>
        </a:prstGeom>
        <a:noFill/>
        <a:ln w="158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33</xdr:row>
      <xdr:rowOff>190500</xdr:rowOff>
    </xdr:from>
    <xdr:to>
      <xdr:col>3</xdr:col>
      <xdr:colOff>542925</xdr:colOff>
      <xdr:row>39</xdr:row>
      <xdr:rowOff>123825</xdr:rowOff>
    </xdr:to>
    <xdr:sp>
      <xdr:nvSpPr>
        <xdr:cNvPr id="2" name="Conector recto de flecha 4"/>
        <xdr:cNvSpPr>
          <a:spLocks/>
        </xdr:cNvSpPr>
      </xdr:nvSpPr>
      <xdr:spPr>
        <a:xfrm flipH="1">
          <a:off x="4238625" y="2838450"/>
          <a:ext cx="9525" cy="1571625"/>
        </a:xfrm>
        <a:prstGeom prst="straightConnector1">
          <a:avLst/>
        </a:prstGeom>
        <a:noFill/>
        <a:ln w="158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43</xdr:row>
      <xdr:rowOff>238125</xdr:rowOff>
    </xdr:from>
    <xdr:to>
      <xdr:col>9</xdr:col>
      <xdr:colOff>638175</xdr:colOff>
      <xdr:row>45</xdr:row>
      <xdr:rowOff>85725</xdr:rowOff>
    </xdr:to>
    <xdr:sp>
      <xdr:nvSpPr>
        <xdr:cNvPr id="3" name="Conector recto de flecha 3"/>
        <xdr:cNvSpPr>
          <a:spLocks/>
        </xdr:cNvSpPr>
      </xdr:nvSpPr>
      <xdr:spPr>
        <a:xfrm>
          <a:off x="11382375" y="5429250"/>
          <a:ext cx="9525" cy="323850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43</xdr:row>
      <xdr:rowOff>152400</xdr:rowOff>
    </xdr:from>
    <xdr:to>
      <xdr:col>9</xdr:col>
      <xdr:colOff>9525</xdr:colOff>
      <xdr:row>45</xdr:row>
      <xdr:rowOff>161925</xdr:rowOff>
    </xdr:to>
    <xdr:sp>
      <xdr:nvSpPr>
        <xdr:cNvPr id="4" name="Conector recto de flecha 5"/>
        <xdr:cNvSpPr>
          <a:spLocks/>
        </xdr:cNvSpPr>
      </xdr:nvSpPr>
      <xdr:spPr>
        <a:xfrm>
          <a:off x="4543425" y="5343525"/>
          <a:ext cx="6219825" cy="485775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200025</xdr:rowOff>
    </xdr:from>
    <xdr:to>
      <xdr:col>3</xdr:col>
      <xdr:colOff>428625</xdr:colOff>
      <xdr:row>4</xdr:row>
      <xdr:rowOff>200025</xdr:rowOff>
    </xdr:to>
    <xdr:sp>
      <xdr:nvSpPr>
        <xdr:cNvPr id="1" name="Line 48"/>
        <xdr:cNvSpPr>
          <a:spLocks/>
        </xdr:cNvSpPr>
      </xdr:nvSpPr>
      <xdr:spPr>
        <a:xfrm>
          <a:off x="4105275" y="10668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34</xdr:row>
      <xdr:rowOff>0</xdr:rowOff>
    </xdr:from>
    <xdr:to>
      <xdr:col>3</xdr:col>
      <xdr:colOff>495300</xdr:colOff>
      <xdr:row>39</xdr:row>
      <xdr:rowOff>142875</xdr:rowOff>
    </xdr:to>
    <xdr:sp>
      <xdr:nvSpPr>
        <xdr:cNvPr id="2" name="Conector recto de flecha 2"/>
        <xdr:cNvSpPr>
          <a:spLocks/>
        </xdr:cNvSpPr>
      </xdr:nvSpPr>
      <xdr:spPr>
        <a:xfrm flipH="1">
          <a:off x="4524375" y="2924175"/>
          <a:ext cx="9525" cy="1743075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4</xdr:row>
      <xdr:rowOff>323850</xdr:rowOff>
    </xdr:from>
    <xdr:to>
      <xdr:col>3</xdr:col>
      <xdr:colOff>457200</xdr:colOff>
      <xdr:row>33</xdr:row>
      <xdr:rowOff>85725</xdr:rowOff>
    </xdr:to>
    <xdr:sp>
      <xdr:nvSpPr>
        <xdr:cNvPr id="3" name="Conector recto de flecha 3"/>
        <xdr:cNvSpPr>
          <a:spLocks/>
        </xdr:cNvSpPr>
      </xdr:nvSpPr>
      <xdr:spPr>
        <a:xfrm>
          <a:off x="3581400" y="1190625"/>
          <a:ext cx="914400" cy="1466850"/>
        </a:xfrm>
        <a:prstGeom prst="straightConnector1">
          <a:avLst/>
        </a:prstGeom>
        <a:noFill/>
        <a:ln w="9525" cmpd="sng">
          <a:solidFill>
            <a:srgbClr val="FF00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28.421875" style="7" customWidth="1"/>
    <col min="2" max="2" width="19.00390625" style="7" customWidth="1"/>
    <col min="3" max="3" width="18.421875" style="7" customWidth="1"/>
    <col min="4" max="4" width="15.57421875" style="7" customWidth="1"/>
    <col min="5" max="5" width="22.7109375" style="7" customWidth="1"/>
    <col min="6" max="6" width="19.8515625" style="7" customWidth="1"/>
    <col min="7" max="7" width="20.8515625" style="7" customWidth="1"/>
    <col min="8" max="8" width="4.421875" style="7" customWidth="1"/>
    <col min="9" max="9" width="13.57421875" style="7" customWidth="1"/>
    <col min="10" max="10" width="16.140625" style="7" bestFit="1" customWidth="1"/>
    <col min="11" max="11" width="14.421875" style="7" bestFit="1" customWidth="1"/>
    <col min="12" max="12" width="18.8515625" style="7" customWidth="1"/>
    <col min="13" max="13" width="14.7109375" style="7" bestFit="1" customWidth="1"/>
    <col min="14" max="14" width="14.28125" style="14" bestFit="1" customWidth="1"/>
    <col min="15" max="15" width="14.28125" style="14" customWidth="1"/>
    <col min="16" max="16" width="14.00390625" style="7" bestFit="1" customWidth="1"/>
    <col min="17" max="17" width="11.57421875" style="7" bestFit="1" customWidth="1"/>
    <col min="18" max="18" width="13.8515625" style="7" bestFit="1" customWidth="1"/>
    <col min="19" max="19" width="11.421875" style="7" customWidth="1"/>
    <col min="20" max="21" width="11.421875" style="14" customWidth="1"/>
    <col min="22" max="16384" width="11.421875" style="7" customWidth="1"/>
  </cols>
  <sheetData>
    <row r="1" spans="1:31" s="6" customFormat="1" ht="20.25" thickBot="1">
      <c r="A1" s="528" t="s">
        <v>204</v>
      </c>
      <c r="B1" s="529"/>
      <c r="C1" s="529"/>
      <c r="D1" s="529"/>
      <c r="E1" s="529"/>
      <c r="F1" s="529"/>
      <c r="G1" s="529"/>
      <c r="H1" s="529"/>
      <c r="I1" s="530"/>
      <c r="J1" s="9"/>
      <c r="K1" s="10"/>
      <c r="L1" s="11"/>
      <c r="M1" s="11"/>
      <c r="N1" s="12"/>
      <c r="O1" s="12"/>
      <c r="P1" s="13"/>
      <c r="Q1" s="12"/>
      <c r="R1" s="12"/>
      <c r="S1" s="12"/>
      <c r="T1" s="12"/>
      <c r="U1" s="12"/>
      <c r="V1" s="12"/>
      <c r="W1" s="14"/>
      <c r="X1" s="14"/>
      <c r="Y1" s="14"/>
      <c r="Z1" s="14"/>
      <c r="AA1" s="14"/>
      <c r="AB1" s="14"/>
      <c r="AC1" s="14"/>
      <c r="AD1" s="7"/>
      <c r="AE1" s="7"/>
    </row>
    <row r="2" spans="1:29" ht="18.75" customHeight="1">
      <c r="A2" s="536" t="s">
        <v>214</v>
      </c>
      <c r="B2" s="536"/>
      <c r="C2" s="536"/>
      <c r="D2" s="536"/>
      <c r="E2" s="536"/>
      <c r="F2" s="536"/>
      <c r="G2" s="536"/>
      <c r="H2" s="536"/>
      <c r="I2" s="536"/>
      <c r="J2" s="9"/>
      <c r="K2" s="10"/>
      <c r="L2" s="10"/>
      <c r="M2" s="10"/>
      <c r="N2" s="12"/>
      <c r="O2" s="12"/>
      <c r="P2" s="13"/>
      <c r="Q2" s="12"/>
      <c r="R2" s="12"/>
      <c r="S2" s="12"/>
      <c r="T2" s="12"/>
      <c r="U2" s="12"/>
      <c r="V2" s="12"/>
      <c r="W2" s="14"/>
      <c r="X2" s="14"/>
      <c r="Y2" s="14"/>
      <c r="Z2" s="14"/>
      <c r="AA2" s="14"/>
      <c r="AB2" s="14"/>
      <c r="AC2" s="14"/>
    </row>
    <row r="3" spans="1:29" ht="12.75" customHeight="1" thickBot="1">
      <c r="A3" s="467"/>
      <c r="B3" s="16"/>
      <c r="C3" s="15"/>
      <c r="D3" s="15"/>
      <c r="E3" s="8"/>
      <c r="F3" s="18"/>
      <c r="G3" s="2"/>
      <c r="H3" s="418"/>
      <c r="I3" s="418"/>
      <c r="J3" s="419"/>
      <c r="K3" s="10"/>
      <c r="L3" s="10"/>
      <c r="M3" s="10"/>
      <c r="N3" s="12"/>
      <c r="O3" s="12"/>
      <c r="P3" s="21"/>
      <c r="Q3" s="12"/>
      <c r="R3" s="12"/>
      <c r="S3" s="18"/>
      <c r="U3" s="22"/>
      <c r="V3" s="22"/>
      <c r="W3" s="14"/>
      <c r="X3" s="22"/>
      <c r="Y3" s="23"/>
      <c r="Z3" s="14"/>
      <c r="AA3" s="14"/>
      <c r="AB3" s="14"/>
      <c r="AC3" s="14"/>
    </row>
    <row r="4" spans="1:29" ht="12.75">
      <c r="A4" s="24" t="s">
        <v>92</v>
      </c>
      <c r="B4" s="421"/>
      <c r="C4" s="422" t="s">
        <v>25</v>
      </c>
      <c r="D4" s="422" t="s">
        <v>26</v>
      </c>
      <c r="E4" s="423"/>
      <c r="F4" s="25"/>
      <c r="G4" s="25"/>
      <c r="H4" s="15"/>
      <c r="I4" s="15"/>
      <c r="J4" s="25"/>
      <c r="K4" s="511" t="s">
        <v>279</v>
      </c>
      <c r="L4" s="512"/>
      <c r="M4" s="513"/>
      <c r="N4" s="12"/>
      <c r="O4" s="12"/>
      <c r="P4" s="12"/>
      <c r="Q4" s="12"/>
      <c r="R4" s="12"/>
      <c r="S4" s="18"/>
      <c r="U4" s="22"/>
      <c r="V4" s="22"/>
      <c r="W4" s="14"/>
      <c r="X4" s="22"/>
      <c r="Y4" s="23"/>
      <c r="Z4" s="14"/>
      <c r="AA4" s="14"/>
      <c r="AB4" s="14"/>
      <c r="AC4" s="14"/>
    </row>
    <row r="5" spans="2:29" ht="12.75">
      <c r="B5" s="424"/>
      <c r="C5" s="425" t="s">
        <v>3</v>
      </c>
      <c r="D5" s="425" t="s">
        <v>2</v>
      </c>
      <c r="E5" s="426" t="s">
        <v>27</v>
      </c>
      <c r="F5" s="25"/>
      <c r="G5" s="25"/>
      <c r="H5" s="15"/>
      <c r="I5" s="15"/>
      <c r="J5" s="15"/>
      <c r="K5" s="514" t="s">
        <v>276</v>
      </c>
      <c r="L5" s="322" t="s">
        <v>277</v>
      </c>
      <c r="M5" s="515" t="s">
        <v>278</v>
      </c>
      <c r="N5" s="12"/>
      <c r="O5" s="12"/>
      <c r="P5" s="12"/>
      <c r="Q5" s="12"/>
      <c r="R5" s="12"/>
      <c r="S5" s="18"/>
      <c r="U5" s="22"/>
      <c r="V5" s="22"/>
      <c r="W5" s="14"/>
      <c r="X5" s="22"/>
      <c r="Y5" s="14"/>
      <c r="Z5" s="14"/>
      <c r="AA5" s="14"/>
      <c r="AB5" s="14"/>
      <c r="AC5" s="14"/>
    </row>
    <row r="6" spans="1:29" ht="12.75" customHeight="1">
      <c r="A6" s="147"/>
      <c r="B6" s="427" t="s">
        <v>206</v>
      </c>
      <c r="C6" s="428">
        <v>10</v>
      </c>
      <c r="D6" s="429">
        <f>E6-C6</f>
        <v>490</v>
      </c>
      <c r="E6" s="430">
        <v>500</v>
      </c>
      <c r="F6" s="468"/>
      <c r="G6" s="469"/>
      <c r="H6" s="28"/>
      <c r="I6" s="492"/>
      <c r="J6" s="28"/>
      <c r="K6" s="516">
        <f>C6/E6</f>
        <v>0.02</v>
      </c>
      <c r="L6" s="517">
        <v>0.0141</v>
      </c>
      <c r="M6" s="518">
        <f>K6/L6</f>
        <v>1.4184397163120568</v>
      </c>
      <c r="N6" s="12"/>
      <c r="O6" s="12"/>
      <c r="P6" s="12"/>
      <c r="Q6" s="12"/>
      <c r="R6" s="12"/>
      <c r="S6" s="18"/>
      <c r="U6" s="22"/>
      <c r="V6" s="22"/>
      <c r="W6" s="14"/>
      <c r="X6" s="22"/>
      <c r="Y6" s="14"/>
      <c r="Z6" s="14"/>
      <c r="AA6" s="14"/>
      <c r="AB6" s="14"/>
      <c r="AC6" s="14"/>
    </row>
    <row r="7" spans="1:29" ht="12.75" customHeight="1">
      <c r="A7" s="147"/>
      <c r="B7" s="427" t="s">
        <v>207</v>
      </c>
      <c r="C7" s="428">
        <v>20</v>
      </c>
      <c r="D7" s="429">
        <f>E7-C7</f>
        <v>482</v>
      </c>
      <c r="E7" s="430">
        <v>502</v>
      </c>
      <c r="F7" s="468"/>
      <c r="G7" s="469"/>
      <c r="H7" s="31"/>
      <c r="I7" s="492"/>
      <c r="J7" s="31"/>
      <c r="K7" s="519">
        <f>C7/E7</f>
        <v>0.0398406374501992</v>
      </c>
      <c r="L7" s="520">
        <v>0.0114</v>
      </c>
      <c r="M7" s="521">
        <f>K7/L7</f>
        <v>3.4947927587894037</v>
      </c>
      <c r="N7" s="12"/>
      <c r="O7" s="12"/>
      <c r="P7" s="12"/>
      <c r="Q7" s="12"/>
      <c r="R7" s="12"/>
      <c r="S7" s="18"/>
      <c r="U7" s="22"/>
      <c r="V7" s="22"/>
      <c r="W7" s="14"/>
      <c r="X7" s="22"/>
      <c r="Y7" s="14"/>
      <c r="Z7" s="14"/>
      <c r="AA7" s="14"/>
      <c r="AB7" s="14"/>
      <c r="AC7" s="14"/>
    </row>
    <row r="8" spans="2:29" ht="13.5" thickBot="1">
      <c r="B8" s="432" t="s">
        <v>27</v>
      </c>
      <c r="C8" s="433">
        <f>SUM(C6:C7)</f>
        <v>30</v>
      </c>
      <c r="D8" s="433">
        <f>SUM(D6:D7)</f>
        <v>972</v>
      </c>
      <c r="E8" s="434">
        <f>SUM(E6:E7)</f>
        <v>1002</v>
      </c>
      <c r="F8" s="468"/>
      <c r="G8" s="25"/>
      <c r="H8" s="15"/>
      <c r="I8" s="15"/>
      <c r="J8" s="15"/>
      <c r="O8" s="34"/>
      <c r="P8" s="35"/>
      <c r="Q8" s="35"/>
      <c r="R8" s="35"/>
      <c r="S8" s="22"/>
      <c r="U8" s="22"/>
      <c r="V8" s="22"/>
      <c r="W8" s="14"/>
      <c r="X8" s="22"/>
      <c r="Y8" s="14"/>
      <c r="Z8" s="14"/>
      <c r="AA8" s="14"/>
      <c r="AB8" s="14"/>
      <c r="AC8" s="14"/>
    </row>
    <row r="9" spans="2:29" ht="12.75" customHeight="1" hidden="1">
      <c r="B9" s="36"/>
      <c r="C9" s="37"/>
      <c r="D9" s="33"/>
      <c r="E9" s="33"/>
      <c r="G9" s="38"/>
      <c r="H9" s="15"/>
      <c r="I9" s="15"/>
      <c r="J9" s="15"/>
      <c r="L9" s="32"/>
      <c r="O9" s="34"/>
      <c r="P9" s="35"/>
      <c r="Q9" s="35"/>
      <c r="R9" s="35"/>
      <c r="S9" s="22"/>
      <c r="U9" s="22"/>
      <c r="V9" s="22"/>
      <c r="W9" s="14"/>
      <c r="X9" s="22"/>
      <c r="Y9" s="14"/>
      <c r="Z9" s="14"/>
      <c r="AA9" s="14"/>
      <c r="AB9" s="14"/>
      <c r="AC9" s="14"/>
    </row>
    <row r="10" spans="1:22" s="6" customFormat="1" ht="12.75" customHeight="1" hidden="1">
      <c r="A10" s="39" t="s">
        <v>8</v>
      </c>
      <c r="B10" s="40"/>
      <c r="C10" s="41"/>
      <c r="D10" s="3"/>
      <c r="E10" s="32"/>
      <c r="F10" s="42"/>
      <c r="G10" s="32"/>
      <c r="H10" s="43"/>
      <c r="I10" s="32"/>
      <c r="L10" s="42"/>
      <c r="O10" s="3"/>
      <c r="P10" s="44"/>
      <c r="Q10" s="44"/>
      <c r="R10" s="44"/>
      <c r="S10" s="3"/>
      <c r="T10" s="3"/>
      <c r="U10" s="3"/>
      <c r="V10" s="3"/>
    </row>
    <row r="11" spans="1:22" s="6" customFormat="1" ht="12.75" customHeight="1" hidden="1">
      <c r="A11" s="7" t="s">
        <v>208</v>
      </c>
      <c r="B11" s="40"/>
      <c r="C11" s="41"/>
      <c r="D11" s="3"/>
      <c r="E11" s="32"/>
      <c r="F11" s="42"/>
      <c r="G11" s="32"/>
      <c r="H11" s="43"/>
      <c r="I11" s="32"/>
      <c r="J11" s="45"/>
      <c r="O11" s="3"/>
      <c r="P11" s="4"/>
      <c r="Q11" s="4"/>
      <c r="R11" s="4"/>
      <c r="S11" s="3"/>
      <c r="T11" s="3"/>
      <c r="U11" s="3"/>
      <c r="V11" s="3"/>
    </row>
    <row r="12" spans="1:22" s="6" customFormat="1" ht="27.75" customHeight="1" hidden="1">
      <c r="A12" s="435" t="s">
        <v>30</v>
      </c>
      <c r="B12" s="435" t="s">
        <v>209</v>
      </c>
      <c r="C12" s="435" t="s">
        <v>6</v>
      </c>
      <c r="D12" s="435" t="s">
        <v>210</v>
      </c>
      <c r="E12" s="435" t="s">
        <v>211</v>
      </c>
      <c r="F12" s="435" t="s">
        <v>5</v>
      </c>
      <c r="G12" s="435" t="s">
        <v>0</v>
      </c>
      <c r="H12" s="435" t="s">
        <v>1</v>
      </c>
      <c r="I12" s="32"/>
      <c r="J12" s="46" t="s">
        <v>57</v>
      </c>
      <c r="K12" s="47" t="s">
        <v>0</v>
      </c>
      <c r="L12" s="47" t="s">
        <v>1</v>
      </c>
      <c r="O12" s="3"/>
      <c r="P12" s="3"/>
      <c r="Q12" s="3"/>
      <c r="R12" s="3"/>
      <c r="S12" s="3"/>
      <c r="T12" s="3"/>
      <c r="U12" s="3"/>
      <c r="V12" s="3"/>
    </row>
    <row r="13" spans="1:22" s="6" customFormat="1" ht="12.75" customHeight="1" hidden="1">
      <c r="A13" s="436">
        <f>LN((C6/E6)/(C7/E7))</f>
        <v>-0.6891551592904078</v>
      </c>
      <c r="B13" s="436">
        <f>SQRT((D6/(C6*E6)+(D7/(C7*E7))))</f>
        <v>0.38210989011996277</v>
      </c>
      <c r="C13" s="437">
        <f>-NORMSINV(2.55/100)</f>
        <v>1.951479773475859</v>
      </c>
      <c r="D13" s="437">
        <f>A13-(C13*B13)</f>
        <v>-1.4348348811045981</v>
      </c>
      <c r="E13" s="438">
        <f>A13+(C13*B13)</f>
        <v>0.05652456252378257</v>
      </c>
      <c r="F13" s="439">
        <f>(C6/E6)/(C7/E7)</f>
        <v>0.502</v>
      </c>
      <c r="G13" s="440">
        <f>EXP(D13)</f>
        <v>0.2381546846067684</v>
      </c>
      <c r="H13" s="441">
        <f>EXP(E13)</f>
        <v>1.058152605379563</v>
      </c>
      <c r="I13" s="32"/>
      <c r="J13" s="48">
        <f>1-F13</f>
        <v>0.498</v>
      </c>
      <c r="K13" s="49">
        <f>1-G13</f>
        <v>0.7618453153932316</v>
      </c>
      <c r="L13" s="49">
        <f>1-H13</f>
        <v>-0.058152605379562905</v>
      </c>
      <c r="M13" s="50"/>
      <c r="O13" s="3"/>
      <c r="P13" s="3"/>
      <c r="Q13" s="3"/>
      <c r="R13" s="3"/>
      <c r="S13" s="3"/>
      <c r="T13" s="3"/>
      <c r="U13" s="3"/>
      <c r="V13" s="3"/>
    </row>
    <row r="14" spans="2:22" s="6" customFormat="1" ht="12.75" customHeight="1" hidden="1">
      <c r="B14" s="40"/>
      <c r="C14" s="51"/>
      <c r="D14" s="52"/>
      <c r="E14" s="53"/>
      <c r="F14" s="54"/>
      <c r="G14" s="55"/>
      <c r="H14" s="52"/>
      <c r="I14" s="32"/>
      <c r="J14" s="42"/>
      <c r="K14" s="42"/>
      <c r="L14" s="42"/>
      <c r="O14" s="3"/>
      <c r="P14" s="3"/>
      <c r="Q14" s="3"/>
      <c r="R14" s="3"/>
      <c r="S14" s="3"/>
      <c r="T14" s="3"/>
      <c r="U14" s="3"/>
      <c r="V14" s="3"/>
    </row>
    <row r="15" spans="2:13" s="14" customFormat="1" ht="12.75" customHeight="1" hidden="1">
      <c r="B15" s="56"/>
      <c r="C15" s="57"/>
      <c r="D15" s="58"/>
      <c r="E15" s="59"/>
      <c r="F15" s="60"/>
      <c r="G15" s="61"/>
      <c r="H15" s="62"/>
      <c r="I15" s="63"/>
      <c r="L15" s="64"/>
      <c r="M15" s="64"/>
    </row>
    <row r="16" spans="1:28" ht="18.75" customHeight="1" hidden="1">
      <c r="A16" s="65" t="s">
        <v>38</v>
      </c>
      <c r="B16" s="66"/>
      <c r="C16" s="67"/>
      <c r="D16" s="68"/>
      <c r="E16" s="63"/>
      <c r="F16" s="63"/>
      <c r="G16" s="63"/>
      <c r="H16" s="69"/>
      <c r="I16" s="63"/>
      <c r="J16" s="14"/>
      <c r="K16" s="70"/>
      <c r="L16" s="3"/>
      <c r="M16" s="71"/>
      <c r="N16" s="71"/>
      <c r="O16" s="3"/>
      <c r="P16" s="3"/>
      <c r="Q16" s="72"/>
      <c r="R16" s="71"/>
      <c r="S16" s="73"/>
      <c r="T16" s="73"/>
      <c r="U16" s="73"/>
      <c r="V16" s="14"/>
      <c r="W16" s="14"/>
      <c r="X16" s="14"/>
      <c r="Y16" s="14"/>
      <c r="Z16" s="14"/>
      <c r="AA16" s="14"/>
      <c r="AB16" s="14"/>
    </row>
    <row r="17" spans="1:27" ht="12.75" customHeight="1" hidden="1">
      <c r="A17" s="74" t="s">
        <v>15</v>
      </c>
      <c r="B17" s="75" t="s">
        <v>14</v>
      </c>
      <c r="C17" s="76"/>
      <c r="D17" s="77"/>
      <c r="E17" s="78"/>
      <c r="F17" s="78"/>
      <c r="G17" s="78"/>
      <c r="H17" s="79"/>
      <c r="I17" s="78"/>
      <c r="J17" s="80"/>
      <c r="K17" s="81"/>
      <c r="L17" s="82"/>
      <c r="M17" s="71"/>
      <c r="N17" s="3"/>
      <c r="O17" s="3"/>
      <c r="P17" s="72"/>
      <c r="Q17" s="71"/>
      <c r="R17" s="73"/>
      <c r="S17" s="73"/>
      <c r="T17" s="73"/>
      <c r="V17" s="14" t="s">
        <v>36</v>
      </c>
      <c r="W17" s="14"/>
      <c r="X17" s="14"/>
      <c r="Y17" s="14"/>
      <c r="Z17" s="14"/>
      <c r="AA17" s="14"/>
    </row>
    <row r="18" spans="1:29" ht="13.5" customHeight="1" hidden="1" thickBot="1">
      <c r="A18" s="83" t="s">
        <v>179</v>
      </c>
      <c r="B18" s="84" t="s">
        <v>11</v>
      </c>
      <c r="C18" s="85"/>
      <c r="D18" s="84" t="s">
        <v>180</v>
      </c>
      <c r="E18" s="84"/>
      <c r="F18" s="84" t="s">
        <v>9</v>
      </c>
      <c r="G18" s="84"/>
      <c r="H18" s="84" t="s">
        <v>10</v>
      </c>
      <c r="I18" s="86"/>
      <c r="J18" s="86"/>
      <c r="K18" s="86"/>
      <c r="L18" s="82"/>
      <c r="M18" s="14"/>
      <c r="O18" s="7"/>
      <c r="S18" s="14"/>
      <c r="U18" s="7"/>
      <c r="V18" s="7" t="s">
        <v>37</v>
      </c>
      <c r="X18" s="87"/>
      <c r="Y18" s="87"/>
      <c r="Z18" s="87"/>
      <c r="AA18" s="87"/>
      <c r="AB18" s="87"/>
      <c r="AC18" s="87"/>
    </row>
    <row r="19" spans="1:29" ht="38.25" customHeight="1" hidden="1">
      <c r="A19" s="88" t="s">
        <v>4</v>
      </c>
      <c r="B19" s="88" t="s">
        <v>31</v>
      </c>
      <c r="C19" s="89" t="s">
        <v>12</v>
      </c>
      <c r="D19" s="89" t="s">
        <v>11</v>
      </c>
      <c r="E19" s="89" t="s">
        <v>180</v>
      </c>
      <c r="F19" s="89" t="s">
        <v>9</v>
      </c>
      <c r="G19" s="89" t="s">
        <v>10</v>
      </c>
      <c r="H19" s="90" t="s">
        <v>6</v>
      </c>
      <c r="I19" s="91" t="s">
        <v>32</v>
      </c>
      <c r="J19" s="442" t="s">
        <v>0</v>
      </c>
      <c r="K19" s="443" t="s">
        <v>1</v>
      </c>
      <c r="L19" s="92"/>
      <c r="M19" s="93"/>
      <c r="N19" s="94" t="s">
        <v>17</v>
      </c>
      <c r="O19" s="95" t="s">
        <v>181</v>
      </c>
      <c r="P19" s="96"/>
      <c r="Q19" s="97"/>
      <c r="R19" s="98"/>
      <c r="S19" s="98"/>
      <c r="T19" s="99"/>
      <c r="V19" s="100"/>
      <c r="W19" s="94" t="s">
        <v>182</v>
      </c>
      <c r="X19" s="95" t="s">
        <v>33</v>
      </c>
      <c r="Y19" s="101"/>
      <c r="Z19" s="101"/>
      <c r="AA19" s="101"/>
      <c r="AB19" s="101"/>
      <c r="AC19" s="102"/>
    </row>
    <row r="20" spans="1:29" ht="12.75" customHeight="1" hidden="1">
      <c r="A20" s="103">
        <f>C6</f>
        <v>10</v>
      </c>
      <c r="B20" s="103">
        <f>E6</f>
        <v>500</v>
      </c>
      <c r="C20" s="104">
        <f>A20/B20</f>
        <v>0.02</v>
      </c>
      <c r="D20" s="105">
        <f>2*A20+H20^2</f>
        <v>23.841458820694125</v>
      </c>
      <c r="E20" s="105">
        <f>H20*SQRT((H20^2)+(4*A20*(1-C20)))</f>
        <v>12.858537694555254</v>
      </c>
      <c r="F20" s="106">
        <f>2*(B20+H20^2)</f>
        <v>1007.6829176413883</v>
      </c>
      <c r="G20" s="107" t="s">
        <v>13</v>
      </c>
      <c r="H20" s="108">
        <f>-NORMSINV(2.5/100)</f>
        <v>1.9599639845400538</v>
      </c>
      <c r="I20" s="109">
        <f>C20</f>
        <v>0.02</v>
      </c>
      <c r="J20" s="110">
        <f>(D20-E20)/F20</f>
        <v>0.010899183596210813</v>
      </c>
      <c r="K20" s="111">
        <f>(D20+E20)/F20</f>
        <v>0.03642018324687934</v>
      </c>
      <c r="L20" s="92"/>
      <c r="M20" s="112">
        <f>B20</f>
        <v>500</v>
      </c>
      <c r="N20" s="25" t="s">
        <v>18</v>
      </c>
      <c r="O20" s="3"/>
      <c r="P20" s="72"/>
      <c r="Q20" s="71"/>
      <c r="R20" s="73"/>
      <c r="S20" s="73"/>
      <c r="T20" s="113"/>
      <c r="V20" s="114">
        <f>ABS(C20-C21)</f>
        <v>0.019840637450199202</v>
      </c>
      <c r="W20" s="25" t="s">
        <v>34</v>
      </c>
      <c r="X20" s="3"/>
      <c r="Y20" s="25"/>
      <c r="Z20" s="25"/>
      <c r="AA20" s="25"/>
      <c r="AB20" s="25"/>
      <c r="AC20" s="115"/>
    </row>
    <row r="21" spans="1:29" ht="12.75" customHeight="1" hidden="1">
      <c r="A21" s="103">
        <f>C7</f>
        <v>20</v>
      </c>
      <c r="B21" s="103">
        <f>E7</f>
        <v>502</v>
      </c>
      <c r="C21" s="104">
        <f>A21/B21</f>
        <v>0.0398406374501992</v>
      </c>
      <c r="D21" s="105">
        <f>2*A21+H21^2</f>
        <v>43.84145882069412</v>
      </c>
      <c r="E21" s="105">
        <f>H21*SQRT((H21^2)+(4*A21*(1-C21)))</f>
        <v>17.60198335626435</v>
      </c>
      <c r="F21" s="106">
        <f>2*(B21+H21^2)</f>
        <v>1011.6829176413883</v>
      </c>
      <c r="G21" s="107" t="s">
        <v>13</v>
      </c>
      <c r="H21" s="108">
        <f>-NORMSINV(2.5/100)</f>
        <v>1.9599639845400538</v>
      </c>
      <c r="I21" s="109">
        <f>C21</f>
        <v>0.0398406374501992</v>
      </c>
      <c r="J21" s="110">
        <f>(D21-E21)/F21</f>
        <v>0.02593646191595665</v>
      </c>
      <c r="K21" s="111">
        <f>(D21+E21)/F21</f>
        <v>0.060733893105762965</v>
      </c>
      <c r="L21" s="92"/>
      <c r="M21" s="116">
        <f>I25</f>
        <v>0.019840637450199202</v>
      </c>
      <c r="N21" s="25" t="s">
        <v>19</v>
      </c>
      <c r="O21" s="25"/>
      <c r="P21" s="25"/>
      <c r="Q21" s="25"/>
      <c r="R21" s="25"/>
      <c r="S21" s="25"/>
      <c r="T21" s="117"/>
      <c r="V21" s="118">
        <f>SQRT((C22*(1-C22)/B20)+(C22*(1-C22)/B21))</f>
        <v>0.010767702260966322</v>
      </c>
      <c r="W21" s="119" t="s">
        <v>35</v>
      </c>
      <c r="X21" s="25"/>
      <c r="Y21" s="25"/>
      <c r="Z21" s="25"/>
      <c r="AA21" s="25"/>
      <c r="AB21" s="25"/>
      <c r="AC21" s="115"/>
    </row>
    <row r="22" spans="1:29" ht="12.75" customHeight="1" hidden="1">
      <c r="A22" s="120">
        <f>A20+A21</f>
        <v>30</v>
      </c>
      <c r="B22" s="120">
        <f>B20+B21</f>
        <v>1002</v>
      </c>
      <c r="C22" s="121">
        <f>A22/B22</f>
        <v>0.029940119760479042</v>
      </c>
      <c r="D22" s="122"/>
      <c r="E22" s="122"/>
      <c r="F22" s="123"/>
      <c r="G22" s="28"/>
      <c r="H22" s="124"/>
      <c r="I22" s="125"/>
      <c r="J22" s="125"/>
      <c r="K22" s="125"/>
      <c r="L22" s="92"/>
      <c r="M22" s="126">
        <f>(A20+A21)/(B20+B21)</f>
        <v>0.029940119760479042</v>
      </c>
      <c r="N22" s="25" t="s">
        <v>7</v>
      </c>
      <c r="O22" s="3"/>
      <c r="P22" s="72"/>
      <c r="Q22" s="71"/>
      <c r="R22" s="73"/>
      <c r="S22" s="73"/>
      <c r="T22" s="115"/>
      <c r="V22" s="127">
        <f>V20/V21</f>
        <v>1.8426064325833849</v>
      </c>
      <c r="W22" s="25" t="s">
        <v>56</v>
      </c>
      <c r="X22" s="3"/>
      <c r="Y22" s="25"/>
      <c r="Z22" s="25"/>
      <c r="AA22" s="25"/>
      <c r="AB22" s="25"/>
      <c r="AC22" s="115"/>
    </row>
    <row r="23" spans="1:29" ht="12.75" customHeight="1" hidden="1">
      <c r="A23" s="84"/>
      <c r="B23" s="75" t="s">
        <v>16</v>
      </c>
      <c r="C23" s="84"/>
      <c r="D23" s="84"/>
      <c r="E23" s="78"/>
      <c r="F23" s="78"/>
      <c r="G23" s="78"/>
      <c r="H23" s="79"/>
      <c r="I23" s="78"/>
      <c r="J23" s="80"/>
      <c r="K23" s="84"/>
      <c r="L23" s="92"/>
      <c r="M23" s="444">
        <f>SQRT(M20*M21^2/(2*M22*(1-M22)))-H20</f>
        <v>-0.11919373221601681</v>
      </c>
      <c r="N23" s="25" t="s">
        <v>183</v>
      </c>
      <c r="O23" s="25"/>
      <c r="P23" s="25"/>
      <c r="Q23" s="25"/>
      <c r="R23" s="25"/>
      <c r="S23" s="6"/>
      <c r="T23" s="113"/>
      <c r="V23" s="445">
        <f>NORMSDIST(-V22)</f>
        <v>0.03269324702773577</v>
      </c>
      <c r="W23" s="70" t="s">
        <v>62</v>
      </c>
      <c r="X23" s="25"/>
      <c r="Y23" s="6"/>
      <c r="Z23" s="6"/>
      <c r="AA23" s="6"/>
      <c r="AB23" s="6"/>
      <c r="AC23" s="117"/>
    </row>
    <row r="24" spans="1:29" ht="13.5" customHeight="1" hidden="1" thickBot="1">
      <c r="A24" s="84"/>
      <c r="B24" s="75" t="s">
        <v>184</v>
      </c>
      <c r="C24" s="76"/>
      <c r="D24" s="77"/>
      <c r="E24" s="78"/>
      <c r="F24" s="78"/>
      <c r="I24" s="128"/>
      <c r="J24" s="128"/>
      <c r="K24" s="128"/>
      <c r="L24" s="92"/>
      <c r="M24" s="446">
        <f>NORMSDIST(M23)</f>
        <v>0.4525609361086929</v>
      </c>
      <c r="N24" s="70" t="s">
        <v>21</v>
      </c>
      <c r="O24" s="129"/>
      <c r="P24" s="25"/>
      <c r="Q24" s="25"/>
      <c r="R24" s="25"/>
      <c r="S24" s="25"/>
      <c r="T24" s="115"/>
      <c r="V24" s="130">
        <f>1-V23</f>
        <v>0.9673067529722642</v>
      </c>
      <c r="W24" s="131" t="s">
        <v>212</v>
      </c>
      <c r="X24" s="129"/>
      <c r="Y24" s="6"/>
      <c r="Z24" s="6"/>
      <c r="AA24" s="6"/>
      <c r="AB24" s="6"/>
      <c r="AC24" s="117"/>
    </row>
    <row r="25" spans="1:29" ht="15" customHeight="1" hidden="1" thickBot="1">
      <c r="A25" s="132" t="s">
        <v>91</v>
      </c>
      <c r="B25" s="133"/>
      <c r="D25" s="76"/>
      <c r="E25" s="134" t="s">
        <v>59</v>
      </c>
      <c r="F25" s="84"/>
      <c r="G25" s="76"/>
      <c r="H25" s="135" t="s">
        <v>28</v>
      </c>
      <c r="I25" s="136">
        <f>C21-C20</f>
        <v>0.019840637450199202</v>
      </c>
      <c r="J25" s="137">
        <f>I25+SQRT((C21-J21)^2+(K20-C20)^2)</f>
        <v>0.04135687585629905</v>
      </c>
      <c r="K25" s="138">
        <f>I25-SQRT((C20-J20)^2+(K21-C21)^2)</f>
        <v>-0.00294868002760661</v>
      </c>
      <c r="L25" s="25"/>
      <c r="M25" s="447">
        <f>1-M24</f>
        <v>0.5474390638913071</v>
      </c>
      <c r="N25" s="139" t="s">
        <v>20</v>
      </c>
      <c r="O25" s="140"/>
      <c r="P25" s="141"/>
      <c r="Q25" s="140"/>
      <c r="R25" s="140"/>
      <c r="S25" s="140"/>
      <c r="T25" s="142"/>
      <c r="V25" s="143"/>
      <c r="W25" s="144"/>
      <c r="X25" s="140"/>
      <c r="Y25" s="144"/>
      <c r="Z25" s="144"/>
      <c r="AA25" s="144"/>
      <c r="AB25" s="144"/>
      <c r="AC25" s="145"/>
    </row>
    <row r="26" spans="3:28" ht="13.5" customHeight="1" hidden="1" thickBot="1">
      <c r="C26" s="146"/>
      <c r="E26" s="147"/>
      <c r="H26" s="148" t="s">
        <v>29</v>
      </c>
      <c r="I26" s="149">
        <f>1/I25</f>
        <v>50.401606425702816</v>
      </c>
      <c r="J26" s="150">
        <f>1/J25</f>
        <v>24.179776138668135</v>
      </c>
      <c r="K26" s="151">
        <f>1/K25</f>
        <v>-339.134796124923</v>
      </c>
      <c r="L26" s="33"/>
      <c r="N26" s="7"/>
      <c r="O26" s="7"/>
      <c r="T26" s="7"/>
      <c r="U26" s="7"/>
      <c r="V26" s="14"/>
      <c r="W26" s="14"/>
      <c r="X26" s="14"/>
      <c r="Y26" s="14"/>
      <c r="Z26" s="14"/>
      <c r="AA26" s="14"/>
      <c r="AB26" s="14"/>
    </row>
    <row r="27" spans="1:21" ht="12.75" customHeight="1" hidden="1">
      <c r="A27" s="6"/>
      <c r="B27" s="152"/>
      <c r="C27" s="146"/>
      <c r="D27" s="153"/>
      <c r="I27" s="154"/>
      <c r="J27" s="155"/>
      <c r="K27" s="155"/>
      <c r="L27" s="156"/>
      <c r="M27" s="156"/>
      <c r="N27" s="8"/>
      <c r="O27" s="8"/>
      <c r="P27" s="8"/>
      <c r="Q27" s="8"/>
      <c r="R27" s="8"/>
      <c r="S27" s="8"/>
      <c r="T27" s="7"/>
      <c r="U27" s="7"/>
    </row>
    <row r="28" spans="1:21" ht="15.75" customHeight="1" hidden="1">
      <c r="A28" s="45"/>
      <c r="B28" s="45"/>
      <c r="C28" s="152"/>
      <c r="D28" s="153"/>
      <c r="E28" s="157"/>
      <c r="F28" s="158"/>
      <c r="G28" s="159" t="s">
        <v>82</v>
      </c>
      <c r="H28" s="160" t="s">
        <v>83</v>
      </c>
      <c r="I28" s="161">
        <f>I26</f>
        <v>50.401606425702816</v>
      </c>
      <c r="J28" s="161">
        <f>J26</f>
        <v>24.179776138668135</v>
      </c>
      <c r="K28" s="161">
        <f>K26</f>
        <v>-339.134796124923</v>
      </c>
      <c r="L28" s="38"/>
      <c r="T28" s="7"/>
      <c r="U28" s="7"/>
    </row>
    <row r="29" spans="1:19" s="6" customFormat="1" ht="12.75" customHeight="1" hidden="1">
      <c r="A29" s="32"/>
      <c r="B29" s="153"/>
      <c r="C29" s="153"/>
      <c r="D29" s="162"/>
      <c r="E29" s="163"/>
      <c r="F29" s="164"/>
      <c r="G29" s="165"/>
      <c r="H29" s="166" t="s">
        <v>86</v>
      </c>
      <c r="I29" s="167">
        <f>(1-C21)*I26</f>
        <v>48.39357429718876</v>
      </c>
      <c r="J29" s="167">
        <f>(1-C21)*J26</f>
        <v>23.216438443900483</v>
      </c>
      <c r="K29" s="167">
        <f>(1-C21)*K26</f>
        <v>-325.62344966576273</v>
      </c>
      <c r="L29" s="7"/>
      <c r="M29" s="7"/>
      <c r="N29" s="14"/>
      <c r="O29" s="14"/>
      <c r="P29" s="7"/>
      <c r="Q29" s="7"/>
      <c r="R29" s="7"/>
      <c r="S29" s="7"/>
    </row>
    <row r="30" spans="2:11" s="6" customFormat="1" ht="12.75" customHeight="1" hidden="1">
      <c r="B30" s="152"/>
      <c r="C30" s="152"/>
      <c r="D30" s="152"/>
      <c r="E30" s="168"/>
      <c r="F30" s="169"/>
      <c r="G30" s="170"/>
      <c r="H30" s="171" t="s">
        <v>89</v>
      </c>
      <c r="I30" s="172">
        <f>I26*I25</f>
        <v>1</v>
      </c>
      <c r="J30" s="172">
        <f>J26*J25</f>
        <v>1</v>
      </c>
      <c r="K30" s="172">
        <f>K26*K25</f>
        <v>1</v>
      </c>
    </row>
    <row r="31" spans="1:11" s="6" customFormat="1" ht="12.75" customHeight="1" hidden="1">
      <c r="A31" s="42"/>
      <c r="B31" s="173"/>
      <c r="D31" s="42"/>
      <c r="F31" s="174"/>
      <c r="G31" s="175"/>
      <c r="H31" s="176" t="s">
        <v>90</v>
      </c>
      <c r="I31" s="177">
        <f>(C21-I25)*I26</f>
        <v>1.0080321285140563</v>
      </c>
      <c r="J31" s="177">
        <f>(C21-J25)*J26</f>
        <v>-0.03666230523234522</v>
      </c>
      <c r="K31" s="177">
        <f>(C21-K25)*K26</f>
        <v>-14.511346459160281</v>
      </c>
    </row>
    <row r="32" spans="1:11" s="6" customFormat="1" ht="12.75" customHeight="1" hidden="1">
      <c r="A32" s="42"/>
      <c r="F32" s="178"/>
      <c r="G32" s="178"/>
      <c r="H32" s="178"/>
      <c r="I32" s="179"/>
      <c r="J32" s="179"/>
      <c r="K32" s="179"/>
    </row>
    <row r="33" spans="5:16" s="6" customFormat="1" ht="15.75" customHeight="1" hidden="1">
      <c r="E33" s="180"/>
      <c r="F33" s="181"/>
      <c r="G33" s="159" t="s">
        <v>84</v>
      </c>
      <c r="H33" s="160" t="s">
        <v>85</v>
      </c>
      <c r="I33" s="161">
        <f>ABS(I26)</f>
        <v>50.401606425702816</v>
      </c>
      <c r="J33" s="161">
        <f>ABS(K26)</f>
        <v>339.134796124923</v>
      </c>
      <c r="K33" s="161">
        <f>ABS(J26)</f>
        <v>24.179776138668135</v>
      </c>
      <c r="M33" s="182"/>
      <c r="N33" s="182"/>
      <c r="O33" s="183"/>
      <c r="P33" s="184"/>
    </row>
    <row r="34" spans="6:16" s="6" customFormat="1" ht="13.5" customHeight="1" hidden="1">
      <c r="F34" s="185"/>
      <c r="G34" s="186"/>
      <c r="H34" s="187" t="s">
        <v>86</v>
      </c>
      <c r="I34" s="167">
        <f>ABS((1-(C21-I25))*I26)</f>
        <v>49.393574297188756</v>
      </c>
      <c r="J34" s="167">
        <f>ABS((1-(C21-K25))*K26)</f>
        <v>324.62344966576273</v>
      </c>
      <c r="K34" s="167">
        <f>ABS((1-(C21-J25))*J26)</f>
        <v>24.21643844390048</v>
      </c>
      <c r="M34" s="182"/>
      <c r="N34" s="182"/>
      <c r="O34" s="182"/>
      <c r="P34" s="184"/>
    </row>
    <row r="35" spans="5:11" s="6" customFormat="1" ht="12.75" customHeight="1" hidden="1">
      <c r="E35" s="188"/>
      <c r="F35" s="189"/>
      <c r="G35" s="190"/>
      <c r="H35" s="191" t="s">
        <v>87</v>
      </c>
      <c r="I35" s="192">
        <f>I26*I25</f>
        <v>1</v>
      </c>
      <c r="J35" s="193">
        <f>K26*K25</f>
        <v>1</v>
      </c>
      <c r="K35" s="193">
        <f>J26*J25</f>
        <v>1</v>
      </c>
    </row>
    <row r="36" spans="1:21" ht="15.75" customHeight="1" hidden="1">
      <c r="A36" s="194" t="s">
        <v>50</v>
      </c>
      <c r="B36" s="195"/>
      <c r="C36" s="195"/>
      <c r="D36" s="195"/>
      <c r="E36" s="178"/>
      <c r="F36" s="196"/>
      <c r="G36" s="197"/>
      <c r="H36" s="198" t="s">
        <v>88</v>
      </c>
      <c r="I36" s="177">
        <f>ABS(C21*I26)</f>
        <v>2.0080321285140563</v>
      </c>
      <c r="J36" s="177">
        <f>ABS(C21*K26)</f>
        <v>13.51134645916028</v>
      </c>
      <c r="K36" s="177">
        <f>ABS(C21*J26)</f>
        <v>0.9633376947676547</v>
      </c>
      <c r="M36" s="6"/>
      <c r="N36" s="6"/>
      <c r="O36" s="6"/>
      <c r="P36" s="6"/>
      <c r="Q36" s="6"/>
      <c r="T36" s="7"/>
      <c r="U36" s="7"/>
    </row>
    <row r="37" spans="1:17" s="14" customFormat="1" ht="12.75" customHeight="1" hidden="1">
      <c r="A37" s="7"/>
      <c r="B37" s="199" t="s">
        <v>25</v>
      </c>
      <c r="C37" s="200" t="s">
        <v>26</v>
      </c>
      <c r="D37" s="25"/>
      <c r="E37" s="178"/>
      <c r="F37" s="178"/>
      <c r="G37" s="201"/>
      <c r="H37" s="202"/>
      <c r="I37" s="203"/>
      <c r="J37" s="203"/>
      <c r="K37" s="203"/>
      <c r="M37" s="6"/>
      <c r="N37" s="6"/>
      <c r="O37" s="6"/>
      <c r="P37" s="6"/>
      <c r="Q37" s="6"/>
    </row>
    <row r="38" spans="1:21" ht="12.75" customHeight="1" hidden="1">
      <c r="A38" s="204" t="s">
        <v>42</v>
      </c>
      <c r="B38" s="205" t="s">
        <v>3</v>
      </c>
      <c r="C38" s="206" t="s">
        <v>2</v>
      </c>
      <c r="D38" s="207" t="s">
        <v>27</v>
      </c>
      <c r="M38" s="6"/>
      <c r="N38" s="6"/>
      <c r="O38" s="6"/>
      <c r="P38" s="6"/>
      <c r="Q38" s="6"/>
      <c r="T38" s="7"/>
      <c r="U38" s="7"/>
    </row>
    <row r="39" spans="1:21" ht="13.5" customHeight="1" hidden="1">
      <c r="A39" s="208" t="s">
        <v>22</v>
      </c>
      <c r="B39" s="209">
        <f>E6*C8/E8</f>
        <v>14.970059880239521</v>
      </c>
      <c r="C39" s="209">
        <f>E6*D8/E8</f>
        <v>485.02994011976045</v>
      </c>
      <c r="D39" s="209">
        <f>E6</f>
        <v>500</v>
      </c>
      <c r="F39" s="210"/>
      <c r="G39" s="211" t="s">
        <v>40</v>
      </c>
      <c r="H39" s="212">
        <f>CHIINV(0.05,J40)</f>
        <v>3.8414588206941236</v>
      </c>
      <c r="M39" s="6"/>
      <c r="N39" s="182"/>
      <c r="O39" s="182"/>
      <c r="P39" s="182"/>
      <c r="Q39" s="6"/>
      <c r="T39" s="7"/>
      <c r="U39" s="7"/>
    </row>
    <row r="40" spans="1:21" ht="12.75" customHeight="1" hidden="1">
      <c r="A40" s="213" t="s">
        <v>23</v>
      </c>
      <c r="B40" s="209">
        <f>E7*C8/E8</f>
        <v>15.029940119760479</v>
      </c>
      <c r="C40" s="209">
        <f>E7*D8/E8</f>
        <v>486.97005988023955</v>
      </c>
      <c r="D40" s="209">
        <f>E7</f>
        <v>502</v>
      </c>
      <c r="E40" s="14"/>
      <c r="F40" s="214"/>
      <c r="G40" s="214"/>
      <c r="H40" s="158"/>
      <c r="I40" s="215" t="s">
        <v>41</v>
      </c>
      <c r="J40" s="216">
        <f>(COUNT(B39:C39)-1)*(COUNT(B39:B40)-1)</f>
        <v>1</v>
      </c>
      <c r="N40" s="182"/>
      <c r="O40" s="182"/>
      <c r="P40" s="182"/>
      <c r="Q40" s="6"/>
      <c r="T40" s="7"/>
      <c r="U40" s="7"/>
    </row>
    <row r="41" spans="1:21" ht="12.75" customHeight="1" hidden="1">
      <c r="A41" s="76" t="s">
        <v>39</v>
      </c>
      <c r="B41" s="209">
        <f>SUM(B39:B40)</f>
        <v>30</v>
      </c>
      <c r="C41" s="209">
        <f>SUM(C39:C40)</f>
        <v>972</v>
      </c>
      <c r="D41" s="217">
        <f>SUM(D39:D40)</f>
        <v>1002</v>
      </c>
      <c r="E41" s="14"/>
      <c r="F41" s="14"/>
      <c r="G41" s="218" t="s">
        <v>43</v>
      </c>
      <c r="H41" s="25" t="s">
        <v>44</v>
      </c>
      <c r="N41" s="182"/>
      <c r="O41" s="183"/>
      <c r="P41" s="182"/>
      <c r="Q41" s="6"/>
      <c r="T41" s="7"/>
      <c r="U41" s="7"/>
    </row>
    <row r="42" spans="1:21" ht="12.75" customHeight="1" hidden="1">
      <c r="A42" s="76"/>
      <c r="B42" s="219"/>
      <c r="C42" s="219"/>
      <c r="D42" s="220"/>
      <c r="E42" s="14"/>
      <c r="F42" s="14"/>
      <c r="G42" s="218" t="s">
        <v>45</v>
      </c>
      <c r="H42" s="25" t="s">
        <v>46</v>
      </c>
      <c r="N42" s="184"/>
      <c r="O42" s="184"/>
      <c r="P42" s="184"/>
      <c r="Q42" s="6"/>
      <c r="T42" s="7"/>
      <c r="U42" s="7"/>
    </row>
    <row r="43" spans="1:21" ht="26.25" customHeight="1" hidden="1">
      <c r="A43" s="221"/>
      <c r="B43" s="531" t="s">
        <v>53</v>
      </c>
      <c r="C43" s="532"/>
      <c r="F43" s="76"/>
      <c r="G43" s="222"/>
      <c r="H43" s="84"/>
      <c r="N43" s="7"/>
      <c r="O43" s="7"/>
      <c r="T43" s="7"/>
      <c r="U43" s="7"/>
    </row>
    <row r="44" spans="1:21" ht="12.75" customHeight="1" hidden="1">
      <c r="A44" s="221"/>
      <c r="B44" s="223">
        <f>(C6-B39)^2/B39</f>
        <v>1.6500598802395212</v>
      </c>
      <c r="C44" s="223">
        <f>(D6-C39)^2/C39</f>
        <v>0.05092777408146721</v>
      </c>
      <c r="E44" s="204"/>
      <c r="F44" s="224"/>
      <c r="I44" s="6"/>
      <c r="J44" s="6"/>
      <c r="K44" s="19"/>
      <c r="N44" s="7"/>
      <c r="O44" s="7"/>
      <c r="T44" s="7"/>
      <c r="U44" s="7"/>
    </row>
    <row r="45" spans="1:21" ht="12.75" customHeight="1" hidden="1">
      <c r="A45" s="221"/>
      <c r="B45" s="223">
        <f>(C7-B40)^2/B40</f>
        <v>1.643485936493547</v>
      </c>
      <c r="C45" s="223">
        <f>(D7-C40)^2/C40</f>
        <v>0.05072487458313467</v>
      </c>
      <c r="D45" s="20"/>
      <c r="E45" s="225" t="s">
        <v>47</v>
      </c>
      <c r="F45" s="226">
        <f>B47-H39</f>
        <v>-0.44626035529645325</v>
      </c>
      <c r="I45" s="6"/>
      <c r="J45" s="6"/>
      <c r="N45" s="7"/>
      <c r="O45" s="7"/>
      <c r="T45" s="7"/>
      <c r="U45" s="7"/>
    </row>
    <row r="46" spans="1:21" ht="13.5" customHeight="1" hidden="1" thickBot="1">
      <c r="A46" s="25" t="s">
        <v>49</v>
      </c>
      <c r="C46" s="227"/>
      <c r="F46" s="84" t="s">
        <v>51</v>
      </c>
      <c r="I46" s="6"/>
      <c r="J46" s="6"/>
      <c r="N46" s="7"/>
      <c r="O46" s="7"/>
      <c r="T46" s="7"/>
      <c r="U46" s="7"/>
    </row>
    <row r="47" spans="1:21" ht="13.5" customHeight="1" hidden="1" thickBot="1">
      <c r="A47" s="228" t="s">
        <v>48</v>
      </c>
      <c r="B47" s="229">
        <f>SUM(B44:C45)</f>
        <v>3.3951984653976703</v>
      </c>
      <c r="C47" s="25"/>
      <c r="F47" s="84" t="s">
        <v>52</v>
      </c>
      <c r="H47" s="230"/>
      <c r="I47" s="6"/>
      <c r="J47" s="6"/>
      <c r="K47" s="231"/>
      <c r="N47" s="7"/>
      <c r="O47" s="7"/>
      <c r="T47" s="7"/>
      <c r="U47" s="7"/>
    </row>
    <row r="48" spans="1:21" ht="14.25" customHeight="1" hidden="1" thickBot="1">
      <c r="A48" s="232" t="s">
        <v>185</v>
      </c>
      <c r="B48" s="233">
        <f>CHIDIST(B47,1)</f>
        <v>0.0653864940554715</v>
      </c>
      <c r="D48" s="25"/>
      <c r="E48" s="25"/>
      <c r="F48" s="25"/>
      <c r="G48" s="234"/>
      <c r="H48" s="25"/>
      <c r="I48" s="6"/>
      <c r="J48" s="6"/>
      <c r="K48" s="25"/>
      <c r="N48" s="7"/>
      <c r="O48" s="7"/>
      <c r="T48" s="7"/>
      <c r="U48" s="7"/>
    </row>
    <row r="49" spans="4:8" s="6" customFormat="1" ht="12.75" customHeight="1" hidden="1">
      <c r="D49" s="235"/>
      <c r="E49" s="235"/>
      <c r="H49" s="236"/>
    </row>
    <row r="50" spans="9:21" ht="12.75" customHeight="1" hidden="1">
      <c r="I50" s="6"/>
      <c r="J50" s="6"/>
      <c r="N50" s="7"/>
      <c r="O50" s="7"/>
      <c r="T50" s="7"/>
      <c r="U50" s="7"/>
    </row>
    <row r="51" spans="6:21" ht="13.5" customHeight="1" hidden="1" thickBot="1">
      <c r="F51" s="154"/>
      <c r="I51" s="6"/>
      <c r="J51" s="6"/>
      <c r="N51" s="7"/>
      <c r="O51" s="7"/>
      <c r="T51" s="7"/>
      <c r="U51" s="7"/>
    </row>
    <row r="52" spans="1:21" ht="13.5" customHeight="1" hidden="1" thickBot="1">
      <c r="A52" s="237" t="s">
        <v>213</v>
      </c>
      <c r="B52" s="238"/>
      <c r="C52" s="238"/>
      <c r="D52" s="239" t="s">
        <v>73</v>
      </c>
      <c r="E52" s="239" t="s">
        <v>74</v>
      </c>
      <c r="F52" s="239" t="s">
        <v>75</v>
      </c>
      <c r="G52" s="102"/>
      <c r="I52" s="6"/>
      <c r="J52" s="6"/>
      <c r="K52" s="10"/>
      <c r="L52" s="10"/>
      <c r="M52" s="10"/>
      <c r="N52" s="7"/>
      <c r="O52" s="7"/>
      <c r="T52" s="7"/>
      <c r="U52" s="7"/>
    </row>
    <row r="53" spans="1:21" ht="12.75" customHeight="1" hidden="1">
      <c r="A53" s="240" t="s">
        <v>63</v>
      </c>
      <c r="B53" s="241">
        <f>ROUND(E6,0)</f>
        <v>500</v>
      </c>
      <c r="C53" s="241">
        <f>ROUND(E7,0)</f>
        <v>502</v>
      </c>
      <c r="D53" s="242">
        <f>ROUND(F13,2)</f>
        <v>0.5</v>
      </c>
      <c r="E53" s="243">
        <f>ROUND(I25,4)</f>
        <v>0.0198</v>
      </c>
      <c r="F53" s="244">
        <f>ROUND(I26,0)</f>
        <v>50</v>
      </c>
      <c r="G53" s="115"/>
      <c r="I53" s="6"/>
      <c r="J53" s="6"/>
      <c r="K53" s="10"/>
      <c r="L53" s="10"/>
      <c r="M53" s="10"/>
      <c r="N53" s="7"/>
      <c r="O53" s="7"/>
      <c r="T53" s="7"/>
      <c r="U53" s="7"/>
    </row>
    <row r="54" spans="1:21" ht="12.75" customHeight="1" hidden="1">
      <c r="A54" s="245" t="s">
        <v>65</v>
      </c>
      <c r="B54" s="241">
        <f>ROUND(C6,0)</f>
        <v>10</v>
      </c>
      <c r="C54" s="241">
        <f>ROUND(C7,0)</f>
        <v>20</v>
      </c>
      <c r="D54" s="242">
        <f>ROUND(G13,2)</f>
        <v>0.24</v>
      </c>
      <c r="E54" s="243">
        <f>ROUND(K25,4)</f>
        <v>-0.0029</v>
      </c>
      <c r="F54" s="244">
        <f>ROUND(J26,0)</f>
        <v>24</v>
      </c>
      <c r="G54" s="115"/>
      <c r="I54" s="6"/>
      <c r="J54" s="6"/>
      <c r="K54" s="10"/>
      <c r="L54" s="10"/>
      <c r="M54" s="10"/>
      <c r="N54" s="7"/>
      <c r="O54" s="7"/>
      <c r="T54" s="7"/>
      <c r="U54" s="7"/>
    </row>
    <row r="55" spans="1:13" s="14" customFormat="1" ht="12.75" customHeight="1" hidden="1">
      <c r="A55" s="245" t="s">
        <v>64</v>
      </c>
      <c r="B55" s="243">
        <f>ROUND(C20,4)</f>
        <v>0.02</v>
      </c>
      <c r="C55" s="243">
        <f>ROUND(C21,4)</f>
        <v>0.0398</v>
      </c>
      <c r="D55" s="242">
        <f>ROUND(H13,2)</f>
        <v>1.06</v>
      </c>
      <c r="E55" s="243">
        <f>ROUND(J25,4)</f>
        <v>0.0414</v>
      </c>
      <c r="F55" s="244">
        <f>ROUND(K26,0)</f>
        <v>-339</v>
      </c>
      <c r="G55" s="246">
        <f>ROUND(M24,4)</f>
        <v>0.4526</v>
      </c>
      <c r="I55" s="247"/>
      <c r="J55" s="6"/>
      <c r="K55" s="10"/>
      <c r="L55" s="10"/>
      <c r="M55" s="10"/>
    </row>
    <row r="56" spans="1:13" ht="12.75" customHeight="1" hidden="1">
      <c r="A56" s="245" t="s">
        <v>66</v>
      </c>
      <c r="B56" s="248" t="s">
        <v>93</v>
      </c>
      <c r="C56" s="248" t="s">
        <v>94</v>
      </c>
      <c r="D56" s="248" t="s">
        <v>5</v>
      </c>
      <c r="E56" s="248" t="s">
        <v>76</v>
      </c>
      <c r="F56" s="249" t="s">
        <v>71</v>
      </c>
      <c r="G56" s="250" t="s">
        <v>77</v>
      </c>
      <c r="I56" s="247"/>
      <c r="J56" s="6"/>
      <c r="K56" s="10"/>
      <c r="L56" s="10"/>
      <c r="M56" s="10"/>
    </row>
    <row r="57" spans="1:21" ht="12.75" customHeight="1" hidden="1">
      <c r="A57" s="251" t="s">
        <v>24</v>
      </c>
      <c r="B57" s="252" t="str">
        <f>CONCATENATE(B54,A58,B53," ",A53,B55*100,A56,A55)</f>
        <v>10/500 (2%)</v>
      </c>
      <c r="C57" s="252" t="str">
        <f>CONCATENATE(C54,A58,C53," ",A53,C55*100,A56,A55)</f>
        <v>20/502 (3,98%)</v>
      </c>
      <c r="D57" s="252" t="str">
        <f>CONCATENATE(D53," ",A53,D54,A54,D55,A55)</f>
        <v>0,5 (0,24-1,06)</v>
      </c>
      <c r="E57" s="252" t="str">
        <f>CONCATENATE(E53*100,A56," ",A53,E54*100,A56," ",A57," ",E55*100,A56,A55)</f>
        <v>1,98% (-0,29% a 4,14%)</v>
      </c>
      <c r="F57" s="252" t="str">
        <f>CONCATENATE(F53," ",A53,F54," ",A57," ",F55,A55)</f>
        <v>50 (24 a -339)</v>
      </c>
      <c r="G57" s="250" t="str">
        <f>CONCATENATE(G55*100,A56)</f>
        <v>45,26%</v>
      </c>
      <c r="I57" s="6"/>
      <c r="J57" s="6"/>
      <c r="K57" s="10"/>
      <c r="L57" s="10"/>
      <c r="M57" s="10"/>
      <c r="N57" s="7"/>
      <c r="O57" s="7"/>
      <c r="T57" s="7"/>
      <c r="U57" s="7"/>
    </row>
    <row r="58" spans="1:21" ht="13.5" customHeight="1" hidden="1" thickBot="1">
      <c r="A58" s="253" t="s">
        <v>72</v>
      </c>
      <c r="B58" s="254"/>
      <c r="C58" s="254"/>
      <c r="D58" s="254"/>
      <c r="E58" s="254"/>
      <c r="F58" s="254"/>
      <c r="G58" s="255"/>
      <c r="I58" s="6"/>
      <c r="J58" s="6"/>
      <c r="K58" s="10"/>
      <c r="L58" s="10"/>
      <c r="M58" s="10"/>
      <c r="N58" s="7"/>
      <c r="O58" s="7"/>
      <c r="T58" s="7"/>
      <c r="U58" s="7"/>
    </row>
    <row r="59" spans="11:21" ht="12.75">
      <c r="K59" s="10"/>
      <c r="L59" s="10"/>
      <c r="M59" s="10"/>
      <c r="N59" s="7"/>
      <c r="O59" s="7"/>
      <c r="T59" s="7"/>
      <c r="U59" s="7"/>
    </row>
    <row r="60" spans="2:21" ht="27" customHeight="1">
      <c r="B60" s="525" t="s">
        <v>93</v>
      </c>
      <c r="C60" s="525" t="s">
        <v>94</v>
      </c>
      <c r="D60" s="526" t="s">
        <v>67</v>
      </c>
      <c r="E60" s="526" t="s">
        <v>60</v>
      </c>
      <c r="F60" s="526" t="s">
        <v>61</v>
      </c>
      <c r="G60" s="526" t="s">
        <v>78</v>
      </c>
      <c r="H60" s="527"/>
      <c r="I60" s="526" t="s">
        <v>186</v>
      </c>
      <c r="K60" s="258"/>
      <c r="N60" s="7"/>
      <c r="O60" s="7"/>
      <c r="T60" s="7"/>
      <c r="U60" s="7"/>
    </row>
    <row r="61" spans="2:21" ht="23.25" customHeight="1">
      <c r="B61" s="259" t="str">
        <f aca="true" t="shared" si="0" ref="B61:G61">B57</f>
        <v>10/500 (2%)</v>
      </c>
      <c r="C61" s="259" t="str">
        <f t="shared" si="0"/>
        <v>20/502 (3,98%)</v>
      </c>
      <c r="D61" s="259" t="str">
        <f t="shared" si="0"/>
        <v>0,5 (0,24-1,06)</v>
      </c>
      <c r="E61" s="259" t="str">
        <f t="shared" si="0"/>
        <v>1,98% (-0,29% a 4,14%)</v>
      </c>
      <c r="F61" s="259" t="str">
        <f t="shared" si="0"/>
        <v>50 (24 a -339)</v>
      </c>
      <c r="G61" s="259" t="str">
        <f t="shared" si="0"/>
        <v>45,26%</v>
      </c>
      <c r="H61" s="448"/>
      <c r="I61" s="449">
        <f>B48</f>
        <v>0.0653864940554715</v>
      </c>
      <c r="K61" s="260"/>
      <c r="N61" s="7"/>
      <c r="O61" s="7"/>
      <c r="T61" s="7"/>
      <c r="U61" s="7"/>
    </row>
    <row r="62" ht="12.75">
      <c r="K62" s="6"/>
    </row>
    <row r="63" spans="2:14" ht="16.5" thickBot="1">
      <c r="B63" s="6"/>
      <c r="C63" s="6"/>
      <c r="D63" s="6"/>
      <c r="E63" s="6"/>
      <c r="F63" s="6"/>
      <c r="G63" s="6"/>
      <c r="H63" s="6"/>
      <c r="I63" s="6"/>
      <c r="J63" s="261"/>
      <c r="K63" s="6"/>
      <c r="L63" s="6"/>
      <c r="M63" s="6"/>
      <c r="N63" s="6"/>
    </row>
    <row r="64" spans="1:14" ht="25.5" customHeight="1" thickBot="1">
      <c r="A64" s="533" t="s">
        <v>241</v>
      </c>
      <c r="B64" s="534"/>
      <c r="C64" s="534"/>
      <c r="D64" s="534"/>
      <c r="E64" s="534"/>
      <c r="F64" s="534"/>
      <c r="G64" s="535"/>
      <c r="H64" s="6"/>
      <c r="J64" s="261"/>
      <c r="K64" s="6"/>
      <c r="L64" s="6"/>
      <c r="M64" s="6"/>
      <c r="N64" s="6"/>
    </row>
    <row r="65" spans="1:14" ht="26.25" thickBot="1">
      <c r="A65" s="538" t="s">
        <v>125</v>
      </c>
      <c r="B65" s="377" t="s">
        <v>215</v>
      </c>
      <c r="C65" s="377" t="s">
        <v>216</v>
      </c>
      <c r="D65" s="540" t="s">
        <v>217</v>
      </c>
      <c r="E65" s="541"/>
      <c r="F65" s="541"/>
      <c r="G65" s="542"/>
      <c r="J65" s="261"/>
      <c r="K65" s="6"/>
      <c r="L65" s="6"/>
      <c r="M65" s="6"/>
      <c r="N65" s="6"/>
    </row>
    <row r="66" spans="1:14" ht="28.5" customHeight="1" thickBot="1">
      <c r="A66" s="539"/>
      <c r="B66" s="262" t="s">
        <v>123</v>
      </c>
      <c r="C66" s="262" t="s">
        <v>124</v>
      </c>
      <c r="D66" s="263" t="s">
        <v>67</v>
      </c>
      <c r="E66" s="263" t="s">
        <v>218</v>
      </c>
      <c r="F66" s="470" t="s">
        <v>219</v>
      </c>
      <c r="G66" s="264" t="s">
        <v>78</v>
      </c>
      <c r="J66" s="6"/>
      <c r="K66" s="6"/>
      <c r="L66" s="6"/>
      <c r="M66" s="6"/>
      <c r="N66" s="6"/>
    </row>
    <row r="67" spans="1:21" s="316" customFormat="1" ht="21" customHeight="1" thickBot="1">
      <c r="A67" s="312" t="s">
        <v>166</v>
      </c>
      <c r="B67" s="313"/>
      <c r="C67" s="313"/>
      <c r="D67" s="313"/>
      <c r="E67" s="313"/>
      <c r="F67" s="313"/>
      <c r="G67" s="313"/>
      <c r="I67" s="313"/>
      <c r="J67" s="314"/>
      <c r="K67" s="314"/>
      <c r="L67" s="314"/>
      <c r="M67" s="314"/>
      <c r="N67" s="314"/>
      <c r="O67" s="315"/>
      <c r="T67" s="315"/>
      <c r="U67" s="315"/>
    </row>
    <row r="68" spans="1:21" s="316" customFormat="1" ht="21" customHeight="1" thickBot="1">
      <c r="A68" s="317" t="s">
        <v>167</v>
      </c>
      <c r="B68" s="318" t="s">
        <v>220</v>
      </c>
      <c r="C68" s="318" t="s">
        <v>221</v>
      </c>
      <c r="D68" s="319" t="s">
        <v>98</v>
      </c>
      <c r="E68" s="320" t="s">
        <v>112</v>
      </c>
      <c r="F68" s="320" t="s">
        <v>222</v>
      </c>
      <c r="G68" s="321">
        <v>0.1125</v>
      </c>
      <c r="I68" s="313"/>
      <c r="J68" s="314"/>
      <c r="K68" s="314"/>
      <c r="L68" s="314"/>
      <c r="M68" s="314"/>
      <c r="N68" s="314"/>
      <c r="O68" s="315"/>
      <c r="T68" s="315"/>
      <c r="U68" s="315"/>
    </row>
    <row r="69" spans="1:21" s="316" customFormat="1" ht="21" customHeight="1" thickBot="1">
      <c r="A69" s="312" t="s">
        <v>99</v>
      </c>
      <c r="B69" s="322"/>
      <c r="C69" s="322"/>
      <c r="D69" s="313"/>
      <c r="E69" s="323"/>
      <c r="F69" s="323"/>
      <c r="G69" s="313"/>
      <c r="I69" s="313"/>
      <c r="N69" s="315"/>
      <c r="O69" s="315"/>
      <c r="T69" s="315"/>
      <c r="U69" s="315"/>
    </row>
    <row r="70" spans="1:21" s="316" customFormat="1" ht="21" customHeight="1">
      <c r="A70" s="324" t="s">
        <v>100</v>
      </c>
      <c r="B70" s="325" t="s">
        <v>223</v>
      </c>
      <c r="C70" s="325" t="s">
        <v>282</v>
      </c>
      <c r="D70" s="325" t="s">
        <v>249</v>
      </c>
      <c r="E70" s="326" t="s">
        <v>250</v>
      </c>
      <c r="F70" s="471" t="s">
        <v>251</v>
      </c>
      <c r="G70" s="327">
        <v>0.7278</v>
      </c>
      <c r="I70" s="314"/>
      <c r="J70" s="315"/>
      <c r="K70" s="315"/>
      <c r="L70" s="315"/>
      <c r="M70" s="315"/>
      <c r="N70" s="315"/>
      <c r="O70" s="315">
        <f>N70*3.8</f>
        <v>0</v>
      </c>
      <c r="T70" s="315"/>
      <c r="U70" s="315"/>
    </row>
    <row r="71" spans="1:21" s="316" customFormat="1" ht="21" customHeight="1">
      <c r="A71" s="328" t="s">
        <v>101</v>
      </c>
      <c r="B71" s="329" t="s">
        <v>224</v>
      </c>
      <c r="C71" s="329" t="s">
        <v>225</v>
      </c>
      <c r="D71" s="329" t="s">
        <v>103</v>
      </c>
      <c r="E71" s="330" t="s">
        <v>226</v>
      </c>
      <c r="F71" s="371" t="s">
        <v>227</v>
      </c>
      <c r="G71" s="331">
        <v>0.7803</v>
      </c>
      <c r="I71" s="314"/>
      <c r="J71" s="315"/>
      <c r="K71" s="315"/>
      <c r="L71" s="315"/>
      <c r="M71" s="315"/>
      <c r="N71" s="315"/>
      <c r="O71" s="315">
        <f>N71*3.8</f>
        <v>0</v>
      </c>
      <c r="T71" s="315"/>
      <c r="U71" s="315"/>
    </row>
    <row r="72" spans="1:21" s="316" customFormat="1" ht="21" customHeight="1">
      <c r="A72" s="328" t="s">
        <v>104</v>
      </c>
      <c r="B72" s="329" t="s">
        <v>228</v>
      </c>
      <c r="C72" s="329" t="s">
        <v>229</v>
      </c>
      <c r="D72" s="329" t="s">
        <v>119</v>
      </c>
      <c r="E72" s="330" t="s">
        <v>113</v>
      </c>
      <c r="F72" s="472" t="s">
        <v>116</v>
      </c>
      <c r="G72" s="332">
        <v>0.6878</v>
      </c>
      <c r="I72" s="314"/>
      <c r="J72" s="315"/>
      <c r="K72" s="315"/>
      <c r="L72" s="315"/>
      <c r="M72" s="315"/>
      <c r="N72" s="315"/>
      <c r="O72" s="315">
        <f>N72*3.8</f>
        <v>0</v>
      </c>
      <c r="T72" s="315"/>
      <c r="U72" s="315"/>
    </row>
    <row r="73" spans="1:21" s="316" customFormat="1" ht="21" customHeight="1">
      <c r="A73" s="333" t="s">
        <v>106</v>
      </c>
      <c r="B73" s="329" t="s">
        <v>283</v>
      </c>
      <c r="C73" s="329" t="s">
        <v>284</v>
      </c>
      <c r="D73" s="329" t="s">
        <v>285</v>
      </c>
      <c r="E73" s="330" t="s">
        <v>286</v>
      </c>
      <c r="F73" s="330" t="s">
        <v>287</v>
      </c>
      <c r="G73" s="332" t="s">
        <v>288</v>
      </c>
      <c r="I73" s="313"/>
      <c r="J73" s="315"/>
      <c r="N73" s="315"/>
      <c r="O73" s="315"/>
      <c r="T73" s="315"/>
      <c r="U73" s="315"/>
    </row>
    <row r="74" spans="1:21" s="316" customFormat="1" ht="21" customHeight="1" thickBot="1">
      <c r="A74" s="473" t="s">
        <v>108</v>
      </c>
      <c r="B74" s="335" t="s">
        <v>230</v>
      </c>
      <c r="C74" s="335" t="s">
        <v>231</v>
      </c>
      <c r="D74" s="336" t="s">
        <v>110</v>
      </c>
      <c r="E74" s="337" t="s">
        <v>114</v>
      </c>
      <c r="F74" s="337" t="s">
        <v>111</v>
      </c>
      <c r="G74" s="338">
        <v>0.3977</v>
      </c>
      <c r="I74" s="313"/>
      <c r="J74" s="315"/>
      <c r="N74" s="315"/>
      <c r="O74" s="315"/>
      <c r="T74" s="315"/>
      <c r="U74" s="315"/>
    </row>
    <row r="75" spans="1:21" s="316" customFormat="1" ht="21" customHeight="1" thickBot="1">
      <c r="A75" s="537" t="s">
        <v>149</v>
      </c>
      <c r="B75" s="537"/>
      <c r="C75" s="537"/>
      <c r="E75" s="360"/>
      <c r="F75" s="360"/>
      <c r="J75" s="315"/>
      <c r="N75" s="315"/>
      <c r="O75" s="315"/>
      <c r="T75" s="315"/>
      <c r="U75" s="315"/>
    </row>
    <row r="76" spans="1:21" s="316" customFormat="1" ht="27" customHeight="1">
      <c r="A76" s="474" t="s">
        <v>153</v>
      </c>
      <c r="B76" s="325" t="s">
        <v>128</v>
      </c>
      <c r="C76" s="340" t="s">
        <v>129</v>
      </c>
      <c r="D76" s="456" t="s">
        <v>151</v>
      </c>
      <c r="E76" s="326" t="s">
        <v>152</v>
      </c>
      <c r="F76" s="341" t="s">
        <v>130</v>
      </c>
      <c r="G76" s="342">
        <v>1</v>
      </c>
      <c r="J76" s="315"/>
      <c r="N76" s="315"/>
      <c r="O76" s="315"/>
      <c r="T76" s="315"/>
      <c r="U76" s="315"/>
    </row>
    <row r="77" spans="1:21" s="316" customFormat="1" ht="30" customHeight="1" thickBot="1">
      <c r="A77" s="475" t="s">
        <v>154</v>
      </c>
      <c r="B77" s="336" t="s">
        <v>131</v>
      </c>
      <c r="C77" s="458" t="s">
        <v>132</v>
      </c>
      <c r="D77" s="460" t="s">
        <v>133</v>
      </c>
      <c r="E77" s="337" t="s">
        <v>134</v>
      </c>
      <c r="F77" s="344" t="s">
        <v>135</v>
      </c>
      <c r="G77" s="345">
        <v>1</v>
      </c>
      <c r="J77" s="315"/>
      <c r="N77" s="315"/>
      <c r="O77" s="315"/>
      <c r="T77" s="315"/>
      <c r="U77" s="315"/>
    </row>
    <row r="78" spans="1:21" s="313" customFormat="1" ht="9.75" customHeight="1" thickBot="1">
      <c r="A78" s="346"/>
      <c r="B78" s="347"/>
      <c r="C78" s="347"/>
      <c r="D78" s="347"/>
      <c r="E78" s="348"/>
      <c r="F78" s="349"/>
      <c r="G78" s="350"/>
      <c r="J78" s="314"/>
      <c r="N78" s="314"/>
      <c r="O78" s="314"/>
      <c r="T78" s="314"/>
      <c r="U78" s="314"/>
    </row>
    <row r="79" spans="1:21" s="316" customFormat="1" ht="21" customHeight="1">
      <c r="A79" s="339" t="s">
        <v>126</v>
      </c>
      <c r="B79" s="325" t="s">
        <v>136</v>
      </c>
      <c r="C79" s="340" t="s">
        <v>137</v>
      </c>
      <c r="D79" s="456" t="s">
        <v>138</v>
      </c>
      <c r="E79" s="326" t="s">
        <v>139</v>
      </c>
      <c r="F79" s="351" t="s">
        <v>140</v>
      </c>
      <c r="G79" s="352">
        <v>0.1794</v>
      </c>
      <c r="N79" s="315"/>
      <c r="O79" s="315"/>
      <c r="T79" s="315"/>
      <c r="U79" s="315"/>
    </row>
    <row r="80" spans="1:21" s="316" customFormat="1" ht="26.25" customHeight="1">
      <c r="A80" s="466" t="s">
        <v>155</v>
      </c>
      <c r="B80" s="329" t="s">
        <v>144</v>
      </c>
      <c r="C80" s="463" t="s">
        <v>145</v>
      </c>
      <c r="D80" s="465" t="s">
        <v>146</v>
      </c>
      <c r="E80" s="330" t="s">
        <v>147</v>
      </c>
      <c r="F80" s="371" t="s">
        <v>148</v>
      </c>
      <c r="G80" s="354">
        <v>0.6084</v>
      </c>
      <c r="N80" s="315"/>
      <c r="O80" s="315"/>
      <c r="T80" s="315"/>
      <c r="U80" s="315"/>
    </row>
    <row r="81" spans="1:21" s="316" customFormat="1" ht="21" customHeight="1" thickBot="1">
      <c r="A81" s="343" t="s">
        <v>127</v>
      </c>
      <c r="B81" s="336" t="s">
        <v>170</v>
      </c>
      <c r="C81" s="458" t="s">
        <v>171</v>
      </c>
      <c r="D81" s="460" t="s">
        <v>141</v>
      </c>
      <c r="E81" s="337" t="s">
        <v>172</v>
      </c>
      <c r="F81" s="344" t="s">
        <v>173</v>
      </c>
      <c r="G81" s="355">
        <v>0.9387</v>
      </c>
      <c r="N81" s="315"/>
      <c r="O81" s="315"/>
      <c r="T81" s="315"/>
      <c r="U81" s="315"/>
    </row>
    <row r="82" spans="1:21" s="313" customFormat="1" ht="21" customHeight="1" thickBot="1">
      <c r="A82" s="537" t="s">
        <v>159</v>
      </c>
      <c r="B82" s="537"/>
      <c r="C82" s="537"/>
      <c r="D82" s="347"/>
      <c r="E82" s="348"/>
      <c r="F82" s="349"/>
      <c r="G82" s="356"/>
      <c r="N82" s="314"/>
      <c r="O82" s="314"/>
      <c r="T82" s="314"/>
      <c r="U82" s="314"/>
    </row>
    <row r="83" spans="1:21" s="316" customFormat="1" ht="21" customHeight="1">
      <c r="A83" s="339" t="s">
        <v>150</v>
      </c>
      <c r="B83" s="325" t="s">
        <v>174</v>
      </c>
      <c r="C83" s="340" t="s">
        <v>175</v>
      </c>
      <c r="D83" s="456" t="s">
        <v>142</v>
      </c>
      <c r="E83" s="326" t="s">
        <v>176</v>
      </c>
      <c r="F83" s="341" t="s">
        <v>143</v>
      </c>
      <c r="G83" s="342">
        <v>1</v>
      </c>
      <c r="N83" s="315"/>
      <c r="O83" s="315"/>
      <c r="T83" s="315"/>
      <c r="U83" s="315"/>
    </row>
    <row r="84" spans="1:21" s="316" customFormat="1" ht="21" customHeight="1" thickBot="1">
      <c r="A84" s="357" t="s">
        <v>160</v>
      </c>
      <c r="B84" s="335" t="s">
        <v>161</v>
      </c>
      <c r="C84" s="358" t="s">
        <v>162</v>
      </c>
      <c r="D84" s="476" t="s">
        <v>163</v>
      </c>
      <c r="E84" s="361" t="s">
        <v>164</v>
      </c>
      <c r="F84" s="361" t="s">
        <v>165</v>
      </c>
      <c r="G84" s="359">
        <v>0.6397</v>
      </c>
      <c r="N84" s="315"/>
      <c r="O84" s="315"/>
      <c r="T84" s="315"/>
      <c r="U84" s="315"/>
    </row>
    <row r="86" ht="19.5" customHeight="1"/>
  </sheetData>
  <sheetProtection/>
  <mergeCells count="8">
    <mergeCell ref="A1:I1"/>
    <mergeCell ref="B43:C43"/>
    <mergeCell ref="A64:G64"/>
    <mergeCell ref="A2:I2"/>
    <mergeCell ref="A82:C82"/>
    <mergeCell ref="A75:C75"/>
    <mergeCell ref="A65:A66"/>
    <mergeCell ref="D65:G65"/>
  </mergeCells>
  <printOptions/>
  <pageMargins left="0.17" right="0.17" top="0.21" bottom="0.7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5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33.57421875" style="7" customWidth="1"/>
    <col min="2" max="2" width="18.421875" style="7" customWidth="1"/>
    <col min="3" max="3" width="18.7109375" style="7" customWidth="1"/>
    <col min="4" max="4" width="16.00390625" style="7" customWidth="1"/>
    <col min="5" max="5" width="24.421875" style="7" customWidth="1"/>
    <col min="6" max="6" width="22.8515625" style="7" customWidth="1"/>
    <col min="7" max="7" width="12.8515625" style="7" customWidth="1"/>
    <col min="8" max="8" width="11.28125" style="7" customWidth="1"/>
    <col min="9" max="9" width="13.57421875" style="7" customWidth="1"/>
    <col min="10" max="10" width="16.140625" style="7" bestFit="1" customWidth="1"/>
    <col min="11" max="11" width="14.421875" style="7" bestFit="1" customWidth="1"/>
    <col min="12" max="12" width="18.8515625" style="7" customWidth="1"/>
    <col min="13" max="13" width="14.7109375" style="7" bestFit="1" customWidth="1"/>
    <col min="14" max="14" width="14.28125" style="14" bestFit="1" customWidth="1"/>
    <col min="15" max="15" width="14.28125" style="14" customWidth="1"/>
    <col min="16" max="16" width="14.00390625" style="7" bestFit="1" customWidth="1"/>
    <col min="17" max="17" width="11.57421875" style="7" bestFit="1" customWidth="1"/>
    <col min="18" max="18" width="13.8515625" style="7" bestFit="1" customWidth="1"/>
    <col min="19" max="19" width="11.421875" style="7" customWidth="1"/>
    <col min="20" max="21" width="11.421875" style="14" customWidth="1"/>
    <col min="22" max="16384" width="11.421875" style="7" customWidth="1"/>
  </cols>
  <sheetData>
    <row r="1" spans="1:28" s="6" customFormat="1" ht="23.25" customHeight="1" thickBot="1">
      <c r="A1" s="528" t="s">
        <v>204</v>
      </c>
      <c r="B1" s="529"/>
      <c r="C1" s="529"/>
      <c r="D1" s="529"/>
      <c r="E1" s="529"/>
      <c r="F1" s="529"/>
      <c r="G1" s="529"/>
      <c r="H1" s="529"/>
      <c r="I1" s="530"/>
      <c r="J1" s="1"/>
      <c r="K1" s="2"/>
      <c r="L1" s="3"/>
      <c r="M1" s="3"/>
      <c r="N1" s="3"/>
      <c r="O1" s="3"/>
      <c r="P1" s="4"/>
      <c r="Q1" s="3"/>
      <c r="R1" s="3"/>
      <c r="S1" s="3"/>
      <c r="T1" s="5"/>
      <c r="U1" s="5"/>
      <c r="V1" s="5"/>
      <c r="W1" s="5"/>
      <c r="X1" s="5"/>
      <c r="Y1" s="5"/>
      <c r="Z1" s="5"/>
      <c r="AA1" s="5"/>
      <c r="AB1" s="5"/>
    </row>
    <row r="2" spans="1:29" ht="23.25" customHeight="1">
      <c r="A2" s="536" t="s">
        <v>205</v>
      </c>
      <c r="B2" s="536"/>
      <c r="C2" s="536"/>
      <c r="D2" s="536"/>
      <c r="E2" s="536"/>
      <c r="F2" s="536"/>
      <c r="G2" s="536"/>
      <c r="H2" s="536"/>
      <c r="I2" s="536"/>
      <c r="J2" s="9"/>
      <c r="K2" s="10"/>
      <c r="L2" s="11"/>
      <c r="M2" s="11"/>
      <c r="N2" s="12"/>
      <c r="O2" s="12"/>
      <c r="P2" s="13"/>
      <c r="Q2" s="12"/>
      <c r="R2" s="12"/>
      <c r="S2" s="12"/>
      <c r="T2" s="12"/>
      <c r="U2" s="12"/>
      <c r="V2" s="12"/>
      <c r="W2" s="14"/>
      <c r="X2" s="14"/>
      <c r="Y2" s="14"/>
      <c r="Z2" s="14"/>
      <c r="AA2" s="14"/>
      <c r="AB2" s="14"/>
      <c r="AC2" s="14"/>
    </row>
    <row r="3" spans="1:29" ht="12.75" customHeight="1" thickBot="1">
      <c r="A3" s="15"/>
      <c r="B3" s="16"/>
      <c r="C3" s="17"/>
      <c r="D3" s="17"/>
      <c r="E3" s="8"/>
      <c r="F3" s="18"/>
      <c r="G3" s="2"/>
      <c r="H3" s="418"/>
      <c r="I3" s="418"/>
      <c r="J3" s="419"/>
      <c r="K3" s="420"/>
      <c r="N3" s="12"/>
      <c r="O3" s="12"/>
      <c r="P3" s="21"/>
      <c r="Q3" s="12"/>
      <c r="R3" s="12"/>
      <c r="S3" s="18"/>
      <c r="U3" s="22"/>
      <c r="V3" s="22"/>
      <c r="W3" s="14"/>
      <c r="X3" s="22"/>
      <c r="Y3" s="23"/>
      <c r="Z3" s="14"/>
      <c r="AA3" s="14"/>
      <c r="AB3" s="14"/>
      <c r="AC3" s="14"/>
    </row>
    <row r="4" spans="1:29" ht="12.75">
      <c r="A4" s="24" t="s">
        <v>92</v>
      </c>
      <c r="B4" s="421"/>
      <c r="C4" s="422" t="s">
        <v>25</v>
      </c>
      <c r="D4" s="422" t="s">
        <v>26</v>
      </c>
      <c r="E4" s="423"/>
      <c r="F4" s="25"/>
      <c r="G4" s="25"/>
      <c r="H4" s="15"/>
      <c r="I4" s="15"/>
      <c r="J4" s="25"/>
      <c r="K4" s="25"/>
      <c r="N4" s="12"/>
      <c r="O4" s="12"/>
      <c r="P4" s="12"/>
      <c r="Q4" s="12"/>
      <c r="R4" s="12"/>
      <c r="S4" s="18"/>
      <c r="U4" s="22"/>
      <c r="V4" s="22"/>
      <c r="W4" s="14"/>
      <c r="X4" s="22"/>
      <c r="Y4" s="23"/>
      <c r="Z4" s="14"/>
      <c r="AA4" s="14"/>
      <c r="AB4" s="14"/>
      <c r="AC4" s="14"/>
    </row>
    <row r="5" spans="2:29" ht="12.75">
      <c r="B5" s="424"/>
      <c r="C5" s="425" t="s">
        <v>3</v>
      </c>
      <c r="D5" s="425" t="s">
        <v>2</v>
      </c>
      <c r="E5" s="426" t="s">
        <v>27</v>
      </c>
      <c r="G5" s="25"/>
      <c r="H5" s="15"/>
      <c r="I5" s="15"/>
      <c r="J5" s="15"/>
      <c r="K5" s="25"/>
      <c r="N5" s="12"/>
      <c r="O5" s="12"/>
      <c r="P5" s="12"/>
      <c r="Q5" s="12"/>
      <c r="R5" s="12"/>
      <c r="S5" s="18"/>
      <c r="U5" s="22"/>
      <c r="V5" s="22"/>
      <c r="W5" s="14"/>
      <c r="X5" s="22"/>
      <c r="Y5" s="14"/>
      <c r="Z5" s="14"/>
      <c r="AA5" s="14"/>
      <c r="AB5" s="14"/>
      <c r="AC5" s="14"/>
    </row>
    <row r="6" spans="2:29" ht="12.75" customHeight="1">
      <c r="B6" s="427" t="s">
        <v>206</v>
      </c>
      <c r="C6" s="428">
        <v>10</v>
      </c>
      <c r="D6" s="429">
        <f>E6-C6</f>
        <v>5118</v>
      </c>
      <c r="E6" s="430">
        <v>5128</v>
      </c>
      <c r="F6" s="26"/>
      <c r="G6" s="27"/>
      <c r="H6" s="28"/>
      <c r="I6" s="28"/>
      <c r="J6" s="28"/>
      <c r="K6" s="25"/>
      <c r="N6" s="12"/>
      <c r="O6" s="12"/>
      <c r="P6" s="12"/>
      <c r="Q6" s="12"/>
      <c r="R6" s="12"/>
      <c r="S6" s="18"/>
      <c r="U6" s="22"/>
      <c r="V6" s="22"/>
      <c r="W6" s="14"/>
      <c r="X6" s="22"/>
      <c r="Y6" s="14"/>
      <c r="Z6" s="14"/>
      <c r="AA6" s="14"/>
      <c r="AB6" s="14"/>
      <c r="AC6" s="14"/>
    </row>
    <row r="7" spans="2:29" ht="12.75" customHeight="1">
      <c r="B7" s="427" t="s">
        <v>207</v>
      </c>
      <c r="C7" s="431">
        <v>20</v>
      </c>
      <c r="D7" s="429">
        <f>E7-C7</f>
        <v>5103</v>
      </c>
      <c r="E7" s="430">
        <v>5123</v>
      </c>
      <c r="F7" s="29"/>
      <c r="G7" s="30"/>
      <c r="H7" s="31"/>
      <c r="I7" s="31"/>
      <c r="J7" s="31"/>
      <c r="K7" s="25"/>
      <c r="L7" s="32"/>
      <c r="N7" s="12"/>
      <c r="O7" s="12"/>
      <c r="P7" s="12"/>
      <c r="Q7" s="12"/>
      <c r="R7" s="12"/>
      <c r="S7" s="18"/>
      <c r="U7" s="22"/>
      <c r="V7" s="22"/>
      <c r="W7" s="14"/>
      <c r="X7" s="22"/>
      <c r="Y7" s="14"/>
      <c r="Z7" s="14"/>
      <c r="AA7" s="14"/>
      <c r="AB7" s="14"/>
      <c r="AC7" s="14"/>
    </row>
    <row r="8" spans="2:29" ht="13.5" thickBot="1">
      <c r="B8" s="432" t="s">
        <v>27</v>
      </c>
      <c r="C8" s="433">
        <f>SUM(C6:C7)</f>
        <v>30</v>
      </c>
      <c r="D8" s="433">
        <f>SUM(D6:D7)</f>
        <v>10221</v>
      </c>
      <c r="E8" s="434">
        <f>SUM(E6:E7)</f>
        <v>10251</v>
      </c>
      <c r="G8" s="33"/>
      <c r="H8" s="15"/>
      <c r="I8" s="15"/>
      <c r="J8" s="15"/>
      <c r="K8" s="25"/>
      <c r="L8" s="32"/>
      <c r="O8" s="34"/>
      <c r="P8" s="35"/>
      <c r="Q8" s="35"/>
      <c r="R8" s="35"/>
      <c r="S8" s="22"/>
      <c r="U8" s="22"/>
      <c r="V8" s="22"/>
      <c r="W8" s="14"/>
      <c r="X8" s="22"/>
      <c r="Y8" s="14"/>
      <c r="Z8" s="14"/>
      <c r="AA8" s="14"/>
      <c r="AB8" s="14"/>
      <c r="AC8" s="14"/>
    </row>
    <row r="9" spans="2:29" ht="12.75" customHeight="1" hidden="1">
      <c r="B9" s="36"/>
      <c r="C9" s="37"/>
      <c r="D9" s="33"/>
      <c r="E9" s="33"/>
      <c r="G9" s="38"/>
      <c r="H9" s="15"/>
      <c r="I9" s="15"/>
      <c r="J9" s="15"/>
      <c r="L9" s="32"/>
      <c r="O9" s="34"/>
      <c r="P9" s="35"/>
      <c r="Q9" s="35"/>
      <c r="R9" s="35"/>
      <c r="S9" s="22"/>
      <c r="U9" s="22"/>
      <c r="V9" s="22"/>
      <c r="W9" s="14"/>
      <c r="X9" s="22"/>
      <c r="Y9" s="14"/>
      <c r="Z9" s="14"/>
      <c r="AA9" s="14"/>
      <c r="AB9" s="14"/>
      <c r="AC9" s="14"/>
    </row>
    <row r="10" spans="1:22" s="6" customFormat="1" ht="12.75" customHeight="1" hidden="1">
      <c r="A10" s="39" t="s">
        <v>8</v>
      </c>
      <c r="B10" s="40"/>
      <c r="C10" s="41"/>
      <c r="D10" s="3"/>
      <c r="E10" s="32"/>
      <c r="F10" s="42"/>
      <c r="G10" s="32"/>
      <c r="H10" s="43"/>
      <c r="I10" s="32"/>
      <c r="L10" s="42"/>
      <c r="O10" s="3"/>
      <c r="P10" s="44"/>
      <c r="Q10" s="44"/>
      <c r="R10" s="44"/>
      <c r="S10" s="3"/>
      <c r="T10" s="3"/>
      <c r="U10" s="3"/>
      <c r="V10" s="3"/>
    </row>
    <row r="11" spans="1:22" s="6" customFormat="1" ht="12.75" customHeight="1" hidden="1">
      <c r="A11" s="7" t="s">
        <v>208</v>
      </c>
      <c r="B11" s="40"/>
      <c r="C11" s="41"/>
      <c r="D11" s="3"/>
      <c r="E11" s="32"/>
      <c r="F11" s="42"/>
      <c r="G11" s="32"/>
      <c r="H11" s="43"/>
      <c r="I11" s="32"/>
      <c r="J11" s="45"/>
      <c r="O11" s="3"/>
      <c r="P11" s="4"/>
      <c r="Q11" s="4"/>
      <c r="R11" s="4"/>
      <c r="S11" s="3"/>
      <c r="T11" s="3"/>
      <c r="U11" s="3"/>
      <c r="V11" s="3"/>
    </row>
    <row r="12" spans="1:22" s="6" customFormat="1" ht="37.5" customHeight="1" hidden="1">
      <c r="A12" s="435" t="s">
        <v>30</v>
      </c>
      <c r="B12" s="435" t="s">
        <v>209</v>
      </c>
      <c r="C12" s="435" t="s">
        <v>6</v>
      </c>
      <c r="D12" s="435" t="s">
        <v>210</v>
      </c>
      <c r="E12" s="435" t="s">
        <v>211</v>
      </c>
      <c r="F12" s="435" t="s">
        <v>5</v>
      </c>
      <c r="G12" s="435" t="s">
        <v>0</v>
      </c>
      <c r="H12" s="435" t="s">
        <v>1</v>
      </c>
      <c r="I12" s="32"/>
      <c r="J12" s="46" t="s">
        <v>57</v>
      </c>
      <c r="K12" s="47" t="s">
        <v>0</v>
      </c>
      <c r="L12" s="47" t="s">
        <v>1</v>
      </c>
      <c r="O12" s="3"/>
      <c r="P12" s="3"/>
      <c r="Q12" s="3"/>
      <c r="R12" s="3"/>
      <c r="S12" s="3"/>
      <c r="T12" s="3"/>
      <c r="U12" s="3"/>
      <c r="V12" s="3"/>
    </row>
    <row r="13" spans="1:22" s="6" customFormat="1" ht="12.75" customHeight="1" hidden="1">
      <c r="A13" s="436">
        <f>LN((C6/E6)/(C7/E7))</f>
        <v>-0.6941226952212489</v>
      </c>
      <c r="B13" s="436">
        <f>SQRT((D6/(C6*E6)+(D7/(C7*E7))))</f>
        <v>0.38679425289627817</v>
      </c>
      <c r="C13" s="437">
        <f>-NORMSINV(2.55/100)</f>
        <v>1.951479773475859</v>
      </c>
      <c r="D13" s="437">
        <f>A13-(C13*B13)</f>
        <v>-1.4489438562450419</v>
      </c>
      <c r="E13" s="438">
        <f>A13+(C13*B13)</f>
        <v>0.06069846580254412</v>
      </c>
      <c r="F13" s="439">
        <f>(C6/E6)/(C7/E7)</f>
        <v>0.49951248049922</v>
      </c>
      <c r="G13" s="440">
        <f>EXP(D13)</f>
        <v>0.23481815890923313</v>
      </c>
      <c r="H13" s="441">
        <f>EXP(E13)</f>
        <v>1.0625784621321837</v>
      </c>
      <c r="I13" s="32"/>
      <c r="J13" s="48">
        <f>1-F13</f>
        <v>0.5004875195007801</v>
      </c>
      <c r="K13" s="49">
        <f>1-G13</f>
        <v>0.7651818410907669</v>
      </c>
      <c r="L13" s="49">
        <f>1-H13</f>
        <v>-0.06257846213218365</v>
      </c>
      <c r="M13" s="50"/>
      <c r="O13" s="3"/>
      <c r="P13" s="3"/>
      <c r="Q13" s="3"/>
      <c r="R13" s="3"/>
      <c r="S13" s="3"/>
      <c r="T13" s="3"/>
      <c r="U13" s="3"/>
      <c r="V13" s="3"/>
    </row>
    <row r="14" spans="2:22" s="6" customFormat="1" ht="12.75" customHeight="1" hidden="1">
      <c r="B14" s="40"/>
      <c r="C14" s="51"/>
      <c r="D14" s="52"/>
      <c r="E14" s="53"/>
      <c r="F14" s="54"/>
      <c r="G14" s="55"/>
      <c r="H14" s="52"/>
      <c r="I14" s="32"/>
      <c r="J14" s="42"/>
      <c r="K14" s="42"/>
      <c r="L14" s="42"/>
      <c r="O14" s="3"/>
      <c r="P14" s="3"/>
      <c r="Q14" s="3"/>
      <c r="R14" s="3"/>
      <c r="S14" s="3"/>
      <c r="T14" s="3"/>
      <c r="U14" s="3"/>
      <c r="V14" s="3"/>
    </row>
    <row r="15" spans="2:13" s="14" customFormat="1" ht="12.75" customHeight="1" hidden="1">
      <c r="B15" s="56"/>
      <c r="C15" s="57"/>
      <c r="D15" s="58"/>
      <c r="E15" s="59"/>
      <c r="F15" s="60"/>
      <c r="G15" s="61"/>
      <c r="H15" s="62"/>
      <c r="I15" s="63"/>
      <c r="L15" s="64"/>
      <c r="M15" s="64"/>
    </row>
    <row r="16" spans="1:28" ht="18.75" customHeight="1" hidden="1">
      <c r="A16" s="65" t="s">
        <v>38</v>
      </c>
      <c r="B16" s="66"/>
      <c r="C16" s="67"/>
      <c r="D16" s="68"/>
      <c r="E16" s="63"/>
      <c r="F16" s="63"/>
      <c r="G16" s="63"/>
      <c r="H16" s="69"/>
      <c r="I16" s="63"/>
      <c r="J16" s="14"/>
      <c r="K16" s="70"/>
      <c r="L16" s="3"/>
      <c r="M16" s="71"/>
      <c r="N16" s="71"/>
      <c r="O16" s="3"/>
      <c r="P16" s="3"/>
      <c r="Q16" s="72"/>
      <c r="R16" s="71"/>
      <c r="S16" s="73"/>
      <c r="T16" s="73"/>
      <c r="U16" s="73"/>
      <c r="V16" s="14"/>
      <c r="W16" s="14"/>
      <c r="X16" s="14"/>
      <c r="Y16" s="14"/>
      <c r="Z16" s="14"/>
      <c r="AA16" s="14"/>
      <c r="AB16" s="14"/>
    </row>
    <row r="17" spans="1:27" ht="12.75" customHeight="1" hidden="1">
      <c r="A17" s="74" t="s">
        <v>15</v>
      </c>
      <c r="B17" s="75" t="s">
        <v>14</v>
      </c>
      <c r="C17" s="76"/>
      <c r="D17" s="77"/>
      <c r="E17" s="78"/>
      <c r="F17" s="78"/>
      <c r="G17" s="78"/>
      <c r="H17" s="79"/>
      <c r="I17" s="78"/>
      <c r="J17" s="80"/>
      <c r="K17" s="81"/>
      <c r="L17" s="82"/>
      <c r="M17" s="71"/>
      <c r="N17" s="3"/>
      <c r="O17" s="3"/>
      <c r="P17" s="72"/>
      <c r="Q17" s="71"/>
      <c r="R17" s="73"/>
      <c r="S17" s="73"/>
      <c r="T17" s="73"/>
      <c r="V17" s="14" t="s">
        <v>36</v>
      </c>
      <c r="W17" s="14"/>
      <c r="X17" s="14"/>
      <c r="Y17" s="14"/>
      <c r="Z17" s="14"/>
      <c r="AA17" s="14"/>
    </row>
    <row r="18" spans="1:29" ht="13.5" customHeight="1" hidden="1" thickBot="1">
      <c r="A18" s="83" t="s">
        <v>179</v>
      </c>
      <c r="B18" s="84" t="s">
        <v>11</v>
      </c>
      <c r="C18" s="85"/>
      <c r="D18" s="84" t="s">
        <v>180</v>
      </c>
      <c r="E18" s="84"/>
      <c r="F18" s="84" t="s">
        <v>9</v>
      </c>
      <c r="G18" s="84"/>
      <c r="H18" s="84" t="s">
        <v>10</v>
      </c>
      <c r="I18" s="86"/>
      <c r="J18" s="86"/>
      <c r="K18" s="86"/>
      <c r="L18" s="82"/>
      <c r="M18" s="14"/>
      <c r="O18" s="7"/>
      <c r="S18" s="14"/>
      <c r="U18" s="7"/>
      <c r="V18" s="7" t="s">
        <v>37</v>
      </c>
      <c r="X18" s="87"/>
      <c r="Y18" s="87"/>
      <c r="Z18" s="87"/>
      <c r="AA18" s="87"/>
      <c r="AB18" s="87"/>
      <c r="AC18" s="87"/>
    </row>
    <row r="19" spans="1:29" ht="38.25" customHeight="1" hidden="1">
      <c r="A19" s="88" t="s">
        <v>4</v>
      </c>
      <c r="B19" s="88" t="s">
        <v>31</v>
      </c>
      <c r="C19" s="89" t="s">
        <v>12</v>
      </c>
      <c r="D19" s="89" t="s">
        <v>11</v>
      </c>
      <c r="E19" s="89" t="s">
        <v>180</v>
      </c>
      <c r="F19" s="89" t="s">
        <v>9</v>
      </c>
      <c r="G19" s="89" t="s">
        <v>10</v>
      </c>
      <c r="H19" s="90" t="s">
        <v>6</v>
      </c>
      <c r="I19" s="91" t="s">
        <v>32</v>
      </c>
      <c r="J19" s="442" t="s">
        <v>0</v>
      </c>
      <c r="K19" s="443" t="s">
        <v>1</v>
      </c>
      <c r="L19" s="92"/>
      <c r="M19" s="93"/>
      <c r="N19" s="94" t="s">
        <v>17</v>
      </c>
      <c r="O19" s="95" t="s">
        <v>181</v>
      </c>
      <c r="P19" s="96"/>
      <c r="Q19" s="97"/>
      <c r="R19" s="98"/>
      <c r="S19" s="98"/>
      <c r="T19" s="99"/>
      <c r="V19" s="100"/>
      <c r="W19" s="94" t="s">
        <v>182</v>
      </c>
      <c r="X19" s="95" t="s">
        <v>33</v>
      </c>
      <c r="Y19" s="101"/>
      <c r="Z19" s="101"/>
      <c r="AA19" s="101"/>
      <c r="AB19" s="101"/>
      <c r="AC19" s="102"/>
    </row>
    <row r="20" spans="1:29" ht="12.75" customHeight="1" hidden="1">
      <c r="A20" s="103">
        <f>C6</f>
        <v>10</v>
      </c>
      <c r="B20" s="103">
        <f>E6</f>
        <v>5128</v>
      </c>
      <c r="C20" s="104">
        <f>A20/B20</f>
        <v>0.0019500780031201249</v>
      </c>
      <c r="D20" s="105">
        <f>2*A20+H20^2</f>
        <v>23.841458820694125</v>
      </c>
      <c r="E20" s="105">
        <f>H20*SQRT((H20^2)+(4*A20*(1-C20)))</f>
        <v>12.965936638940072</v>
      </c>
      <c r="F20" s="106">
        <f>2*(B20+H20^2)</f>
        <v>10263.682917641388</v>
      </c>
      <c r="G20" s="107" t="s">
        <v>13</v>
      </c>
      <c r="H20" s="108">
        <f>-NORMSINV(2.5/100)</f>
        <v>1.9599639845400538</v>
      </c>
      <c r="I20" s="109">
        <f>C20</f>
        <v>0.0019500780031201249</v>
      </c>
      <c r="J20" s="110">
        <f>(D20-E20)/F20</f>
        <v>0.0010596120582662414</v>
      </c>
      <c r="K20" s="111">
        <f>(D20+E20)/F20</f>
        <v>0.0035861781540784967</v>
      </c>
      <c r="L20" s="92"/>
      <c r="M20" s="112">
        <f>B20</f>
        <v>5128</v>
      </c>
      <c r="N20" s="25" t="s">
        <v>18</v>
      </c>
      <c r="O20" s="3"/>
      <c r="P20" s="72"/>
      <c r="Q20" s="71"/>
      <c r="R20" s="73"/>
      <c r="S20" s="73"/>
      <c r="T20" s="113"/>
      <c r="V20" s="114">
        <f>ABS(C20-C21)</f>
        <v>0.0019538845188396643</v>
      </c>
      <c r="W20" s="25" t="s">
        <v>34</v>
      </c>
      <c r="X20" s="3"/>
      <c r="Y20" s="25"/>
      <c r="Z20" s="25"/>
      <c r="AA20" s="25"/>
      <c r="AB20" s="25"/>
      <c r="AC20" s="115"/>
    </row>
    <row r="21" spans="1:29" ht="12.75" customHeight="1" hidden="1">
      <c r="A21" s="103">
        <f>C7</f>
        <v>20</v>
      </c>
      <c r="B21" s="103">
        <f>E7</f>
        <v>5123</v>
      </c>
      <c r="C21" s="104">
        <f>A21/B21</f>
        <v>0.003903962521959789</v>
      </c>
      <c r="D21" s="105">
        <f>2*A21+H21^2</f>
        <v>43.84145882069412</v>
      </c>
      <c r="E21" s="105">
        <f>H21*SQRT((H21^2)+(4*A21*(1-C21)))</f>
        <v>17.912949467504433</v>
      </c>
      <c r="F21" s="106">
        <f>2*(B21+H21^2)</f>
        <v>10253.682917641388</v>
      </c>
      <c r="G21" s="107" t="s">
        <v>13</v>
      </c>
      <c r="H21" s="108">
        <f>-NORMSINV(2.5/100)</f>
        <v>1.9599639845400538</v>
      </c>
      <c r="I21" s="109">
        <f>C21</f>
        <v>0.003903962521959789</v>
      </c>
      <c r="J21" s="110">
        <f>(D21-E21)/F21</f>
        <v>0.0025287020830905426</v>
      </c>
      <c r="K21" s="111">
        <f>(D21+E21)/F21</f>
        <v>0.006022656325948068</v>
      </c>
      <c r="L21" s="92"/>
      <c r="M21" s="116">
        <f>I25</f>
        <v>0.0019538845188396643</v>
      </c>
      <c r="N21" s="25" t="s">
        <v>19</v>
      </c>
      <c r="O21" s="25"/>
      <c r="P21" s="25"/>
      <c r="Q21" s="25"/>
      <c r="R21" s="25"/>
      <c r="S21" s="25"/>
      <c r="T21" s="117"/>
      <c r="V21" s="118">
        <f>SQRT((C22*(1-C22)/B20)+(C22*(1-C22)/B21))</f>
        <v>0.001067057981284661</v>
      </c>
      <c r="W21" s="119" t="s">
        <v>35</v>
      </c>
      <c r="X21" s="25"/>
      <c r="Y21" s="25"/>
      <c r="Z21" s="25"/>
      <c r="AA21" s="25"/>
      <c r="AB21" s="25"/>
      <c r="AC21" s="115"/>
    </row>
    <row r="22" spans="1:29" ht="12.75" customHeight="1" hidden="1">
      <c r="A22" s="120">
        <f>A20+A21</f>
        <v>30</v>
      </c>
      <c r="B22" s="120">
        <f>B20+B21</f>
        <v>10251</v>
      </c>
      <c r="C22" s="121">
        <f>A22/B22</f>
        <v>0.0029265437518290896</v>
      </c>
      <c r="D22" s="122"/>
      <c r="E22" s="122"/>
      <c r="F22" s="123"/>
      <c r="G22" s="28"/>
      <c r="H22" s="124"/>
      <c r="I22" s="125"/>
      <c r="J22" s="125"/>
      <c r="K22" s="125"/>
      <c r="L22" s="92"/>
      <c r="M22" s="126">
        <f>(A20+A21)/(B20+B21)</f>
        <v>0.0029265437518290896</v>
      </c>
      <c r="N22" s="25" t="s">
        <v>7</v>
      </c>
      <c r="O22" s="3"/>
      <c r="P22" s="72"/>
      <c r="Q22" s="71"/>
      <c r="R22" s="73"/>
      <c r="S22" s="73"/>
      <c r="T22" s="115"/>
      <c r="V22" s="127">
        <f>V20/V21</f>
        <v>1.8310949855670713</v>
      </c>
      <c r="W22" s="25" t="s">
        <v>56</v>
      </c>
      <c r="X22" s="3"/>
      <c r="Y22" s="25"/>
      <c r="Z22" s="25"/>
      <c r="AA22" s="25"/>
      <c r="AB22" s="25"/>
      <c r="AC22" s="115"/>
    </row>
    <row r="23" spans="1:29" ht="12.75" customHeight="1" hidden="1">
      <c r="A23" s="84"/>
      <c r="B23" s="75" t="s">
        <v>16</v>
      </c>
      <c r="C23" s="84"/>
      <c r="D23" s="84"/>
      <c r="E23" s="78"/>
      <c r="F23" s="78"/>
      <c r="G23" s="78"/>
      <c r="H23" s="79"/>
      <c r="I23" s="78"/>
      <c r="J23" s="80"/>
      <c r="K23" s="84"/>
      <c r="L23" s="92"/>
      <c r="M23" s="444">
        <f>SQRT(M20*M21^2/(2*M22*(1-M22)))-H20</f>
        <v>-0.128422270579313</v>
      </c>
      <c r="N23" s="25" t="s">
        <v>183</v>
      </c>
      <c r="O23" s="25"/>
      <c r="P23" s="25"/>
      <c r="Q23" s="25"/>
      <c r="R23" s="25"/>
      <c r="S23" s="6"/>
      <c r="T23" s="113"/>
      <c r="V23" s="445">
        <f>NORMSDIST(-V22)</f>
        <v>0.03354318342746637</v>
      </c>
      <c r="W23" s="70" t="s">
        <v>62</v>
      </c>
      <c r="X23" s="25"/>
      <c r="Y23" s="6"/>
      <c r="Z23" s="6"/>
      <c r="AA23" s="6"/>
      <c r="AB23" s="6"/>
      <c r="AC23" s="117"/>
    </row>
    <row r="24" spans="1:29" ht="13.5" customHeight="1" hidden="1" thickBot="1">
      <c r="A24" s="84"/>
      <c r="B24" s="75" t="s">
        <v>184</v>
      </c>
      <c r="C24" s="76"/>
      <c r="D24" s="77"/>
      <c r="E24" s="78"/>
      <c r="F24" s="78"/>
      <c r="I24" s="128"/>
      <c r="J24" s="128"/>
      <c r="K24" s="128"/>
      <c r="L24" s="92"/>
      <c r="M24" s="446">
        <f>NORMSDIST(M23)</f>
        <v>0.4489074038533978</v>
      </c>
      <c r="N24" s="70" t="s">
        <v>21</v>
      </c>
      <c r="O24" s="129"/>
      <c r="P24" s="25"/>
      <c r="Q24" s="25"/>
      <c r="R24" s="25"/>
      <c r="S24" s="25"/>
      <c r="T24" s="115"/>
      <c r="V24" s="130">
        <f>1-V23</f>
        <v>0.9664568165725336</v>
      </c>
      <c r="W24" s="131" t="s">
        <v>212</v>
      </c>
      <c r="X24" s="129"/>
      <c r="Y24" s="6"/>
      <c r="Z24" s="6"/>
      <c r="AA24" s="6"/>
      <c r="AB24" s="6"/>
      <c r="AC24" s="117"/>
    </row>
    <row r="25" spans="1:29" ht="15" customHeight="1" hidden="1" thickBot="1">
      <c r="A25" s="132" t="s">
        <v>91</v>
      </c>
      <c r="B25" s="133"/>
      <c r="D25" s="76"/>
      <c r="E25" s="134" t="s">
        <v>59</v>
      </c>
      <c r="F25" s="84"/>
      <c r="G25" s="76"/>
      <c r="H25" s="135" t="s">
        <v>28</v>
      </c>
      <c r="I25" s="136">
        <f>C21-C20</f>
        <v>0.0019538845188396643</v>
      </c>
      <c r="J25" s="137">
        <f>I25+SQRT((C21-J21)^2+(K20-C20)^2)</f>
        <v>0.004091211115007138</v>
      </c>
      <c r="K25" s="138">
        <f>I25-SQRT((C20-J20)^2+(K21-C21)^2)</f>
        <v>-0.00034433066560300317</v>
      </c>
      <c r="L25" s="25"/>
      <c r="M25" s="447">
        <f>1-M24</f>
        <v>0.5510925961466022</v>
      </c>
      <c r="N25" s="139" t="s">
        <v>20</v>
      </c>
      <c r="O25" s="140"/>
      <c r="P25" s="141"/>
      <c r="Q25" s="140"/>
      <c r="R25" s="140"/>
      <c r="S25" s="140"/>
      <c r="T25" s="142"/>
      <c r="V25" s="143"/>
      <c r="W25" s="144"/>
      <c r="X25" s="140"/>
      <c r="Y25" s="144"/>
      <c r="Z25" s="144"/>
      <c r="AA25" s="144"/>
      <c r="AB25" s="144"/>
      <c r="AC25" s="145"/>
    </row>
    <row r="26" spans="3:28" ht="13.5" customHeight="1" hidden="1" thickBot="1">
      <c r="C26" s="146"/>
      <c r="E26" s="147"/>
      <c r="H26" s="148" t="s">
        <v>29</v>
      </c>
      <c r="I26" s="149">
        <f>1/I25</f>
        <v>511.8009740892266</v>
      </c>
      <c r="J26" s="150">
        <f>1/J25</f>
        <v>244.42639890468112</v>
      </c>
      <c r="K26" s="151">
        <f>1/K25</f>
        <v>-2904.185133347816</v>
      </c>
      <c r="L26" s="33"/>
      <c r="N26" s="7"/>
      <c r="O26" s="7"/>
      <c r="T26" s="7"/>
      <c r="U26" s="7"/>
      <c r="V26" s="14"/>
      <c r="W26" s="14"/>
      <c r="X26" s="14"/>
      <c r="Y26" s="14"/>
      <c r="Z26" s="14"/>
      <c r="AA26" s="14"/>
      <c r="AB26" s="14"/>
    </row>
    <row r="27" spans="1:21" ht="12.75" customHeight="1" hidden="1">
      <c r="A27" s="6"/>
      <c r="B27" s="152"/>
      <c r="C27" s="146"/>
      <c r="D27" s="153"/>
      <c r="I27" s="154"/>
      <c r="J27" s="155"/>
      <c r="K27" s="155"/>
      <c r="L27" s="156"/>
      <c r="M27" s="156"/>
      <c r="N27" s="8"/>
      <c r="O27" s="8"/>
      <c r="P27" s="8"/>
      <c r="Q27" s="8"/>
      <c r="R27" s="8"/>
      <c r="S27" s="8"/>
      <c r="T27" s="7"/>
      <c r="U27" s="7"/>
    </row>
    <row r="28" spans="1:21" ht="15.75" customHeight="1" hidden="1">
      <c r="A28" s="45"/>
      <c r="B28" s="45"/>
      <c r="C28" s="152"/>
      <c r="D28" s="153"/>
      <c r="E28" s="157"/>
      <c r="F28" s="158"/>
      <c r="G28" s="159" t="s">
        <v>82</v>
      </c>
      <c r="H28" s="160" t="s">
        <v>83</v>
      </c>
      <c r="I28" s="161">
        <f>I26</f>
        <v>511.8009740892266</v>
      </c>
      <c r="J28" s="161">
        <f>J26</f>
        <v>244.42639890468112</v>
      </c>
      <c r="K28" s="161">
        <f>K26</f>
        <v>-2904.185133347816</v>
      </c>
      <c r="L28" s="38"/>
      <c r="T28" s="7"/>
      <c r="U28" s="7"/>
    </row>
    <row r="29" spans="1:19" s="6" customFormat="1" ht="12.75" customHeight="1" hidden="1">
      <c r="A29" s="32"/>
      <c r="B29" s="153"/>
      <c r="C29" s="153"/>
      <c r="D29" s="162"/>
      <c r="E29" s="163"/>
      <c r="F29" s="164"/>
      <c r="G29" s="165"/>
      <c r="H29" s="166" t="s">
        <v>86</v>
      </c>
      <c r="I29" s="167">
        <f>(1-C21)*I26</f>
        <v>509.8029222676797</v>
      </c>
      <c r="J29" s="167">
        <f>(1-C21)*J26</f>
        <v>243.47216740397965</v>
      </c>
      <c r="K29" s="167">
        <f>(1-C21)*K26</f>
        <v>-2892.8473034303934</v>
      </c>
      <c r="L29" s="7"/>
      <c r="M29" s="7"/>
      <c r="N29" s="14"/>
      <c r="O29" s="14"/>
      <c r="P29" s="7"/>
      <c r="Q29" s="7"/>
      <c r="R29" s="7"/>
      <c r="S29" s="7"/>
    </row>
    <row r="30" spans="2:11" s="6" customFormat="1" ht="12.75" customHeight="1" hidden="1">
      <c r="B30" s="152"/>
      <c r="C30" s="152"/>
      <c r="D30" s="152"/>
      <c r="E30" s="168"/>
      <c r="F30" s="169"/>
      <c r="G30" s="170"/>
      <c r="H30" s="171" t="s">
        <v>89</v>
      </c>
      <c r="I30" s="172">
        <f>I26*I25</f>
        <v>1</v>
      </c>
      <c r="J30" s="172">
        <f>J26*J25</f>
        <v>1</v>
      </c>
      <c r="K30" s="172">
        <f>K26*K25</f>
        <v>1</v>
      </c>
    </row>
    <row r="31" spans="1:11" s="6" customFormat="1" ht="12.75" customHeight="1" hidden="1">
      <c r="A31" s="42"/>
      <c r="B31" s="173"/>
      <c r="D31" s="42"/>
      <c r="F31" s="174"/>
      <c r="G31" s="175"/>
      <c r="H31" s="176" t="s">
        <v>90</v>
      </c>
      <c r="I31" s="177">
        <f>(C21-I25)*I26</f>
        <v>0.9980518215468538</v>
      </c>
      <c r="J31" s="177">
        <f>(C21-J25)*J26</f>
        <v>-0.04576849929853167</v>
      </c>
      <c r="K31" s="177">
        <f>(C21-K25)*K26</f>
        <v>-12.337829917422665</v>
      </c>
    </row>
    <row r="32" spans="1:11" s="6" customFormat="1" ht="12.75" customHeight="1" hidden="1">
      <c r="A32" s="42"/>
      <c r="F32" s="178"/>
      <c r="G32" s="178"/>
      <c r="H32" s="178"/>
      <c r="I32" s="179"/>
      <c r="J32" s="179"/>
      <c r="K32" s="179"/>
    </row>
    <row r="33" spans="5:16" s="6" customFormat="1" ht="15.75" customHeight="1" hidden="1">
      <c r="E33" s="180"/>
      <c r="F33" s="181"/>
      <c r="G33" s="159" t="s">
        <v>84</v>
      </c>
      <c r="H33" s="160" t="s">
        <v>85</v>
      </c>
      <c r="I33" s="161">
        <f>ABS(I26)</f>
        <v>511.8009740892266</v>
      </c>
      <c r="J33" s="161">
        <f>ABS(K26)</f>
        <v>2904.185133347816</v>
      </c>
      <c r="K33" s="161">
        <f>ABS(J26)</f>
        <v>244.42639890468112</v>
      </c>
      <c r="M33" s="182"/>
      <c r="N33" s="182"/>
      <c r="O33" s="183"/>
      <c r="P33" s="184"/>
    </row>
    <row r="34" spans="6:16" s="6" customFormat="1" ht="13.5" customHeight="1" hidden="1">
      <c r="F34" s="185"/>
      <c r="G34" s="186"/>
      <c r="H34" s="187" t="s">
        <v>86</v>
      </c>
      <c r="I34" s="167">
        <f>ABS((1-(C21-I25))*I26)</f>
        <v>510.8029222676798</v>
      </c>
      <c r="J34" s="167">
        <f>ABS((1-(C21-K25))*K26)</f>
        <v>2891.8473034303934</v>
      </c>
      <c r="K34" s="167">
        <f>ABS((1-(C21-J25))*J26)</f>
        <v>244.47216740397968</v>
      </c>
      <c r="M34" s="182"/>
      <c r="N34" s="182"/>
      <c r="O34" s="182"/>
      <c r="P34" s="184"/>
    </row>
    <row r="35" spans="5:11" s="6" customFormat="1" ht="12.75" customHeight="1" hidden="1">
      <c r="E35" s="188"/>
      <c r="F35" s="189"/>
      <c r="G35" s="190"/>
      <c r="H35" s="191" t="s">
        <v>87</v>
      </c>
      <c r="I35" s="192">
        <f>I26*I25</f>
        <v>1</v>
      </c>
      <c r="J35" s="193">
        <f>K26*K25</f>
        <v>1</v>
      </c>
      <c r="K35" s="193">
        <f>J26*J25</f>
        <v>1</v>
      </c>
    </row>
    <row r="36" spans="1:21" ht="15.75" customHeight="1" hidden="1">
      <c r="A36" s="194" t="s">
        <v>50</v>
      </c>
      <c r="B36" s="195"/>
      <c r="C36" s="195"/>
      <c r="D36" s="195"/>
      <c r="E36" s="178"/>
      <c r="F36" s="196"/>
      <c r="G36" s="197"/>
      <c r="H36" s="198" t="s">
        <v>88</v>
      </c>
      <c r="I36" s="177">
        <f>ABS(C21*I26)</f>
        <v>1.9980518215468537</v>
      </c>
      <c r="J36" s="177">
        <f>ABS(C21*K26)</f>
        <v>11.337829917422667</v>
      </c>
      <c r="K36" s="177">
        <f>ABS(C21*J26)</f>
        <v>0.9542315007014683</v>
      </c>
      <c r="M36" s="6"/>
      <c r="N36" s="6"/>
      <c r="O36" s="6"/>
      <c r="P36" s="6"/>
      <c r="Q36" s="6"/>
      <c r="T36" s="7"/>
      <c r="U36" s="7"/>
    </row>
    <row r="37" spans="1:17" s="14" customFormat="1" ht="12.75" customHeight="1" hidden="1">
      <c r="A37" s="7"/>
      <c r="B37" s="199" t="s">
        <v>25</v>
      </c>
      <c r="C37" s="200" t="s">
        <v>26</v>
      </c>
      <c r="D37" s="25"/>
      <c r="E37" s="178"/>
      <c r="F37" s="178"/>
      <c r="G37" s="201"/>
      <c r="H37" s="202"/>
      <c r="I37" s="203"/>
      <c r="J37" s="203"/>
      <c r="K37" s="203"/>
      <c r="M37" s="6"/>
      <c r="N37" s="6"/>
      <c r="O37" s="6"/>
      <c r="P37" s="6"/>
      <c r="Q37" s="6"/>
    </row>
    <row r="38" spans="1:21" ht="12.75" customHeight="1" hidden="1">
      <c r="A38" s="204" t="s">
        <v>42</v>
      </c>
      <c r="B38" s="205" t="s">
        <v>3</v>
      </c>
      <c r="C38" s="206" t="s">
        <v>2</v>
      </c>
      <c r="D38" s="207" t="s">
        <v>27</v>
      </c>
      <c r="M38" s="6"/>
      <c r="N38" s="6"/>
      <c r="O38" s="6"/>
      <c r="P38" s="6"/>
      <c r="Q38" s="6"/>
      <c r="T38" s="7"/>
      <c r="U38" s="7"/>
    </row>
    <row r="39" spans="1:21" ht="13.5" customHeight="1" hidden="1">
      <c r="A39" s="208" t="s">
        <v>22</v>
      </c>
      <c r="B39" s="209">
        <f>E6*C8/E8</f>
        <v>15.007316359379573</v>
      </c>
      <c r="C39" s="209">
        <f>E6*D8/E8</f>
        <v>5112.99268364062</v>
      </c>
      <c r="D39" s="209">
        <f>E6</f>
        <v>5128</v>
      </c>
      <c r="F39" s="210"/>
      <c r="G39" s="211" t="s">
        <v>40</v>
      </c>
      <c r="H39" s="212">
        <f>CHIINV(0.05,J40)</f>
        <v>3.8414588206941236</v>
      </c>
      <c r="M39" s="6"/>
      <c r="N39" s="182"/>
      <c r="O39" s="182"/>
      <c r="P39" s="182"/>
      <c r="Q39" s="6"/>
      <c r="T39" s="7"/>
      <c r="U39" s="7"/>
    </row>
    <row r="40" spans="1:21" ht="12.75" customHeight="1" hidden="1">
      <c r="A40" s="213" t="s">
        <v>23</v>
      </c>
      <c r="B40" s="209">
        <f>E7*C8/E8</f>
        <v>14.992683640620427</v>
      </c>
      <c r="C40" s="209">
        <f>E7*D8/E8</f>
        <v>5108.00731635938</v>
      </c>
      <c r="D40" s="209">
        <f>E7</f>
        <v>5123</v>
      </c>
      <c r="E40" s="14"/>
      <c r="F40" s="214"/>
      <c r="G40" s="214"/>
      <c r="H40" s="158"/>
      <c r="I40" s="215" t="s">
        <v>41</v>
      </c>
      <c r="J40" s="216">
        <f>(COUNT(B39:C39)-1)*(COUNT(B39:B40)-1)</f>
        <v>1</v>
      </c>
      <c r="N40" s="182"/>
      <c r="O40" s="182"/>
      <c r="P40" s="182"/>
      <c r="Q40" s="6"/>
      <c r="T40" s="7"/>
      <c r="U40" s="7"/>
    </row>
    <row r="41" spans="1:21" ht="12.75" customHeight="1" hidden="1">
      <c r="A41" s="76" t="s">
        <v>39</v>
      </c>
      <c r="B41" s="209">
        <f>SUM(B39:B40)</f>
        <v>30</v>
      </c>
      <c r="C41" s="209">
        <f>SUM(C39:C40)</f>
        <v>10221</v>
      </c>
      <c r="D41" s="217">
        <f>SUM(D39:D40)</f>
        <v>10251</v>
      </c>
      <c r="E41" s="14"/>
      <c r="F41" s="14"/>
      <c r="G41" s="218" t="s">
        <v>43</v>
      </c>
      <c r="H41" s="25" t="s">
        <v>44</v>
      </c>
      <c r="N41" s="182"/>
      <c r="O41" s="183"/>
      <c r="P41" s="182"/>
      <c r="Q41" s="6"/>
      <c r="T41" s="7"/>
      <c r="U41" s="7"/>
    </row>
    <row r="42" spans="1:21" ht="12.75" customHeight="1" hidden="1">
      <c r="A42" s="76"/>
      <c r="B42" s="219"/>
      <c r="C42" s="219"/>
      <c r="D42" s="220"/>
      <c r="E42" s="14"/>
      <c r="F42" s="14"/>
      <c r="G42" s="218" t="s">
        <v>45</v>
      </c>
      <c r="H42" s="25" t="s">
        <v>46</v>
      </c>
      <c r="N42" s="184"/>
      <c r="O42" s="184"/>
      <c r="P42" s="184"/>
      <c r="Q42" s="6"/>
      <c r="T42" s="7"/>
      <c r="U42" s="7"/>
    </row>
    <row r="43" spans="1:21" ht="26.25" customHeight="1" hidden="1">
      <c r="A43" s="221"/>
      <c r="B43" s="531" t="s">
        <v>53</v>
      </c>
      <c r="C43" s="532"/>
      <c r="F43" s="76"/>
      <c r="G43" s="222"/>
      <c r="H43" s="84"/>
      <c r="N43" s="7"/>
      <c r="O43" s="7"/>
      <c r="T43" s="7"/>
      <c r="U43" s="7"/>
    </row>
    <row r="44" spans="1:21" ht="12.75" customHeight="1" hidden="1">
      <c r="A44" s="221"/>
      <c r="B44" s="223">
        <f>(C6-B39)^2/B39</f>
        <v>1.670732896041039</v>
      </c>
      <c r="C44" s="223">
        <f>(D6-C39)^2/C39</f>
        <v>0.004903824173880668</v>
      </c>
      <c r="E44" s="204"/>
      <c r="F44" s="224"/>
      <c r="I44" s="6"/>
      <c r="J44" s="6"/>
      <c r="K44" s="19"/>
      <c r="N44" s="7"/>
      <c r="O44" s="7"/>
      <c r="T44" s="7"/>
      <c r="U44" s="7"/>
    </row>
    <row r="45" spans="1:21" ht="12.75" customHeight="1" hidden="1">
      <c r="A45" s="221"/>
      <c r="B45" s="223">
        <f>(C7-B40)^2/B40</f>
        <v>1.6723635156936265</v>
      </c>
      <c r="C45" s="223">
        <f>(D7-C40)^2/C40</f>
        <v>0.004908610260327945</v>
      </c>
      <c r="D45" s="20"/>
      <c r="E45" s="225" t="s">
        <v>47</v>
      </c>
      <c r="F45" s="226">
        <f>B47-H39</f>
        <v>-0.48854997452524973</v>
      </c>
      <c r="I45" s="6"/>
      <c r="J45" s="6"/>
      <c r="N45" s="7"/>
      <c r="O45" s="7"/>
      <c r="T45" s="7"/>
      <c r="U45" s="7"/>
    </row>
    <row r="46" spans="1:21" ht="13.5" customHeight="1" hidden="1" thickBot="1">
      <c r="A46" s="25" t="s">
        <v>49</v>
      </c>
      <c r="C46" s="227"/>
      <c r="F46" s="84" t="s">
        <v>51</v>
      </c>
      <c r="I46" s="6"/>
      <c r="J46" s="6"/>
      <c r="N46" s="7"/>
      <c r="O46" s="7"/>
      <c r="T46" s="7"/>
      <c r="U46" s="7"/>
    </row>
    <row r="47" spans="1:21" ht="13.5" customHeight="1" hidden="1" thickBot="1">
      <c r="A47" s="228" t="s">
        <v>48</v>
      </c>
      <c r="B47" s="229">
        <f>SUM(B44:C45)</f>
        <v>3.352908846168874</v>
      </c>
      <c r="C47" s="25"/>
      <c r="F47" s="84" t="s">
        <v>52</v>
      </c>
      <c r="H47" s="230"/>
      <c r="I47" s="6"/>
      <c r="J47" s="6"/>
      <c r="K47" s="231"/>
      <c r="N47" s="7"/>
      <c r="O47" s="7"/>
      <c r="T47" s="7"/>
      <c r="U47" s="7"/>
    </row>
    <row r="48" spans="1:21" ht="14.25" customHeight="1" hidden="1" thickBot="1">
      <c r="A48" s="232" t="s">
        <v>185</v>
      </c>
      <c r="B48" s="233">
        <f>CHIDIST(B47,1)</f>
        <v>0.06708636685493274</v>
      </c>
      <c r="D48" s="25"/>
      <c r="E48" s="25"/>
      <c r="F48" s="25"/>
      <c r="G48" s="234"/>
      <c r="H48" s="25"/>
      <c r="I48" s="6"/>
      <c r="J48" s="6"/>
      <c r="K48" s="25"/>
      <c r="N48" s="7"/>
      <c r="O48" s="7"/>
      <c r="T48" s="7"/>
      <c r="U48" s="7"/>
    </row>
    <row r="49" spans="4:8" s="6" customFormat="1" ht="12.75" customHeight="1" hidden="1">
      <c r="D49" s="235"/>
      <c r="E49" s="235"/>
      <c r="H49" s="236"/>
    </row>
    <row r="50" spans="9:21" ht="12.75" customHeight="1" hidden="1">
      <c r="I50" s="6"/>
      <c r="J50" s="6"/>
      <c r="N50" s="7"/>
      <c r="O50" s="7"/>
      <c r="T50" s="7"/>
      <c r="U50" s="7"/>
    </row>
    <row r="51" spans="6:21" ht="13.5" customHeight="1" hidden="1" thickBot="1">
      <c r="F51" s="154"/>
      <c r="I51" s="6"/>
      <c r="J51" s="6"/>
      <c r="N51" s="7"/>
      <c r="O51" s="7"/>
      <c r="T51" s="7"/>
      <c r="U51" s="7"/>
    </row>
    <row r="52" spans="1:21" ht="13.5" customHeight="1" hidden="1" thickBot="1">
      <c r="A52" s="237" t="s">
        <v>213</v>
      </c>
      <c r="B52" s="238"/>
      <c r="C52" s="238"/>
      <c r="D52" s="239" t="s">
        <v>73</v>
      </c>
      <c r="E52" s="239" t="s">
        <v>74</v>
      </c>
      <c r="F52" s="239" t="s">
        <v>75</v>
      </c>
      <c r="G52" s="102"/>
      <c r="I52" s="6"/>
      <c r="J52" s="6"/>
      <c r="N52" s="7"/>
      <c r="O52" s="7"/>
      <c r="T52" s="7"/>
      <c r="U52" s="7"/>
    </row>
    <row r="53" spans="1:21" ht="12.75" customHeight="1" hidden="1">
      <c r="A53" s="240" t="s">
        <v>63</v>
      </c>
      <c r="B53" s="241">
        <f>ROUND(E6,0)</f>
        <v>5128</v>
      </c>
      <c r="C53" s="241">
        <f>ROUND(E7,0)</f>
        <v>5123</v>
      </c>
      <c r="D53" s="242">
        <f>ROUND(F13,2)</f>
        <v>0.5</v>
      </c>
      <c r="E53" s="243">
        <f>ROUND(I25,4)</f>
        <v>0.002</v>
      </c>
      <c r="F53" s="244">
        <f>ROUND(I26,0)</f>
        <v>512</v>
      </c>
      <c r="G53" s="115"/>
      <c r="I53" s="6"/>
      <c r="J53" s="6"/>
      <c r="N53" s="7"/>
      <c r="O53" s="7"/>
      <c r="T53" s="7"/>
      <c r="U53" s="7"/>
    </row>
    <row r="54" spans="1:21" ht="12.75" customHeight="1" hidden="1">
      <c r="A54" s="245" t="s">
        <v>65</v>
      </c>
      <c r="B54" s="241">
        <f>ROUND(C6,0)</f>
        <v>10</v>
      </c>
      <c r="C54" s="241">
        <f>ROUND(C7,0)</f>
        <v>20</v>
      </c>
      <c r="D54" s="242">
        <f>ROUND(G13,2)</f>
        <v>0.23</v>
      </c>
      <c r="E54" s="243">
        <f>ROUND(K25,4)</f>
        <v>-0.0003</v>
      </c>
      <c r="F54" s="244">
        <f>ROUND(J26,0)</f>
        <v>244</v>
      </c>
      <c r="G54" s="115"/>
      <c r="I54" s="6"/>
      <c r="J54" s="6"/>
      <c r="N54" s="7"/>
      <c r="O54" s="7"/>
      <c r="T54" s="7"/>
      <c r="U54" s="7"/>
    </row>
    <row r="55" spans="1:10" s="14" customFormat="1" ht="12.75" customHeight="1" hidden="1">
      <c r="A55" s="245" t="s">
        <v>64</v>
      </c>
      <c r="B55" s="243">
        <f>ROUND(C20,4)</f>
        <v>0.002</v>
      </c>
      <c r="C55" s="243">
        <f>ROUND(C21,4)</f>
        <v>0.0039</v>
      </c>
      <c r="D55" s="242">
        <f>ROUND(H13,2)</f>
        <v>1.06</v>
      </c>
      <c r="E55" s="243">
        <f>ROUND(J25,4)</f>
        <v>0.0041</v>
      </c>
      <c r="F55" s="244">
        <f>ROUND(K26,0)</f>
        <v>-2904</v>
      </c>
      <c r="G55" s="246">
        <f>ROUND(M24,4)</f>
        <v>0.4489</v>
      </c>
      <c r="I55" s="247"/>
      <c r="J55" s="6"/>
    </row>
    <row r="56" spans="1:10" ht="12.75" customHeight="1" hidden="1">
      <c r="A56" s="245" t="s">
        <v>66</v>
      </c>
      <c r="B56" s="248" t="s">
        <v>93</v>
      </c>
      <c r="C56" s="248" t="s">
        <v>94</v>
      </c>
      <c r="D56" s="248" t="s">
        <v>5</v>
      </c>
      <c r="E56" s="248" t="s">
        <v>76</v>
      </c>
      <c r="F56" s="249" t="s">
        <v>71</v>
      </c>
      <c r="G56" s="250" t="s">
        <v>77</v>
      </c>
      <c r="I56" s="247"/>
      <c r="J56" s="6"/>
    </row>
    <row r="57" spans="1:21" ht="12.75" customHeight="1" hidden="1">
      <c r="A57" s="251" t="s">
        <v>24</v>
      </c>
      <c r="B57" s="252" t="str">
        <f>CONCATENATE(B54,A58,B53," ",A53,B55*100,A56,A55)</f>
        <v>10/5128 (0,2%)</v>
      </c>
      <c r="C57" s="252" t="str">
        <f>CONCATENATE(C54,A58,C53," ",A53,C55*100,A56,A55)</f>
        <v>20/5123 (0,39%)</v>
      </c>
      <c r="D57" s="252" t="str">
        <f>CONCATENATE(D53," ",A53,D54,A54,D55,A55)</f>
        <v>0,5 (0,23-1,06)</v>
      </c>
      <c r="E57" s="252" t="str">
        <f>CONCATENATE(E53*100,A56," ",A53,E54*100,A56," ",A57," ",E55*100,A56,A55)</f>
        <v>0,2% (-0,03% a 0,41%)</v>
      </c>
      <c r="F57" s="252" t="str">
        <f>CONCATENATE(F53," ",A53,F54," ",A57," ",F55,A55)</f>
        <v>512 (244 a -2904)</v>
      </c>
      <c r="G57" s="250" t="str">
        <f>CONCATENATE(G55*100,A56)</f>
        <v>44,89%</v>
      </c>
      <c r="I57" s="6"/>
      <c r="J57" s="6"/>
      <c r="N57" s="7"/>
      <c r="O57" s="7"/>
      <c r="T57" s="7"/>
      <c r="U57" s="7"/>
    </row>
    <row r="58" spans="1:21" ht="13.5" customHeight="1" hidden="1" thickBot="1">
      <c r="A58" s="253" t="s">
        <v>72</v>
      </c>
      <c r="B58" s="254"/>
      <c r="C58" s="254"/>
      <c r="D58" s="254"/>
      <c r="E58" s="254"/>
      <c r="F58" s="254"/>
      <c r="G58" s="255"/>
      <c r="I58" s="6"/>
      <c r="J58" s="6"/>
      <c r="N58" s="7"/>
      <c r="O58" s="7"/>
      <c r="T58" s="7"/>
      <c r="U58" s="7"/>
    </row>
    <row r="59" spans="11:21" ht="12.75">
      <c r="K59" s="6"/>
      <c r="N59" s="7"/>
      <c r="O59" s="7"/>
      <c r="T59" s="7"/>
      <c r="U59" s="7"/>
    </row>
    <row r="60" spans="2:21" ht="27" customHeight="1">
      <c r="B60" s="525" t="s">
        <v>93</v>
      </c>
      <c r="C60" s="525" t="s">
        <v>94</v>
      </c>
      <c r="D60" s="526" t="s">
        <v>67</v>
      </c>
      <c r="E60" s="526" t="s">
        <v>60</v>
      </c>
      <c r="F60" s="526" t="s">
        <v>61</v>
      </c>
      <c r="G60" s="526" t="s">
        <v>78</v>
      </c>
      <c r="H60" s="257"/>
      <c r="I60" s="256" t="s">
        <v>186</v>
      </c>
      <c r="K60" s="258"/>
      <c r="N60" s="7"/>
      <c r="O60" s="7"/>
      <c r="T60" s="7"/>
      <c r="U60" s="7"/>
    </row>
    <row r="61" spans="2:21" ht="23.25" customHeight="1">
      <c r="B61" s="259" t="str">
        <f aca="true" t="shared" si="0" ref="B61:G61">B57</f>
        <v>10/5128 (0,2%)</v>
      </c>
      <c r="C61" s="259" t="str">
        <f t="shared" si="0"/>
        <v>20/5123 (0,39%)</v>
      </c>
      <c r="D61" s="259" t="str">
        <f t="shared" si="0"/>
        <v>0,5 (0,23-1,06)</v>
      </c>
      <c r="E61" s="259" t="str">
        <f t="shared" si="0"/>
        <v>0,2% (-0,03% a 0,41%)</v>
      </c>
      <c r="F61" s="259" t="str">
        <f t="shared" si="0"/>
        <v>512 (244 a -2904)</v>
      </c>
      <c r="G61" s="259" t="str">
        <f t="shared" si="0"/>
        <v>44,89%</v>
      </c>
      <c r="H61" s="448"/>
      <c r="I61" s="449">
        <f>B48</f>
        <v>0.06708636685493274</v>
      </c>
      <c r="K61" s="260"/>
      <c r="N61" s="7"/>
      <c r="O61" s="7"/>
      <c r="T61" s="7"/>
      <c r="U61" s="7"/>
    </row>
    <row r="62" ht="12.75">
      <c r="K62" s="6"/>
    </row>
    <row r="65" spans="1:7" ht="23.25" customHeight="1" thickBot="1">
      <c r="A65" s="533" t="s">
        <v>242</v>
      </c>
      <c r="B65" s="534"/>
      <c r="C65" s="534"/>
      <c r="D65" s="534"/>
      <c r="E65" s="534"/>
      <c r="F65" s="534"/>
      <c r="G65" s="535"/>
    </row>
    <row r="66" spans="1:7" ht="26.25" customHeight="1" thickBot="1">
      <c r="A66" s="538" t="s">
        <v>125</v>
      </c>
      <c r="B66" s="377" t="s">
        <v>177</v>
      </c>
      <c r="C66" s="377" t="s">
        <v>178</v>
      </c>
      <c r="D66" s="540" t="s">
        <v>217</v>
      </c>
      <c r="E66" s="541"/>
      <c r="F66" s="541"/>
      <c r="G66" s="542"/>
    </row>
    <row r="67" spans="1:7" ht="24" customHeight="1" thickBot="1">
      <c r="A67" s="539"/>
      <c r="B67" s="262" t="s">
        <v>123</v>
      </c>
      <c r="C67" s="262" t="s">
        <v>124</v>
      </c>
      <c r="D67" s="263" t="s">
        <v>67</v>
      </c>
      <c r="E67" s="263" t="s">
        <v>60</v>
      </c>
      <c r="F67" s="263" t="s">
        <v>61</v>
      </c>
      <c r="G67" s="264" t="s">
        <v>78</v>
      </c>
    </row>
    <row r="68" spans="1:7" ht="19.5" customHeight="1" thickBot="1">
      <c r="A68" s="312" t="s">
        <v>166</v>
      </c>
      <c r="B68" s="313"/>
      <c r="C68" s="313"/>
      <c r="D68" s="313"/>
      <c r="E68" s="313"/>
      <c r="F68" s="313"/>
      <c r="G68" s="313"/>
    </row>
    <row r="69" spans="1:7" ht="19.5" customHeight="1" thickBot="1">
      <c r="A69" s="317" t="s">
        <v>167</v>
      </c>
      <c r="B69" s="318">
        <v>352</v>
      </c>
      <c r="C69" s="318">
        <v>371</v>
      </c>
      <c r="D69" s="413"/>
      <c r="E69" s="319"/>
      <c r="F69" s="320"/>
      <c r="G69" s="450"/>
    </row>
    <row r="70" spans="1:7" ht="19.5" customHeight="1" thickBot="1">
      <c r="A70" s="312" t="s">
        <v>99</v>
      </c>
      <c r="B70" s="322"/>
      <c r="C70" s="322"/>
      <c r="D70" s="313"/>
      <c r="E70" s="314"/>
      <c r="F70" s="414"/>
      <c r="G70" s="414"/>
    </row>
    <row r="71" spans="1:7" ht="19.5" customHeight="1">
      <c r="A71" s="324" t="s">
        <v>100</v>
      </c>
      <c r="B71" s="325">
        <v>257</v>
      </c>
      <c r="C71" s="325">
        <v>203</v>
      </c>
      <c r="D71" s="325"/>
      <c r="E71" s="325"/>
      <c r="F71" s="451"/>
      <c r="G71" s="452"/>
    </row>
    <row r="72" spans="1:7" ht="19.5" customHeight="1">
      <c r="A72" s="328" t="s">
        <v>101</v>
      </c>
      <c r="B72" s="329">
        <v>135</v>
      </c>
      <c r="C72" s="329">
        <v>94</v>
      </c>
      <c r="D72" s="329"/>
      <c r="E72" s="329"/>
      <c r="F72" s="453"/>
      <c r="G72" s="365"/>
    </row>
    <row r="73" spans="1:7" ht="19.5" customHeight="1">
      <c r="A73" s="328" t="s">
        <v>104</v>
      </c>
      <c r="B73" s="329">
        <v>186</v>
      </c>
      <c r="C73" s="329">
        <v>235</v>
      </c>
      <c r="D73" s="329"/>
      <c r="E73" s="329"/>
      <c r="F73" s="454"/>
      <c r="G73" s="365"/>
    </row>
    <row r="74" spans="1:7" ht="19.5" customHeight="1">
      <c r="A74" s="333" t="s">
        <v>106</v>
      </c>
      <c r="B74" s="329">
        <v>67</v>
      </c>
      <c r="C74" s="329">
        <v>61</v>
      </c>
      <c r="D74" s="329"/>
      <c r="E74" s="329"/>
      <c r="F74" s="330"/>
      <c r="G74" s="365"/>
    </row>
    <row r="75" spans="1:7" ht="19.5" customHeight="1" thickBot="1">
      <c r="A75" s="334" t="s">
        <v>108</v>
      </c>
      <c r="B75" s="335">
        <v>152</v>
      </c>
      <c r="C75" s="335">
        <v>124</v>
      </c>
      <c r="D75" s="336"/>
      <c r="E75" s="336"/>
      <c r="F75" s="337"/>
      <c r="G75" s="367"/>
    </row>
    <row r="76" spans="1:7" ht="19.5" customHeight="1" thickBot="1">
      <c r="A76" s="537" t="s">
        <v>149</v>
      </c>
      <c r="B76" s="537"/>
      <c r="C76" s="537"/>
      <c r="D76" s="316"/>
      <c r="E76" s="315"/>
      <c r="F76" s="315"/>
      <c r="G76" s="315"/>
    </row>
    <row r="77" spans="1:7" ht="19.5" customHeight="1">
      <c r="A77" s="339" t="s">
        <v>153</v>
      </c>
      <c r="B77" s="325" t="s">
        <v>128</v>
      </c>
      <c r="C77" s="340" t="s">
        <v>129</v>
      </c>
      <c r="D77" s="455"/>
      <c r="E77" s="456"/>
      <c r="F77" s="326"/>
      <c r="G77" s="457"/>
    </row>
    <row r="78" spans="1:7" ht="19.5" customHeight="1" thickBot="1">
      <c r="A78" s="343" t="s">
        <v>154</v>
      </c>
      <c r="B78" s="336" t="s">
        <v>131</v>
      </c>
      <c r="C78" s="458" t="s">
        <v>132</v>
      </c>
      <c r="D78" s="459"/>
      <c r="E78" s="460"/>
      <c r="F78" s="337"/>
      <c r="G78" s="461"/>
    </row>
    <row r="79" spans="1:7" ht="4.5" customHeight="1" thickBot="1">
      <c r="A79" s="346"/>
      <c r="B79" s="347"/>
      <c r="C79" s="347"/>
      <c r="D79" s="316"/>
      <c r="E79" s="347"/>
      <c r="F79" s="348"/>
      <c r="G79" s="462"/>
    </row>
    <row r="80" spans="1:7" ht="19.5" customHeight="1">
      <c r="A80" s="339" t="s">
        <v>126</v>
      </c>
      <c r="B80" s="325" t="s">
        <v>136</v>
      </c>
      <c r="C80" s="340" t="s">
        <v>137</v>
      </c>
      <c r="D80" s="455"/>
      <c r="E80" s="456"/>
      <c r="F80" s="326"/>
      <c r="G80" s="452"/>
    </row>
    <row r="81" spans="1:7" ht="19.5" customHeight="1">
      <c r="A81" s="353" t="s">
        <v>155</v>
      </c>
      <c r="B81" s="329" t="s">
        <v>144</v>
      </c>
      <c r="C81" s="463" t="s">
        <v>145</v>
      </c>
      <c r="D81" s="464"/>
      <c r="E81" s="465"/>
      <c r="F81" s="330"/>
      <c r="G81" s="365"/>
    </row>
    <row r="82" spans="1:7" ht="19.5" customHeight="1" thickBot="1">
      <c r="A82" s="343" t="s">
        <v>127</v>
      </c>
      <c r="B82" s="336" t="s">
        <v>170</v>
      </c>
      <c r="C82" s="458" t="s">
        <v>171</v>
      </c>
      <c r="D82" s="459"/>
      <c r="E82" s="460"/>
      <c r="F82" s="337"/>
      <c r="G82" s="461"/>
    </row>
    <row r="83" spans="1:7" ht="19.5" customHeight="1" thickBot="1">
      <c r="A83" s="537" t="s">
        <v>159</v>
      </c>
      <c r="B83" s="537"/>
      <c r="C83" s="537"/>
      <c r="D83" s="313"/>
      <c r="E83" s="347"/>
      <c r="F83" s="348"/>
      <c r="G83" s="462"/>
    </row>
    <row r="84" spans="1:7" ht="19.5" customHeight="1">
      <c r="A84" s="339" t="s">
        <v>150</v>
      </c>
      <c r="B84" s="325" t="s">
        <v>174</v>
      </c>
      <c r="C84" s="340" t="s">
        <v>175</v>
      </c>
      <c r="D84" s="455"/>
      <c r="E84" s="456"/>
      <c r="F84" s="326"/>
      <c r="G84" s="457"/>
    </row>
    <row r="85" spans="1:7" ht="19.5" customHeight="1" thickBot="1">
      <c r="A85" s="357" t="s">
        <v>160</v>
      </c>
      <c r="B85" s="335" t="s">
        <v>161</v>
      </c>
      <c r="C85" s="358" t="s">
        <v>162</v>
      </c>
      <c r="D85" s="335"/>
      <c r="E85" s="460"/>
      <c r="F85" s="336"/>
      <c r="G85" s="370"/>
    </row>
  </sheetData>
  <sheetProtection/>
  <mergeCells count="8">
    <mergeCell ref="A76:C76"/>
    <mergeCell ref="A83:C83"/>
    <mergeCell ref="A1:I1"/>
    <mergeCell ref="A2:I2"/>
    <mergeCell ref="B43:C43"/>
    <mergeCell ref="A65:G65"/>
    <mergeCell ref="A66:A67"/>
    <mergeCell ref="D66:G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57421875" style="7" customWidth="1"/>
    <col min="2" max="2" width="29.140625" style="7" customWidth="1"/>
    <col min="3" max="3" width="18.8515625" style="7" customWidth="1"/>
    <col min="4" max="4" width="17.57421875" style="7" customWidth="1"/>
    <col min="5" max="5" width="20.7109375" style="7" customWidth="1"/>
    <col min="6" max="6" width="23.8515625" style="7" customWidth="1"/>
    <col min="7" max="7" width="18.8515625" style="7" customWidth="1"/>
    <col min="8" max="8" width="10.140625" style="7" customWidth="1"/>
    <col min="9" max="9" width="14.57421875" style="7" bestFit="1" customWidth="1"/>
    <col min="10" max="10" width="14.140625" style="14" bestFit="1" customWidth="1"/>
    <col min="11" max="11" width="13.57421875" style="14" customWidth="1"/>
    <col min="12" max="12" width="19.140625" style="7" customWidth="1"/>
    <col min="13" max="13" width="17.57421875" style="7" customWidth="1"/>
    <col min="14" max="14" width="13.8515625" style="7" bestFit="1" customWidth="1"/>
    <col min="15" max="15" width="11.421875" style="7" customWidth="1"/>
    <col min="16" max="17" width="11.421875" style="14" customWidth="1"/>
    <col min="18" max="16384" width="11.421875" style="7" customWidth="1"/>
  </cols>
  <sheetData>
    <row r="1" ht="10.5" customHeight="1" thickBot="1"/>
    <row r="2" spans="1:256" ht="18" thickBot="1">
      <c r="A2" s="551" t="s">
        <v>194</v>
      </c>
      <c r="B2" s="552"/>
      <c r="C2" s="552"/>
      <c r="D2" s="552"/>
      <c r="E2" s="552"/>
      <c r="F2" s="552"/>
      <c r="G2" s="553"/>
      <c r="H2" s="42"/>
      <c r="I2" s="6"/>
      <c r="J2" s="6"/>
      <c r="K2" s="3"/>
      <c r="L2" s="3"/>
      <c r="M2" s="3"/>
      <c r="N2" s="3"/>
      <c r="O2" s="3"/>
      <c r="P2" s="3"/>
      <c r="Q2" s="3"/>
      <c r="R2" s="3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27" customHeight="1">
      <c r="A3" s="554" t="s">
        <v>195</v>
      </c>
      <c r="B3" s="554"/>
      <c r="C3" s="554"/>
      <c r="D3" s="554"/>
      <c r="E3" s="554"/>
      <c r="F3" s="554"/>
      <c r="G3" s="554"/>
      <c r="H3" s="64"/>
      <c r="I3" s="64"/>
      <c r="J3" s="379" t="s">
        <v>196</v>
      </c>
      <c r="L3" s="267"/>
      <c r="M3" s="14"/>
      <c r="N3" s="14"/>
      <c r="O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30.75" thickBot="1">
      <c r="A4" s="380"/>
      <c r="H4" s="64"/>
      <c r="I4" s="64"/>
      <c r="J4" s="379" t="s">
        <v>265</v>
      </c>
      <c r="L4" s="267"/>
      <c r="M4" s="14"/>
      <c r="N4" s="14"/>
      <c r="O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2:24" ht="25.5" customHeight="1" thickBot="1">
      <c r="B5" s="381" t="s">
        <v>198</v>
      </c>
      <c r="C5" s="491">
        <v>0.024</v>
      </c>
      <c r="D5" s="374" t="s">
        <v>187</v>
      </c>
      <c r="E5" s="375" t="s">
        <v>190</v>
      </c>
      <c r="F5" s="376">
        <f>1-C5</f>
        <v>0.976</v>
      </c>
      <c r="H5" s="2"/>
      <c r="I5" s="269"/>
      <c r="J5" s="379" t="s">
        <v>264</v>
      </c>
      <c r="K5" s="3"/>
      <c r="L5" s="267"/>
      <c r="M5" s="14"/>
      <c r="N5" s="14"/>
      <c r="O5" s="73"/>
      <c r="P5" s="73"/>
      <c r="Q5" s="73"/>
      <c r="R5" s="14"/>
      <c r="S5" s="14"/>
      <c r="T5" s="14"/>
      <c r="U5" s="14"/>
      <c r="V5" s="14"/>
      <c r="W5" s="14"/>
      <c r="X5" s="14"/>
    </row>
    <row r="6" spans="8:26" ht="15.75" thickBot="1">
      <c r="H6" s="81"/>
      <c r="I6" s="71"/>
      <c r="J6" s="379" t="s">
        <v>266</v>
      </c>
      <c r="L6" s="38"/>
      <c r="M6" s="14"/>
      <c r="N6" s="14"/>
      <c r="U6" s="87"/>
      <c r="V6" s="87"/>
      <c r="W6" s="87"/>
      <c r="X6" s="87"/>
      <c r="Y6" s="87"/>
      <c r="Z6" s="87"/>
    </row>
    <row r="7" spans="2:34" ht="16.5" thickBot="1">
      <c r="B7" s="26"/>
      <c r="D7" s="540" t="s">
        <v>69</v>
      </c>
      <c r="E7" s="541"/>
      <c r="F7" s="542"/>
      <c r="H7" s="92"/>
      <c r="I7" s="71"/>
      <c r="J7" s="382" t="s">
        <v>267</v>
      </c>
      <c r="K7" s="270"/>
      <c r="N7" s="146"/>
      <c r="O7" s="73"/>
      <c r="P7" s="73"/>
      <c r="Q7" s="73"/>
      <c r="R7" s="6"/>
      <c r="S7" s="6"/>
      <c r="T7" s="270"/>
      <c r="U7" s="119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4" ht="15.75" thickBot="1">
      <c r="B8" s="146"/>
      <c r="D8" s="383" t="s">
        <v>191</v>
      </c>
      <c r="E8" s="384" t="s">
        <v>192</v>
      </c>
      <c r="F8" s="383" t="s">
        <v>193</v>
      </c>
      <c r="H8" s="271"/>
      <c r="I8" s="71"/>
      <c r="J8" s="379" t="s">
        <v>268</v>
      </c>
      <c r="K8" s="6"/>
      <c r="L8" s="3"/>
      <c r="M8" s="72"/>
      <c r="N8" s="71"/>
      <c r="O8" s="73"/>
      <c r="P8" s="73"/>
      <c r="Q8" s="73"/>
      <c r="R8" s="6"/>
      <c r="S8" s="272"/>
      <c r="T8" s="6"/>
      <c r="U8" s="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4:34" ht="16.5" thickBot="1">
      <c r="D9" s="372">
        <v>1.18</v>
      </c>
      <c r="E9" s="373">
        <v>0.99</v>
      </c>
      <c r="F9" s="373">
        <v>1.49</v>
      </c>
      <c r="H9" s="273"/>
      <c r="I9" s="6"/>
      <c r="J9" s="382" t="s">
        <v>269</v>
      </c>
      <c r="K9" s="6"/>
      <c r="L9" s="6"/>
      <c r="M9" s="6"/>
      <c r="N9" s="6"/>
      <c r="O9" s="6"/>
      <c r="P9" s="6"/>
      <c r="Q9" s="6"/>
      <c r="R9" s="6"/>
      <c r="S9" s="274"/>
      <c r="T9" s="119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2:34" ht="16.5" hidden="1" thickBot="1">
      <c r="B10" s="268"/>
      <c r="C10" s="275" t="s">
        <v>188</v>
      </c>
      <c r="D10" s="276">
        <f>F5^D9</f>
        <v>0.9717415769253196</v>
      </c>
      <c r="E10" s="276">
        <f>F5^E9</f>
        <v>0.9762371254803897</v>
      </c>
      <c r="F10" s="385">
        <f>F5^F9</f>
        <v>0.9644511345642272</v>
      </c>
      <c r="H10" s="92"/>
      <c r="I10" s="6"/>
      <c r="K10" s="6"/>
      <c r="L10" s="3"/>
      <c r="M10" s="72"/>
      <c r="N10" s="71"/>
      <c r="O10" s="73"/>
      <c r="P10" s="73"/>
      <c r="Q10" s="6"/>
      <c r="R10" s="6"/>
      <c r="S10" s="277"/>
      <c r="T10" s="6"/>
      <c r="U10" s="3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2:34" ht="12.75" hidden="1">
      <c r="B11" s="278"/>
      <c r="C11" s="279" t="s">
        <v>70</v>
      </c>
      <c r="D11" s="9">
        <f>1-D10</f>
        <v>0.028258423074680405</v>
      </c>
      <c r="E11" s="9">
        <f>1-E10</f>
        <v>0.023762874519610344</v>
      </c>
      <c r="F11" s="9">
        <f>1-F10</f>
        <v>0.03554886543577285</v>
      </c>
      <c r="H11" s="92"/>
      <c r="I11" s="6"/>
      <c r="J11" s="42"/>
      <c r="K11" s="6"/>
      <c r="L11" s="6"/>
      <c r="M11" s="6"/>
      <c r="N11" s="6"/>
      <c r="O11" s="6"/>
      <c r="P11" s="6"/>
      <c r="Q11" s="73"/>
      <c r="R11" s="6"/>
      <c r="S11" s="272"/>
      <c r="T11" s="70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2:34" ht="13.5" hidden="1" thickBot="1">
      <c r="B12" s="386"/>
      <c r="C12" s="76"/>
      <c r="D12" s="386"/>
      <c r="E12" s="386"/>
      <c r="F12" s="386"/>
      <c r="H12" s="280"/>
      <c r="I12" s="6"/>
      <c r="J12" s="281"/>
      <c r="K12" s="70"/>
      <c r="L12" s="282"/>
      <c r="M12" s="6"/>
      <c r="N12" s="6"/>
      <c r="O12" s="6"/>
      <c r="P12" s="6"/>
      <c r="Q12" s="6"/>
      <c r="R12" s="6"/>
      <c r="S12" s="283"/>
      <c r="T12" s="284"/>
      <c r="U12" s="282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2:34" ht="15" hidden="1" thickBot="1">
      <c r="B13" s="387"/>
      <c r="C13" s="388" t="s">
        <v>189</v>
      </c>
      <c r="D13" s="285" t="s">
        <v>28</v>
      </c>
      <c r="E13" s="286">
        <f>D10-F5</f>
        <v>-0.004258423074680384</v>
      </c>
      <c r="F13" s="287">
        <f>F10-F5</f>
        <v>-0.011548865435772826</v>
      </c>
      <c r="G13" s="288">
        <f>E10-F5</f>
        <v>0.00023712548038967718</v>
      </c>
      <c r="H13" s="92"/>
      <c r="I13" s="6"/>
      <c r="J13" s="283"/>
      <c r="K13" s="284"/>
      <c r="L13" s="6"/>
      <c r="M13" s="28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2:24" ht="13.5" hidden="1" thickBot="1">
      <c r="B14" s="389"/>
      <c r="C14" s="390" t="s">
        <v>58</v>
      </c>
      <c r="D14" s="391" t="s">
        <v>29</v>
      </c>
      <c r="E14" s="290">
        <f>1/E13</f>
        <v>-234.82871064309526</v>
      </c>
      <c r="F14" s="291">
        <f>1/G13</f>
        <v>4217.17648544839</v>
      </c>
      <c r="G14" s="292">
        <f>1/F13</f>
        <v>-86.58859223543132</v>
      </c>
      <c r="J14" s="7"/>
      <c r="K14" s="7"/>
      <c r="P14" s="7"/>
      <c r="Q14" s="7"/>
      <c r="R14" s="14"/>
      <c r="S14" s="14"/>
      <c r="T14" s="14"/>
      <c r="U14" s="14"/>
      <c r="V14" s="14"/>
      <c r="W14" s="14"/>
      <c r="X14" s="14"/>
    </row>
    <row r="15" spans="2:17" ht="12.75" hidden="1">
      <c r="B15" s="386"/>
      <c r="C15" s="386"/>
      <c r="D15" s="386"/>
      <c r="E15" s="386"/>
      <c r="F15" s="386"/>
      <c r="J15" s="7"/>
      <c r="K15" s="7"/>
      <c r="P15" s="7"/>
      <c r="Q15" s="7"/>
    </row>
    <row r="16" spans="2:17" ht="15.75" hidden="1">
      <c r="B16" s="392"/>
      <c r="C16" s="159" t="s">
        <v>82</v>
      </c>
      <c r="D16" s="293" t="s">
        <v>83</v>
      </c>
      <c r="E16" s="294">
        <f>E14</f>
        <v>-234.82871064309526</v>
      </c>
      <c r="F16" s="294">
        <f>F14</f>
        <v>4217.17648544839</v>
      </c>
      <c r="G16" s="294">
        <f>G14</f>
        <v>-86.58859223543132</v>
      </c>
      <c r="J16" s="7"/>
      <c r="K16" s="7"/>
      <c r="P16" s="7"/>
      <c r="Q16" s="7"/>
    </row>
    <row r="17" spans="2:256" ht="12.75" hidden="1">
      <c r="B17" s="393"/>
      <c r="C17" s="393"/>
      <c r="D17" s="295" t="s">
        <v>54</v>
      </c>
      <c r="E17" s="296">
        <f>(1-C5)*E14</f>
        <v>-229.19282158766097</v>
      </c>
      <c r="F17" s="296">
        <f>(1-C5)*F14</f>
        <v>4115.964249797628</v>
      </c>
      <c r="G17" s="296">
        <f>(1-C5)*G14</f>
        <v>-84.51046602178097</v>
      </c>
      <c r="H17" s="6"/>
      <c r="I17" s="15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2:256" ht="12.75" hidden="1">
      <c r="B18" s="394"/>
      <c r="C18" s="394"/>
      <c r="D18" s="171" t="s">
        <v>79</v>
      </c>
      <c r="E18" s="297">
        <f>E14*E13</f>
        <v>1</v>
      </c>
      <c r="F18" s="297">
        <f>F14*G13</f>
        <v>0.9999999999999999</v>
      </c>
      <c r="G18" s="297">
        <f>G14*F13</f>
        <v>1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2:256" ht="12.75" hidden="1">
      <c r="B19" s="395"/>
      <c r="C19" s="395"/>
      <c r="D19" s="298" t="s">
        <v>55</v>
      </c>
      <c r="E19" s="299">
        <f>(C5-E13)*E14</f>
        <v>-6.635889055434286</v>
      </c>
      <c r="F19" s="299">
        <f>(C5-G13)*F14</f>
        <v>100.21223565076136</v>
      </c>
      <c r="G19" s="299">
        <f>(C5-F13)*G14</f>
        <v>-3.0781262136503518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2:256" ht="12.75" hidden="1">
      <c r="B20" s="396"/>
      <c r="C20" s="396"/>
      <c r="D20" s="396"/>
      <c r="E20" s="300"/>
      <c r="F20" s="300"/>
      <c r="G20" s="300"/>
      <c r="H20" s="6"/>
      <c r="I20" s="6"/>
      <c r="J20" s="182"/>
      <c r="K20" s="182"/>
      <c r="L20" s="18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2:256" ht="15.75" hidden="1">
      <c r="B21" s="392"/>
      <c r="C21" s="159" t="s">
        <v>84</v>
      </c>
      <c r="D21" s="293" t="s">
        <v>85</v>
      </c>
      <c r="E21" s="294">
        <f>E14</f>
        <v>-234.82871064309526</v>
      </c>
      <c r="F21" s="294">
        <f>F14</f>
        <v>4217.17648544839</v>
      </c>
      <c r="G21" s="294">
        <f>G14</f>
        <v>-86.58859223543132</v>
      </c>
      <c r="H21" s="6"/>
      <c r="I21" s="182"/>
      <c r="J21" s="182"/>
      <c r="K21" s="183"/>
      <c r="L21" s="18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2:256" ht="12.75" hidden="1">
      <c r="B22" s="397"/>
      <c r="C22" s="397"/>
      <c r="D22" s="187" t="s">
        <v>54</v>
      </c>
      <c r="E22" s="296">
        <f>ABS((1-(C5-E13))*E14)</f>
        <v>228.19282158766097</v>
      </c>
      <c r="F22" s="296">
        <f>ABS((1-(C5-G13))*F14)</f>
        <v>4116.964249797628</v>
      </c>
      <c r="G22" s="296">
        <f>ABS((1-(C5-F13))*G14)</f>
        <v>83.51046602178097</v>
      </c>
      <c r="H22" s="6"/>
      <c r="I22" s="182"/>
      <c r="J22" s="182"/>
      <c r="K22" s="182"/>
      <c r="L22" s="184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2:17" ht="12.75" hidden="1">
      <c r="B23" s="398"/>
      <c r="C23" s="398"/>
      <c r="D23" s="301" t="s">
        <v>80</v>
      </c>
      <c r="E23" s="302">
        <f>E14*E13</f>
        <v>1</v>
      </c>
      <c r="F23" s="291">
        <f>F14*G13</f>
        <v>0.9999999999999999</v>
      </c>
      <c r="G23" s="291">
        <f>G14*F13</f>
        <v>1</v>
      </c>
      <c r="J23" s="7"/>
      <c r="K23" s="7"/>
      <c r="P23" s="7"/>
      <c r="Q23" s="7"/>
    </row>
    <row r="24" spans="2:17" ht="12.75" hidden="1">
      <c r="B24" s="399"/>
      <c r="C24" s="400"/>
      <c r="D24" s="303" t="s">
        <v>81</v>
      </c>
      <c r="E24" s="299">
        <f>ABS(C5*E14)</f>
        <v>5.635889055434286</v>
      </c>
      <c r="F24" s="299">
        <f>ABS(C5*F14)</f>
        <v>101.21223565076136</v>
      </c>
      <c r="G24" s="299">
        <f>ABS(C5*G14)</f>
        <v>2.0781262136503518</v>
      </c>
      <c r="I24" s="8"/>
      <c r="J24" s="8"/>
      <c r="K24" s="8"/>
      <c r="P24" s="7"/>
      <c r="Q24" s="7"/>
    </row>
    <row r="25" spans="2:256" ht="12.75" hidden="1">
      <c r="B25" s="401"/>
      <c r="C25" s="402"/>
      <c r="D25" s="202"/>
      <c r="E25" s="203"/>
      <c r="F25" s="203"/>
      <c r="G25" s="203"/>
      <c r="H25" s="6"/>
      <c r="I25" s="1"/>
      <c r="J25" s="1"/>
      <c r="K25" s="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2:17" ht="12.75" hidden="1">
      <c r="B26" s="403" t="s">
        <v>63</v>
      </c>
      <c r="C26" s="404"/>
      <c r="D26" s="404"/>
      <c r="E26" s="304">
        <f>ROUND(D9,2)</f>
        <v>1.18</v>
      </c>
      <c r="F26" s="305">
        <f>ROUND(E13,4)</f>
        <v>-0.0043</v>
      </c>
      <c r="G26" s="306">
        <f>ROUND(E14,0)</f>
        <v>-235</v>
      </c>
      <c r="J26" s="7"/>
      <c r="K26" s="7"/>
      <c r="P26" s="7"/>
      <c r="Q26" s="7"/>
    </row>
    <row r="27" spans="2:17" ht="12.75" hidden="1">
      <c r="B27" s="405" t="s">
        <v>65</v>
      </c>
      <c r="C27" s="406">
        <f>ROUND(D11,4)</f>
        <v>0.0283</v>
      </c>
      <c r="D27" s="406">
        <f>ROUND(C5,4)</f>
        <v>0.024</v>
      </c>
      <c r="E27" s="307">
        <f>ROUND(E9,2)</f>
        <v>0.99</v>
      </c>
      <c r="F27" s="308">
        <f>ROUND(F13,4)</f>
        <v>-0.0115</v>
      </c>
      <c r="G27" s="309">
        <f>ROUND(F14,0)</f>
        <v>4217</v>
      </c>
      <c r="P27" s="7"/>
      <c r="Q27" s="7"/>
    </row>
    <row r="28" spans="2:17" ht="12.75" hidden="1">
      <c r="B28" s="405" t="s">
        <v>64</v>
      </c>
      <c r="C28" s="407"/>
      <c r="D28" s="407"/>
      <c r="E28" s="307">
        <f>ROUND(F9,2)</f>
        <v>1.49</v>
      </c>
      <c r="F28" s="308">
        <f>ROUND(G13,4)</f>
        <v>0.0002</v>
      </c>
      <c r="G28" s="309">
        <f>ROUND(G14,0)</f>
        <v>-87</v>
      </c>
      <c r="P28" s="7"/>
      <c r="Q28" s="7"/>
    </row>
    <row r="29" spans="2:17" ht="12.75" hidden="1">
      <c r="B29" s="405" t="s">
        <v>66</v>
      </c>
      <c r="C29" s="252" t="s">
        <v>95</v>
      </c>
      <c r="D29" s="252" t="s">
        <v>96</v>
      </c>
      <c r="E29" s="252" t="s">
        <v>69</v>
      </c>
      <c r="F29" s="252" t="s">
        <v>68</v>
      </c>
      <c r="G29" s="252" t="s">
        <v>61</v>
      </c>
      <c r="J29" s="7"/>
      <c r="K29" s="7"/>
      <c r="P29" s="7"/>
      <c r="Q29" s="7"/>
    </row>
    <row r="30" spans="2:17" ht="12.75" hidden="1">
      <c r="B30" s="408" t="s">
        <v>24</v>
      </c>
      <c r="C30" s="252" t="str">
        <f>CONCATENATE(C27*100,B29)</f>
        <v>2,83%</v>
      </c>
      <c r="D30" s="252" t="str">
        <f>CONCATENATE(D27*100,B29)</f>
        <v>2,4%</v>
      </c>
      <c r="E30" s="252" t="str">
        <f>CONCATENATE(E26," ",B26,E27,B27,E28,B28)</f>
        <v>1,18 (0,99-1,49)</v>
      </c>
      <c r="F30" s="252" t="str">
        <f>CONCATENATE(F26*100,B29," ",B26,F27*100,B29," ",B30," ",F28*100,B29,B28)</f>
        <v>-0,43% (-1,15% a 0,02%)</v>
      </c>
      <c r="G30" s="252" t="str">
        <f>CONCATENATE(G26," ",B26,G27," ",B30," ",G28,B28)</f>
        <v>-235 (4217 a -87)</v>
      </c>
      <c r="J30" s="7"/>
      <c r="K30" s="7"/>
      <c r="P30" s="7"/>
      <c r="Q30" s="7"/>
    </row>
    <row r="31" spans="2:256" ht="12.75" hidden="1">
      <c r="B31" s="401"/>
      <c r="C31" s="3"/>
      <c r="D31" s="401"/>
      <c r="E31" s="401"/>
      <c r="F31" s="401"/>
      <c r="G31" s="6"/>
      <c r="H31" s="14"/>
      <c r="I31" s="14"/>
      <c r="L31" s="14"/>
      <c r="M31" s="14"/>
      <c r="N31" s="14"/>
      <c r="O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2:17" ht="12.75">
      <c r="B32" s="386"/>
      <c r="C32" s="386"/>
      <c r="D32" s="409"/>
      <c r="E32" s="386"/>
      <c r="F32" s="386"/>
      <c r="J32" s="7"/>
      <c r="K32" s="7"/>
      <c r="P32" s="7"/>
      <c r="Q32" s="7"/>
    </row>
    <row r="33" spans="3:13" ht="19.5" customHeight="1">
      <c r="C33" s="378" t="s">
        <v>95</v>
      </c>
      <c r="D33" s="378" t="s">
        <v>96</v>
      </c>
      <c r="E33" s="378" t="s">
        <v>69</v>
      </c>
      <c r="F33" s="378" t="s">
        <v>60</v>
      </c>
      <c r="G33" s="378" t="s">
        <v>61</v>
      </c>
      <c r="L33" s="38"/>
      <c r="M33" s="410"/>
    </row>
    <row r="34" spans="3:13" ht="18.75">
      <c r="C34" s="259" t="str">
        <f>C30</f>
        <v>2,83%</v>
      </c>
      <c r="D34" s="411" t="str">
        <f>D30</f>
        <v>2,4%</v>
      </c>
      <c r="E34" s="259" t="str">
        <f>E30</f>
        <v>1,18 (0,99-1,49)</v>
      </c>
      <c r="F34" s="259" t="str">
        <f>F30</f>
        <v>-0,43% (-1,15% a 0,02%)</v>
      </c>
      <c r="G34" s="259" t="str">
        <f>G30</f>
        <v>-235 (4217 a -87)</v>
      </c>
      <c r="L34" s="38"/>
      <c r="M34" s="410"/>
    </row>
    <row r="35" spans="2:13" ht="12.75">
      <c r="B35" s="154"/>
      <c r="G35" s="412"/>
      <c r="J35" s="509"/>
      <c r="L35" s="38"/>
      <c r="M35" s="410"/>
    </row>
    <row r="36" ht="13.5" thickBot="1">
      <c r="B36" s="154"/>
    </row>
    <row r="37" spans="2:7" ht="18.75" customHeight="1" thickBot="1">
      <c r="B37" s="543" t="s">
        <v>243</v>
      </c>
      <c r="C37" s="544"/>
      <c r="D37" s="544"/>
      <c r="E37" s="544"/>
      <c r="F37" s="544"/>
      <c r="G37" s="545"/>
    </row>
    <row r="38" spans="2:7" ht="39" thickBot="1">
      <c r="B38" s="546" t="s">
        <v>125</v>
      </c>
      <c r="C38" s="556" t="s">
        <v>232</v>
      </c>
      <c r="D38" s="555" t="s">
        <v>233</v>
      </c>
      <c r="E38" s="548" t="s">
        <v>234</v>
      </c>
      <c r="F38" s="549"/>
      <c r="G38" s="550"/>
    </row>
    <row r="39" spans="2:7" ht="26.25" customHeight="1" thickBot="1">
      <c r="B39" s="547"/>
      <c r="C39" s="310" t="s">
        <v>123</v>
      </c>
      <c r="D39" s="262" t="s">
        <v>124</v>
      </c>
      <c r="E39" s="311" t="s">
        <v>69</v>
      </c>
      <c r="F39" s="263" t="s">
        <v>235</v>
      </c>
      <c r="G39" s="470" t="s">
        <v>236</v>
      </c>
    </row>
    <row r="40" spans="2:13" ht="13.5" thickBot="1">
      <c r="B40" s="312" t="s">
        <v>166</v>
      </c>
      <c r="C40" s="25"/>
      <c r="D40" s="25"/>
      <c r="E40" s="25"/>
      <c r="F40" s="25"/>
      <c r="G40" s="25"/>
      <c r="I40" s="493" t="s">
        <v>244</v>
      </c>
      <c r="J40" s="493" t="s">
        <v>245</v>
      </c>
      <c r="K40" s="494"/>
      <c r="L40" s="495"/>
      <c r="M40" s="495"/>
    </row>
    <row r="41" spans="2:13" ht="19.5" thickBot="1">
      <c r="B41" s="317" t="s">
        <v>115</v>
      </c>
      <c r="C41" s="368">
        <v>0.0206</v>
      </c>
      <c r="D41" s="477">
        <v>0.0229</v>
      </c>
      <c r="E41" s="478" t="s">
        <v>237</v>
      </c>
      <c r="F41" s="320" t="s">
        <v>238</v>
      </c>
      <c r="G41" s="369" t="s">
        <v>158</v>
      </c>
      <c r="I41" s="496" t="s">
        <v>246</v>
      </c>
      <c r="J41" s="496" t="s">
        <v>247</v>
      </c>
      <c r="K41" s="497" t="s">
        <v>5</v>
      </c>
      <c r="L41" s="493" t="s">
        <v>76</v>
      </c>
      <c r="M41" s="493" t="s">
        <v>71</v>
      </c>
    </row>
    <row r="42" spans="2:13" ht="18.75" customHeight="1">
      <c r="B42" s="266"/>
      <c r="C42" s="15"/>
      <c r="D42" s="479"/>
      <c r="E42" s="480"/>
      <c r="F42" s="265"/>
      <c r="G42" s="265"/>
      <c r="H42" s="498" t="s">
        <v>248</v>
      </c>
      <c r="I42" s="499">
        <v>0.0501</v>
      </c>
      <c r="J42" s="499">
        <v>0.04</v>
      </c>
      <c r="K42" s="500" t="s">
        <v>249</v>
      </c>
      <c r="L42" s="500" t="s">
        <v>250</v>
      </c>
      <c r="M42" s="453" t="s">
        <v>251</v>
      </c>
    </row>
    <row r="43" spans="2:13" ht="19.5" thickBot="1">
      <c r="B43" s="70" t="s">
        <v>99</v>
      </c>
      <c r="C43" s="15"/>
      <c r="D43" s="479"/>
      <c r="E43" s="480"/>
      <c r="F43" s="265"/>
      <c r="G43" s="265"/>
      <c r="H43" s="501" t="s">
        <v>252</v>
      </c>
      <c r="I43" s="508">
        <v>0.0486</v>
      </c>
      <c r="J43" s="510">
        <v>0.04</v>
      </c>
      <c r="K43" s="500" t="s">
        <v>117</v>
      </c>
      <c r="L43" s="500" t="s">
        <v>253</v>
      </c>
      <c r="M43" s="453" t="s">
        <v>254</v>
      </c>
    </row>
    <row r="44" spans="2:13" ht="18.75">
      <c r="B44" s="324" t="s">
        <v>100</v>
      </c>
      <c r="C44" s="362">
        <v>0.0139</v>
      </c>
      <c r="D44" s="481">
        <v>0.0114</v>
      </c>
      <c r="E44" s="482" t="s">
        <v>117</v>
      </c>
      <c r="F44" s="326" t="s">
        <v>239</v>
      </c>
      <c r="G44" s="483" t="s">
        <v>240</v>
      </c>
      <c r="I44" s="502" t="s">
        <v>247</v>
      </c>
      <c r="J44" s="503" t="s">
        <v>247</v>
      </c>
      <c r="K44" s="504" t="s">
        <v>255</v>
      </c>
      <c r="L44" s="505" t="s">
        <v>76</v>
      </c>
      <c r="M44" s="505" t="s">
        <v>71</v>
      </c>
    </row>
    <row r="45" spans="2:10" ht="18.75">
      <c r="B45" s="328" t="s">
        <v>101</v>
      </c>
      <c r="C45" s="363">
        <v>0.0076</v>
      </c>
      <c r="D45" s="484">
        <v>0.0056</v>
      </c>
      <c r="E45" s="485" t="s">
        <v>102</v>
      </c>
      <c r="F45" s="330" t="s">
        <v>157</v>
      </c>
      <c r="G45" s="486" t="s">
        <v>156</v>
      </c>
      <c r="I45" s="506" t="s">
        <v>244</v>
      </c>
      <c r="J45" s="506" t="s">
        <v>245</v>
      </c>
    </row>
    <row r="46" spans="2:10" ht="18.75">
      <c r="B46" s="328" t="s">
        <v>104</v>
      </c>
      <c r="C46" s="363">
        <v>0.011</v>
      </c>
      <c r="D46" s="484">
        <v>0.0145</v>
      </c>
      <c r="E46" s="485" t="s">
        <v>105</v>
      </c>
      <c r="F46" s="330" t="s">
        <v>118</v>
      </c>
      <c r="G46" s="487" t="s">
        <v>120</v>
      </c>
      <c r="J46" s="507" t="s">
        <v>263</v>
      </c>
    </row>
    <row r="47" spans="2:7" ht="18.75">
      <c r="B47" s="364" t="s">
        <v>106</v>
      </c>
      <c r="C47" s="363">
        <v>0.0039</v>
      </c>
      <c r="D47" s="484">
        <v>0.0037</v>
      </c>
      <c r="E47" s="485" t="s">
        <v>107</v>
      </c>
      <c r="F47" s="330" t="s">
        <v>121</v>
      </c>
      <c r="G47" s="365" t="s">
        <v>122</v>
      </c>
    </row>
    <row r="48" spans="2:7" ht="26.25" thickBot="1">
      <c r="B48" s="473" t="s">
        <v>108</v>
      </c>
      <c r="C48" s="366">
        <v>0.0088</v>
      </c>
      <c r="D48" s="488">
        <v>0.0075</v>
      </c>
      <c r="E48" s="489" t="s">
        <v>109</v>
      </c>
      <c r="F48" s="337" t="s">
        <v>168</v>
      </c>
      <c r="G48" s="367" t="s">
        <v>169</v>
      </c>
    </row>
    <row r="52" ht="13.5" thickBot="1"/>
    <row r="53" spans="2:7" ht="23.25" customHeight="1" thickBot="1">
      <c r="B53" s="543" t="s">
        <v>243</v>
      </c>
      <c r="C53" s="544"/>
      <c r="D53" s="544"/>
      <c r="E53" s="544"/>
      <c r="F53" s="544"/>
      <c r="G53" s="545"/>
    </row>
    <row r="54" spans="2:7" ht="57.75" customHeight="1" thickBot="1">
      <c r="B54" s="546" t="s">
        <v>125</v>
      </c>
      <c r="C54" s="556" t="s">
        <v>296</v>
      </c>
      <c r="D54" s="555" t="s">
        <v>295</v>
      </c>
      <c r="E54" s="548" t="s">
        <v>280</v>
      </c>
      <c r="F54" s="549"/>
      <c r="G54" s="550"/>
    </row>
    <row r="55" spans="2:7" ht="36" customHeight="1" thickBot="1">
      <c r="B55" s="547"/>
      <c r="C55" s="310" t="s">
        <v>123</v>
      </c>
      <c r="D55" s="262" t="s">
        <v>124</v>
      </c>
      <c r="E55" s="470" t="s">
        <v>69</v>
      </c>
      <c r="F55" s="470" t="s">
        <v>235</v>
      </c>
      <c r="G55" s="470" t="s">
        <v>281</v>
      </c>
    </row>
    <row r="56" spans="2:13" ht="21.75" customHeight="1" thickBot="1">
      <c r="B56" s="312" t="s">
        <v>166</v>
      </c>
      <c r="C56" s="25"/>
      <c r="D56" s="25"/>
      <c r="E56" s="25"/>
      <c r="F56" s="25"/>
      <c r="G56" s="25"/>
      <c r="I56" s="493" t="s">
        <v>244</v>
      </c>
      <c r="J56" s="493" t="s">
        <v>245</v>
      </c>
      <c r="K56" s="494"/>
      <c r="L56" s="495"/>
      <c r="M56" s="495"/>
    </row>
    <row r="57" spans="2:13" ht="19.5" thickBot="1">
      <c r="B57" s="317" t="s">
        <v>297</v>
      </c>
      <c r="C57" s="368">
        <v>0.065</v>
      </c>
      <c r="D57" s="477">
        <v>0.072</v>
      </c>
      <c r="E57" s="478" t="s">
        <v>237</v>
      </c>
      <c r="F57" s="320" t="s">
        <v>256</v>
      </c>
      <c r="G57" s="369" t="s">
        <v>257</v>
      </c>
      <c r="I57" s="496" t="s">
        <v>246</v>
      </c>
      <c r="J57" s="496" t="s">
        <v>247</v>
      </c>
      <c r="K57" s="497" t="s">
        <v>5</v>
      </c>
      <c r="L57" s="493" t="s">
        <v>76</v>
      </c>
      <c r="M57" s="493" t="s">
        <v>71</v>
      </c>
    </row>
    <row r="58" spans="2:13" ht="18.75">
      <c r="B58" s="266"/>
      <c r="C58" s="15"/>
      <c r="D58" s="479"/>
      <c r="E58" s="480"/>
      <c r="F58" s="265"/>
      <c r="G58" s="265"/>
      <c r="H58" s="498" t="s">
        <v>248</v>
      </c>
      <c r="I58" s="499">
        <v>0.0501</v>
      </c>
      <c r="J58" s="499">
        <v>0.04</v>
      </c>
      <c r="K58" s="500" t="s">
        <v>249</v>
      </c>
      <c r="L58" s="500" t="s">
        <v>250</v>
      </c>
      <c r="M58" s="453" t="s">
        <v>251</v>
      </c>
    </row>
    <row r="59" spans="2:13" ht="19.5" thickBot="1">
      <c r="B59" s="70" t="s">
        <v>99</v>
      </c>
      <c r="C59" s="15"/>
      <c r="D59" s="479"/>
      <c r="E59" s="480"/>
      <c r="F59" s="265"/>
      <c r="G59" s="265"/>
      <c r="H59" s="501" t="s">
        <v>252</v>
      </c>
      <c r="I59" s="510">
        <v>0.0486</v>
      </c>
      <c r="J59" s="510">
        <v>0.04</v>
      </c>
      <c r="K59" s="500" t="s">
        <v>117</v>
      </c>
      <c r="L59" s="500" t="s">
        <v>253</v>
      </c>
      <c r="M59" s="453" t="s">
        <v>254</v>
      </c>
    </row>
    <row r="60" spans="2:13" ht="18.75">
      <c r="B60" s="324" t="s">
        <v>298</v>
      </c>
      <c r="C60" s="362">
        <v>0.0486</v>
      </c>
      <c r="D60" s="481">
        <v>0.04</v>
      </c>
      <c r="E60" s="482" t="s">
        <v>117</v>
      </c>
      <c r="F60" s="326" t="s">
        <v>253</v>
      </c>
      <c r="G60" s="483" t="s">
        <v>254</v>
      </c>
      <c r="I60" s="502" t="s">
        <v>247</v>
      </c>
      <c r="J60" s="503" t="s">
        <v>247</v>
      </c>
      <c r="K60" s="504" t="s">
        <v>255</v>
      </c>
      <c r="L60" s="505" t="s">
        <v>76</v>
      </c>
      <c r="M60" s="505" t="s">
        <v>71</v>
      </c>
    </row>
    <row r="61" spans="2:10" ht="18.75">
      <c r="B61" s="328" t="s">
        <v>299</v>
      </c>
      <c r="C61" s="363">
        <v>0.0242</v>
      </c>
      <c r="D61" s="484">
        <v>0.018</v>
      </c>
      <c r="E61" s="485" t="s">
        <v>102</v>
      </c>
      <c r="F61" s="330" t="s">
        <v>258</v>
      </c>
      <c r="G61" s="486" t="s">
        <v>259</v>
      </c>
      <c r="I61" s="506" t="s">
        <v>244</v>
      </c>
      <c r="J61" s="506" t="s">
        <v>245</v>
      </c>
    </row>
    <row r="62" spans="2:10" ht="18.75">
      <c r="B62" s="328" t="s">
        <v>300</v>
      </c>
      <c r="C62" s="363">
        <v>0.0352</v>
      </c>
      <c r="D62" s="484">
        <v>0.046</v>
      </c>
      <c r="E62" s="485" t="s">
        <v>260</v>
      </c>
      <c r="F62" s="330" t="s">
        <v>261</v>
      </c>
      <c r="G62" s="487" t="s">
        <v>262</v>
      </c>
      <c r="J62" s="507"/>
    </row>
    <row r="63" spans="2:7" ht="18.75">
      <c r="B63" s="364" t="s">
        <v>301</v>
      </c>
      <c r="C63" s="363">
        <v>0.0127</v>
      </c>
      <c r="D63" s="484">
        <v>0.012</v>
      </c>
      <c r="E63" s="485" t="s">
        <v>270</v>
      </c>
      <c r="F63" s="330" t="s">
        <v>271</v>
      </c>
      <c r="G63" s="365" t="s">
        <v>272</v>
      </c>
    </row>
    <row r="64" spans="2:7" ht="27" customHeight="1" thickBot="1">
      <c r="B64" s="473" t="s">
        <v>302</v>
      </c>
      <c r="C64" s="366">
        <v>0.0283</v>
      </c>
      <c r="D64" s="488">
        <v>0.024</v>
      </c>
      <c r="E64" s="489" t="s">
        <v>273</v>
      </c>
      <c r="F64" s="337" t="s">
        <v>274</v>
      </c>
      <c r="G64" s="367" t="s">
        <v>275</v>
      </c>
    </row>
    <row r="66" ht="12.75">
      <c r="I66" s="7" t="s">
        <v>289</v>
      </c>
    </row>
    <row r="67" spans="7:9" ht="12.75">
      <c r="G67" s="523"/>
      <c r="I67" s="7" t="s">
        <v>290</v>
      </c>
    </row>
    <row r="68" spans="7:9" ht="12.75">
      <c r="G68" s="523"/>
      <c r="I68" s="7" t="s">
        <v>291</v>
      </c>
    </row>
    <row r="69" spans="7:9" ht="12.75">
      <c r="G69" s="523"/>
      <c r="I69" s="7" t="s">
        <v>292</v>
      </c>
    </row>
    <row r="70" spans="7:9" ht="12.75">
      <c r="G70" s="523"/>
      <c r="I70" s="7" t="s">
        <v>293</v>
      </c>
    </row>
    <row r="71" spans="7:9" ht="12.75">
      <c r="G71" s="523"/>
      <c r="I71" s="7" t="s">
        <v>294</v>
      </c>
    </row>
    <row r="72" ht="12.75">
      <c r="G72" s="523"/>
    </row>
    <row r="73" ht="12.75">
      <c r="G73" s="523"/>
    </row>
    <row r="74" ht="12.75">
      <c r="F74" s="524"/>
    </row>
    <row r="75" ht="12.75">
      <c r="D75" s="524"/>
    </row>
    <row r="76" spans="3:5" ht="12.75">
      <c r="C76" s="146"/>
      <c r="D76" s="146"/>
      <c r="E76" s="524"/>
    </row>
    <row r="77" spans="3:5" ht="12.75">
      <c r="C77" s="146"/>
      <c r="D77" s="146"/>
      <c r="E77" s="524"/>
    </row>
    <row r="78" spans="3:5" ht="12.75">
      <c r="C78" s="146"/>
      <c r="D78" s="146"/>
      <c r="E78" s="524"/>
    </row>
    <row r="79" spans="3:5" ht="12.75">
      <c r="C79" s="146"/>
      <c r="D79" s="146"/>
      <c r="E79" s="524"/>
    </row>
    <row r="80" spans="3:5" ht="12.75">
      <c r="C80" s="146"/>
      <c r="D80" s="146"/>
      <c r="E80" s="524"/>
    </row>
    <row r="81" spans="3:5" ht="12.75">
      <c r="C81" s="146"/>
      <c r="D81" s="146"/>
      <c r="E81" s="524"/>
    </row>
    <row r="82" spans="3:5" ht="12.75">
      <c r="C82" s="146"/>
      <c r="D82" s="146"/>
      <c r="E82" s="524"/>
    </row>
  </sheetData>
  <sheetProtection/>
  <mergeCells count="9">
    <mergeCell ref="B53:G53"/>
    <mergeCell ref="B54:B55"/>
    <mergeCell ref="E54:G54"/>
    <mergeCell ref="A2:G2"/>
    <mergeCell ref="A3:G3"/>
    <mergeCell ref="D7:F7"/>
    <mergeCell ref="B37:G37"/>
    <mergeCell ref="B38:B39"/>
    <mergeCell ref="E38:G3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64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7.140625" style="7" customWidth="1"/>
    <col min="2" max="2" width="35.421875" style="7" customWidth="1"/>
    <col min="3" max="3" width="18.00390625" style="7" customWidth="1"/>
    <col min="4" max="4" width="18.140625" style="7" customWidth="1"/>
    <col min="5" max="5" width="20.7109375" style="7" customWidth="1"/>
    <col min="6" max="6" width="23.8515625" style="7" customWidth="1"/>
    <col min="7" max="7" width="20.140625" style="7" customWidth="1"/>
    <col min="8" max="8" width="8.28125" style="7" customWidth="1"/>
    <col min="9" max="9" width="14.57421875" style="7" bestFit="1" customWidth="1"/>
    <col min="10" max="10" width="14.140625" style="14" bestFit="1" customWidth="1"/>
    <col min="11" max="11" width="11.421875" style="14" customWidth="1"/>
    <col min="12" max="12" width="15.57421875" style="7" customWidth="1"/>
    <col min="13" max="13" width="11.421875" style="7" customWidth="1"/>
    <col min="14" max="14" width="13.8515625" style="7" bestFit="1" customWidth="1"/>
    <col min="15" max="15" width="11.421875" style="7" customWidth="1"/>
    <col min="16" max="17" width="11.421875" style="14" customWidth="1"/>
    <col min="18" max="16384" width="11.421875" style="7" customWidth="1"/>
  </cols>
  <sheetData>
    <row r="1" ht="3" customHeight="1" thickBot="1"/>
    <row r="2" spans="1:18" s="6" customFormat="1" ht="20.25" customHeight="1" thickBot="1">
      <c r="A2" s="551" t="s">
        <v>194</v>
      </c>
      <c r="B2" s="552"/>
      <c r="C2" s="552"/>
      <c r="D2" s="552"/>
      <c r="E2" s="552"/>
      <c r="F2" s="552"/>
      <c r="G2" s="553"/>
      <c r="H2" s="42"/>
      <c r="K2" s="3"/>
      <c r="L2" s="3"/>
      <c r="M2" s="3"/>
      <c r="N2" s="3"/>
      <c r="O2" s="3"/>
      <c r="P2" s="3"/>
      <c r="Q2" s="3"/>
      <c r="R2" s="3"/>
    </row>
    <row r="3" spans="1:12" s="14" customFormat="1" ht="31.5" customHeight="1">
      <c r="A3" s="554" t="s">
        <v>195</v>
      </c>
      <c r="B3" s="554"/>
      <c r="C3" s="554"/>
      <c r="D3" s="554"/>
      <c r="E3" s="554"/>
      <c r="F3" s="554"/>
      <c r="G3" s="554"/>
      <c r="H3" s="64"/>
      <c r="I3" s="64"/>
      <c r="J3" s="379" t="s">
        <v>196</v>
      </c>
      <c r="L3" s="267"/>
    </row>
    <row r="4" spans="1:12" s="14" customFormat="1" ht="13.5" customHeight="1" thickBot="1">
      <c r="A4" s="380"/>
      <c r="B4" s="7"/>
      <c r="C4" s="7"/>
      <c r="D4" s="7"/>
      <c r="E4" s="7"/>
      <c r="F4" s="7"/>
      <c r="G4" s="7"/>
      <c r="H4" s="64"/>
      <c r="I4" s="64"/>
      <c r="J4" s="379" t="s">
        <v>197</v>
      </c>
      <c r="L4" s="267"/>
    </row>
    <row r="5" spans="2:24" ht="27" customHeight="1" thickBot="1">
      <c r="B5" s="381" t="s">
        <v>198</v>
      </c>
      <c r="C5" s="490">
        <v>0.0229</v>
      </c>
      <c r="D5" s="374" t="s">
        <v>187</v>
      </c>
      <c r="E5" s="375" t="s">
        <v>190</v>
      </c>
      <c r="F5" s="376">
        <f>1-C5</f>
        <v>0.9771</v>
      </c>
      <c r="H5" s="2"/>
      <c r="I5" s="269"/>
      <c r="J5" s="379" t="s">
        <v>199</v>
      </c>
      <c r="K5" s="3"/>
      <c r="L5" s="267"/>
      <c r="M5" s="14"/>
      <c r="N5" s="14"/>
      <c r="O5" s="73"/>
      <c r="P5" s="73"/>
      <c r="Q5" s="73"/>
      <c r="R5" s="14"/>
      <c r="S5" s="14"/>
      <c r="T5" s="14"/>
      <c r="U5" s="14"/>
      <c r="V5" s="14"/>
      <c r="W5" s="14"/>
      <c r="X5" s="14"/>
    </row>
    <row r="6" spans="8:26" ht="15.75" thickBot="1">
      <c r="H6" s="81"/>
      <c r="I6" s="71"/>
      <c r="J6" s="379" t="s">
        <v>200</v>
      </c>
      <c r="L6" s="38"/>
      <c r="M6" s="14"/>
      <c r="N6" s="14"/>
      <c r="U6" s="87"/>
      <c r="V6" s="87"/>
      <c r="W6" s="87"/>
      <c r="X6" s="87"/>
      <c r="Y6" s="87"/>
      <c r="Z6" s="87"/>
    </row>
    <row r="7" spans="2:34" ht="21" customHeight="1" thickBot="1">
      <c r="B7" s="26"/>
      <c r="D7" s="540" t="s">
        <v>69</v>
      </c>
      <c r="E7" s="541"/>
      <c r="F7" s="542"/>
      <c r="H7" s="92"/>
      <c r="I7" s="71"/>
      <c r="J7" s="382" t="s">
        <v>201</v>
      </c>
      <c r="K7" s="270"/>
      <c r="N7" s="146"/>
      <c r="O7" s="73"/>
      <c r="P7" s="73"/>
      <c r="Q7" s="73"/>
      <c r="R7" s="6"/>
      <c r="S7" s="6"/>
      <c r="T7" s="270"/>
      <c r="U7" s="119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4" ht="19.5" customHeight="1" thickBot="1">
      <c r="B8" s="146"/>
      <c r="D8" s="383" t="s">
        <v>191</v>
      </c>
      <c r="E8" s="384" t="s">
        <v>192</v>
      </c>
      <c r="F8" s="383" t="s">
        <v>193</v>
      </c>
      <c r="H8" s="271"/>
      <c r="I8" s="71"/>
      <c r="J8" s="379" t="s">
        <v>202</v>
      </c>
      <c r="K8" s="6"/>
      <c r="L8" s="3"/>
      <c r="M8" s="72"/>
      <c r="N8" s="71"/>
      <c r="O8" s="73"/>
      <c r="P8" s="73"/>
      <c r="Q8" s="73"/>
      <c r="R8" s="6"/>
      <c r="S8" s="272"/>
      <c r="T8" s="6"/>
      <c r="U8" s="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4:34" ht="19.5" customHeight="1" thickBot="1">
      <c r="D9" s="372">
        <v>0.9</v>
      </c>
      <c r="E9" s="373">
        <v>0.78</v>
      </c>
      <c r="F9" s="373">
        <v>1.46</v>
      </c>
      <c r="H9" s="273"/>
      <c r="I9" s="6"/>
      <c r="J9" s="382" t="s">
        <v>203</v>
      </c>
      <c r="K9" s="6"/>
      <c r="L9" s="6"/>
      <c r="M9" s="6"/>
      <c r="N9" s="6"/>
      <c r="O9" s="6"/>
      <c r="P9" s="6"/>
      <c r="Q9" s="6"/>
      <c r="R9" s="6"/>
      <c r="S9" s="274"/>
      <c r="T9" s="119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2:34" ht="16.5" hidden="1" thickBot="1">
      <c r="B10" s="268"/>
      <c r="C10" s="275" t="s">
        <v>188</v>
      </c>
      <c r="D10" s="276">
        <f>F5^D9</f>
        <v>0.979366200985082</v>
      </c>
      <c r="E10" s="276">
        <f>F5^E9</f>
        <v>0.9820925811990256</v>
      </c>
      <c r="F10" s="385">
        <f>F5^F9</f>
        <v>0.9667428292244451</v>
      </c>
      <c r="H10" s="92"/>
      <c r="I10" s="6"/>
      <c r="K10" s="6"/>
      <c r="L10" s="3"/>
      <c r="M10" s="72"/>
      <c r="N10" s="71"/>
      <c r="O10" s="73"/>
      <c r="P10" s="73"/>
      <c r="Q10" s="6"/>
      <c r="R10" s="6"/>
      <c r="S10" s="277"/>
      <c r="T10" s="6"/>
      <c r="U10" s="3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2:34" ht="12.75" hidden="1">
      <c r="B11" s="278"/>
      <c r="C11" s="279" t="s">
        <v>70</v>
      </c>
      <c r="D11" s="9">
        <f>1-D10</f>
        <v>0.02063379901491802</v>
      </c>
      <c r="E11" s="9">
        <f>1-E10</f>
        <v>0.01790741880097435</v>
      </c>
      <c r="F11" s="9">
        <f>1-F10</f>
        <v>0.0332571707755549</v>
      </c>
      <c r="H11" s="92"/>
      <c r="I11" s="6"/>
      <c r="J11" s="42"/>
      <c r="K11" s="6"/>
      <c r="L11" s="6"/>
      <c r="M11" s="6"/>
      <c r="N11" s="6"/>
      <c r="O11" s="6"/>
      <c r="P11" s="6"/>
      <c r="Q11" s="73"/>
      <c r="R11" s="6"/>
      <c r="S11" s="272"/>
      <c r="T11" s="70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2:34" ht="12.75" hidden="1">
      <c r="B12" s="386"/>
      <c r="C12" s="76"/>
      <c r="D12" s="386"/>
      <c r="E12" s="386"/>
      <c r="F12" s="386"/>
      <c r="H12" s="280"/>
      <c r="I12" s="6"/>
      <c r="J12" s="281"/>
      <c r="K12" s="70"/>
      <c r="L12" s="282"/>
      <c r="M12" s="6"/>
      <c r="N12" s="6"/>
      <c r="O12" s="6"/>
      <c r="P12" s="6"/>
      <c r="Q12" s="6"/>
      <c r="R12" s="6"/>
      <c r="S12" s="283"/>
      <c r="T12" s="284"/>
      <c r="U12" s="282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2:34" ht="15" hidden="1" thickBot="1">
      <c r="B13" s="387"/>
      <c r="C13" s="388" t="s">
        <v>189</v>
      </c>
      <c r="D13" s="285" t="s">
        <v>28</v>
      </c>
      <c r="E13" s="286">
        <f>D10-F5</f>
        <v>0.002266200985082012</v>
      </c>
      <c r="F13" s="287">
        <f>F10-F5</f>
        <v>-0.01035717077555487</v>
      </c>
      <c r="G13" s="288">
        <f>E10-F5</f>
        <v>0.004992581199025681</v>
      </c>
      <c r="H13" s="92"/>
      <c r="I13" s="6"/>
      <c r="J13" s="283"/>
      <c r="K13" s="284"/>
      <c r="L13" s="6"/>
      <c r="M13" s="28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2:24" ht="13.5" hidden="1" thickBot="1">
      <c r="B14" s="389"/>
      <c r="C14" s="390" t="s">
        <v>58</v>
      </c>
      <c r="D14" s="391" t="s">
        <v>29</v>
      </c>
      <c r="E14" s="290">
        <f>1/E13</f>
        <v>441.2671279303194</v>
      </c>
      <c r="F14" s="291">
        <f>1/G13</f>
        <v>200.2971930021195</v>
      </c>
      <c r="G14" s="292">
        <f>1/F13</f>
        <v>-96.55146387662286</v>
      </c>
      <c r="J14" s="7"/>
      <c r="K14" s="7"/>
      <c r="P14" s="7"/>
      <c r="Q14" s="7"/>
      <c r="R14" s="14"/>
      <c r="S14" s="14"/>
      <c r="T14" s="14"/>
      <c r="U14" s="14"/>
      <c r="V14" s="14"/>
      <c r="W14" s="14"/>
      <c r="X14" s="14"/>
    </row>
    <row r="15" spans="2:17" ht="12.75" hidden="1">
      <c r="B15" s="386"/>
      <c r="C15" s="386"/>
      <c r="D15" s="386"/>
      <c r="E15" s="386"/>
      <c r="F15" s="386"/>
      <c r="J15" s="7"/>
      <c r="K15" s="7"/>
      <c r="P15" s="7"/>
      <c r="Q15" s="7"/>
    </row>
    <row r="16" spans="2:17" ht="15.75" hidden="1">
      <c r="B16" s="392"/>
      <c r="C16" s="159" t="s">
        <v>82</v>
      </c>
      <c r="D16" s="293" t="s">
        <v>83</v>
      </c>
      <c r="E16" s="294">
        <f>E14</f>
        <v>441.2671279303194</v>
      </c>
      <c r="F16" s="294">
        <f>F14</f>
        <v>200.2971930021195</v>
      </c>
      <c r="G16" s="294">
        <f>G14</f>
        <v>-96.55146387662286</v>
      </c>
      <c r="J16" s="7"/>
      <c r="K16" s="7"/>
      <c r="P16" s="7"/>
      <c r="Q16" s="7"/>
    </row>
    <row r="17" spans="1:9" s="6" customFormat="1" ht="12.75" hidden="1">
      <c r="A17" s="7"/>
      <c r="B17" s="393"/>
      <c r="C17" s="393"/>
      <c r="D17" s="295" t="s">
        <v>54</v>
      </c>
      <c r="E17" s="296">
        <f>(1-C5)*E14</f>
        <v>431.1621107007151</v>
      </c>
      <c r="F17" s="296">
        <f>(1-C5)*F14</f>
        <v>195.71038728237096</v>
      </c>
      <c r="G17" s="296">
        <f>(1-C5)*G14</f>
        <v>-94.34043535384819</v>
      </c>
      <c r="I17" s="152"/>
    </row>
    <row r="18" spans="1:7" s="6" customFormat="1" ht="12.75" hidden="1">
      <c r="A18" s="7"/>
      <c r="B18" s="394"/>
      <c r="C18" s="394"/>
      <c r="D18" s="171" t="s">
        <v>79</v>
      </c>
      <c r="E18" s="297">
        <f>E14*E13</f>
        <v>1</v>
      </c>
      <c r="F18" s="297">
        <f>F14*G13</f>
        <v>1</v>
      </c>
      <c r="G18" s="297">
        <f>G14*F13</f>
        <v>0.9999999999999999</v>
      </c>
    </row>
    <row r="19" spans="1:7" s="6" customFormat="1" ht="12.75" hidden="1">
      <c r="A19" s="7"/>
      <c r="B19" s="395"/>
      <c r="C19" s="395"/>
      <c r="D19" s="298" t="s">
        <v>55</v>
      </c>
      <c r="E19" s="299">
        <f>(C5-E13)*E14</f>
        <v>9.105017229604314</v>
      </c>
      <c r="F19" s="299">
        <f>(C5-G13)*F14</f>
        <v>3.586805719748537</v>
      </c>
      <c r="G19" s="299">
        <f>(C5-F13)*G14</f>
        <v>-3.2110285227746638</v>
      </c>
    </row>
    <row r="20" spans="1:12" s="6" customFormat="1" ht="12.75" hidden="1">
      <c r="A20" s="7"/>
      <c r="B20" s="396"/>
      <c r="C20" s="396"/>
      <c r="D20" s="396"/>
      <c r="E20" s="300"/>
      <c r="F20" s="300"/>
      <c r="G20" s="300"/>
      <c r="J20" s="182"/>
      <c r="K20" s="182"/>
      <c r="L20" s="184"/>
    </row>
    <row r="21" spans="1:12" s="6" customFormat="1" ht="15.75" hidden="1">
      <c r="A21" s="7"/>
      <c r="B21" s="392"/>
      <c r="C21" s="159" t="s">
        <v>84</v>
      </c>
      <c r="D21" s="293" t="s">
        <v>85</v>
      </c>
      <c r="E21" s="294">
        <f>E14</f>
        <v>441.2671279303194</v>
      </c>
      <c r="F21" s="294">
        <f>F14</f>
        <v>200.2971930021195</v>
      </c>
      <c r="G21" s="294">
        <f>G14</f>
        <v>-96.55146387662286</v>
      </c>
      <c r="I21" s="182"/>
      <c r="J21" s="182"/>
      <c r="K21" s="183"/>
      <c r="L21" s="184"/>
    </row>
    <row r="22" spans="1:12" s="6" customFormat="1" ht="12.75" hidden="1">
      <c r="A22" s="7"/>
      <c r="B22" s="397"/>
      <c r="C22" s="397"/>
      <c r="D22" s="187" t="s">
        <v>54</v>
      </c>
      <c r="E22" s="296">
        <f>ABS((1-(C5-E13))*E14)</f>
        <v>432.1621107007151</v>
      </c>
      <c r="F22" s="296">
        <f>ABS((1-(C5-G13))*F14)</f>
        <v>196.71038728237096</v>
      </c>
      <c r="G22" s="296">
        <f>ABS((1-(C5-F13))*G14)</f>
        <v>93.34043535384819</v>
      </c>
      <c r="I22" s="182"/>
      <c r="J22" s="182"/>
      <c r="K22" s="182"/>
      <c r="L22" s="184"/>
    </row>
    <row r="23" spans="2:17" ht="12.75" hidden="1">
      <c r="B23" s="398"/>
      <c r="C23" s="398"/>
      <c r="D23" s="301" t="s">
        <v>80</v>
      </c>
      <c r="E23" s="302">
        <f>E14*E13</f>
        <v>1</v>
      </c>
      <c r="F23" s="291">
        <f>F14*G13</f>
        <v>1</v>
      </c>
      <c r="G23" s="291">
        <f>G14*F13</f>
        <v>0.9999999999999999</v>
      </c>
      <c r="J23" s="7"/>
      <c r="K23" s="7"/>
      <c r="P23" s="7"/>
      <c r="Q23" s="7"/>
    </row>
    <row r="24" spans="2:17" ht="12.75" hidden="1">
      <c r="B24" s="399"/>
      <c r="C24" s="400"/>
      <c r="D24" s="303" t="s">
        <v>81</v>
      </c>
      <c r="E24" s="299">
        <f>ABS(C5*E14)</f>
        <v>10.105017229604314</v>
      </c>
      <c r="F24" s="299">
        <f>ABS(C5*F14)</f>
        <v>4.586805719748537</v>
      </c>
      <c r="G24" s="299">
        <f>ABS(C5*G14)</f>
        <v>2.2110285227746633</v>
      </c>
      <c r="I24" s="8"/>
      <c r="J24" s="8"/>
      <c r="K24" s="8"/>
      <c r="P24" s="7"/>
      <c r="Q24" s="7"/>
    </row>
    <row r="25" spans="1:11" s="6" customFormat="1" ht="12.75" hidden="1">
      <c r="A25" s="7"/>
      <c r="B25" s="401"/>
      <c r="C25" s="402"/>
      <c r="D25" s="202"/>
      <c r="E25" s="203"/>
      <c r="F25" s="203"/>
      <c r="G25" s="203"/>
      <c r="I25" s="1"/>
      <c r="J25" s="1"/>
      <c r="K25" s="1"/>
    </row>
    <row r="26" spans="2:17" ht="12.75" hidden="1">
      <c r="B26" s="403" t="s">
        <v>63</v>
      </c>
      <c r="C26" s="404"/>
      <c r="D26" s="404"/>
      <c r="E26" s="304">
        <f>ROUND(D9,2)</f>
        <v>0.9</v>
      </c>
      <c r="F26" s="305">
        <f>ROUND(E13,4)</f>
        <v>0.0023</v>
      </c>
      <c r="G26" s="306">
        <f>ROUND(E14,0)</f>
        <v>441</v>
      </c>
      <c r="J26" s="7"/>
      <c r="K26" s="7"/>
      <c r="P26" s="7"/>
      <c r="Q26" s="7"/>
    </row>
    <row r="27" spans="2:17" ht="12.75" hidden="1">
      <c r="B27" s="405" t="s">
        <v>65</v>
      </c>
      <c r="C27" s="406">
        <f>ROUND(D11,4)</f>
        <v>0.0206</v>
      </c>
      <c r="D27" s="406">
        <f>ROUND(C5,4)</f>
        <v>0.0229</v>
      </c>
      <c r="E27" s="307">
        <f>ROUND(E9,2)</f>
        <v>0.78</v>
      </c>
      <c r="F27" s="308">
        <f>ROUND(F13,4)</f>
        <v>-0.0104</v>
      </c>
      <c r="G27" s="309">
        <f>ROUND(F14,0)</f>
        <v>200</v>
      </c>
      <c r="P27" s="7"/>
      <c r="Q27" s="7"/>
    </row>
    <row r="28" spans="2:17" ht="12.75" hidden="1">
      <c r="B28" s="405" t="s">
        <v>64</v>
      </c>
      <c r="C28" s="407"/>
      <c r="D28" s="407"/>
      <c r="E28" s="307">
        <f>ROUND(F9,2)</f>
        <v>1.46</v>
      </c>
      <c r="F28" s="308">
        <f>ROUND(G13,4)</f>
        <v>0.005</v>
      </c>
      <c r="G28" s="309">
        <f>ROUND(G14,0)</f>
        <v>-97</v>
      </c>
      <c r="P28" s="7"/>
      <c r="Q28" s="7"/>
    </row>
    <row r="29" spans="2:17" ht="12.75" hidden="1">
      <c r="B29" s="405" t="s">
        <v>66</v>
      </c>
      <c r="C29" s="252" t="s">
        <v>95</v>
      </c>
      <c r="D29" s="252" t="s">
        <v>96</v>
      </c>
      <c r="E29" s="252" t="s">
        <v>69</v>
      </c>
      <c r="F29" s="252" t="s">
        <v>68</v>
      </c>
      <c r="G29" s="252" t="s">
        <v>61</v>
      </c>
      <c r="J29" s="7"/>
      <c r="K29" s="7"/>
      <c r="P29" s="7"/>
      <c r="Q29" s="7"/>
    </row>
    <row r="30" spans="2:17" ht="12.75" hidden="1">
      <c r="B30" s="408" t="s">
        <v>24</v>
      </c>
      <c r="C30" s="252" t="str">
        <f>CONCATENATE(C27*100,B29)</f>
        <v>2,06%</v>
      </c>
      <c r="D30" s="252" t="str">
        <f>CONCATENATE(D27*100,B29)</f>
        <v>2,29%</v>
      </c>
      <c r="E30" s="252" t="str">
        <f>CONCATENATE(E26," ",B26,E27,B27,E28,B28)</f>
        <v>0,9 (0,78-1,46)</v>
      </c>
      <c r="F30" s="252" t="str">
        <f>CONCATENATE(F26*100,B29," ",B26,F27*100,B29," ",B30," ",F28*100,B29,B28)</f>
        <v>0,23% (-1,04% a 0,5%)</v>
      </c>
      <c r="G30" s="252" t="str">
        <f>CONCATENATE(G26," ",B26,G27," ",B30," ",G28,B28)</f>
        <v>441 (200 a -97)</v>
      </c>
      <c r="J30" s="7"/>
      <c r="K30" s="7"/>
      <c r="P30" s="7"/>
      <c r="Q30" s="7"/>
    </row>
    <row r="31" spans="1:7" s="14" customFormat="1" ht="12.75" hidden="1">
      <c r="A31" s="7"/>
      <c r="B31" s="401"/>
      <c r="C31" s="3"/>
      <c r="D31" s="401"/>
      <c r="E31" s="401"/>
      <c r="F31" s="401"/>
      <c r="G31" s="6"/>
    </row>
    <row r="32" spans="2:17" ht="12.75">
      <c r="B32" s="386"/>
      <c r="C32" s="386"/>
      <c r="D32" s="409"/>
      <c r="E32" s="386"/>
      <c r="F32" s="386"/>
      <c r="J32" s="7"/>
      <c r="K32" s="7"/>
      <c r="P32" s="7"/>
      <c r="Q32" s="7"/>
    </row>
    <row r="33" spans="3:13" ht="18.75" customHeight="1">
      <c r="C33" s="378" t="s">
        <v>95</v>
      </c>
      <c r="D33" s="378" t="s">
        <v>96</v>
      </c>
      <c r="E33" s="378" t="s">
        <v>69</v>
      </c>
      <c r="F33" s="378" t="s">
        <v>60</v>
      </c>
      <c r="G33" s="378" t="s">
        <v>61</v>
      </c>
      <c r="L33" s="38"/>
      <c r="M33" s="410"/>
    </row>
    <row r="34" spans="3:13" ht="27.75" customHeight="1">
      <c r="C34" s="259" t="str">
        <f>C30</f>
        <v>2,06%</v>
      </c>
      <c r="D34" s="411" t="str">
        <f>D30</f>
        <v>2,29%</v>
      </c>
      <c r="E34" s="259" t="str">
        <f>E30</f>
        <v>0,9 (0,78-1,46)</v>
      </c>
      <c r="F34" s="259" t="str">
        <f>F30</f>
        <v>0,23% (-1,04% a 0,5%)</v>
      </c>
      <c r="G34" s="259" t="str">
        <f>G30</f>
        <v>441 (200 a -97)</v>
      </c>
      <c r="L34" s="38"/>
      <c r="M34" s="410"/>
    </row>
    <row r="35" spans="2:13" ht="12.75">
      <c r="B35" s="154"/>
      <c r="G35" s="412"/>
      <c r="L35" s="38"/>
      <c r="M35" s="410"/>
    </row>
    <row r="36" ht="13.5" thickBot="1">
      <c r="B36" s="154"/>
    </row>
    <row r="37" spans="2:7" ht="31.5" customHeight="1" thickBot="1">
      <c r="B37" s="543" t="s">
        <v>243</v>
      </c>
      <c r="C37" s="544"/>
      <c r="D37" s="544"/>
      <c r="E37" s="544"/>
      <c r="F37" s="544"/>
      <c r="G37" s="545"/>
    </row>
    <row r="38" spans="2:7" ht="39" customHeight="1" thickBot="1">
      <c r="B38" s="546" t="s">
        <v>125</v>
      </c>
      <c r="C38" s="556" t="s">
        <v>232</v>
      </c>
      <c r="D38" s="555" t="s">
        <v>233</v>
      </c>
      <c r="E38" s="548" t="s">
        <v>234</v>
      </c>
      <c r="F38" s="549"/>
      <c r="G38" s="550"/>
    </row>
    <row r="39" spans="2:7" ht="29.25" customHeight="1" thickBot="1">
      <c r="B39" s="547"/>
      <c r="C39" s="310" t="s">
        <v>123</v>
      </c>
      <c r="D39" s="262" t="s">
        <v>124</v>
      </c>
      <c r="E39" s="311" t="s">
        <v>69</v>
      </c>
      <c r="F39" s="263" t="s">
        <v>235</v>
      </c>
      <c r="G39" s="470" t="s">
        <v>236</v>
      </c>
    </row>
    <row r="40" spans="2:7" ht="13.5" thickBot="1">
      <c r="B40" s="70" t="s">
        <v>166</v>
      </c>
      <c r="C40" s="25"/>
      <c r="D40" s="25"/>
      <c r="E40" s="25"/>
      <c r="F40" s="25"/>
      <c r="G40" s="25"/>
    </row>
    <row r="41" spans="2:7" ht="23.25" customHeight="1" thickBot="1">
      <c r="B41" s="317" t="s">
        <v>297</v>
      </c>
      <c r="C41" s="368"/>
      <c r="D41" s="477">
        <v>0.0229</v>
      </c>
      <c r="E41" s="413" t="s">
        <v>97</v>
      </c>
      <c r="F41" s="320"/>
      <c r="G41" s="369"/>
    </row>
    <row r="42" spans="2:7" ht="9.75" customHeight="1">
      <c r="B42" s="266"/>
      <c r="C42" s="322"/>
      <c r="D42" s="522"/>
      <c r="E42" s="313"/>
      <c r="F42" s="414"/>
      <c r="G42" s="414"/>
    </row>
    <row r="43" spans="2:7" ht="19.5" thickBot="1">
      <c r="B43" s="70" t="s">
        <v>99</v>
      </c>
      <c r="C43" s="322"/>
      <c r="D43" s="522"/>
      <c r="E43" s="313"/>
      <c r="F43" s="414"/>
      <c r="G43" s="414"/>
    </row>
    <row r="44" spans="2:7" ht="21.75" customHeight="1">
      <c r="B44" s="324" t="s">
        <v>298</v>
      </c>
      <c r="C44" s="362"/>
      <c r="D44" s="481">
        <v>0.0114</v>
      </c>
      <c r="E44" s="325" t="s">
        <v>117</v>
      </c>
      <c r="F44" s="326"/>
      <c r="G44" s="415"/>
    </row>
    <row r="45" spans="2:7" ht="21.75" customHeight="1">
      <c r="B45" s="328" t="s">
        <v>299</v>
      </c>
      <c r="C45" s="363"/>
      <c r="D45" s="484">
        <v>0.0056</v>
      </c>
      <c r="E45" s="329" t="s">
        <v>102</v>
      </c>
      <c r="F45" s="330"/>
      <c r="G45" s="416"/>
    </row>
    <row r="46" spans="2:7" ht="21.75" customHeight="1">
      <c r="B46" s="328" t="s">
        <v>300</v>
      </c>
      <c r="C46" s="363"/>
      <c r="D46" s="484">
        <v>0.0145</v>
      </c>
      <c r="E46" s="329" t="s">
        <v>105</v>
      </c>
      <c r="F46" s="330"/>
      <c r="G46" s="417"/>
    </row>
    <row r="47" spans="2:7" ht="21.75" customHeight="1">
      <c r="B47" s="364" t="s">
        <v>301</v>
      </c>
      <c r="C47" s="363"/>
      <c r="D47" s="484">
        <v>0.0037</v>
      </c>
      <c r="E47" s="329" t="s">
        <v>107</v>
      </c>
      <c r="F47" s="330"/>
      <c r="G47" s="365"/>
    </row>
    <row r="48" spans="2:7" ht="30.75" customHeight="1" thickBot="1">
      <c r="B48" s="473" t="s">
        <v>302</v>
      </c>
      <c r="C48" s="366"/>
      <c r="D48" s="488">
        <v>0.0037</v>
      </c>
      <c r="E48" s="336" t="s">
        <v>109</v>
      </c>
      <c r="F48" s="337"/>
      <c r="G48" s="367"/>
    </row>
    <row r="52" ht="13.5" thickBot="1"/>
    <row r="53" spans="2:7" ht="31.5" customHeight="1" thickBot="1">
      <c r="B53" s="543" t="s">
        <v>243</v>
      </c>
      <c r="C53" s="544"/>
      <c r="D53" s="544"/>
      <c r="E53" s="544"/>
      <c r="F53" s="544"/>
      <c r="G53" s="545"/>
    </row>
    <row r="54" spans="2:7" ht="45.75" customHeight="1" thickBot="1">
      <c r="B54" s="546" t="s">
        <v>125</v>
      </c>
      <c r="C54" s="556" t="s">
        <v>296</v>
      </c>
      <c r="D54" s="555" t="s">
        <v>295</v>
      </c>
      <c r="E54" s="548" t="s">
        <v>280</v>
      </c>
      <c r="F54" s="549"/>
      <c r="G54" s="550"/>
    </row>
    <row r="55" spans="2:7" ht="46.5" customHeight="1" thickBot="1">
      <c r="B55" s="547"/>
      <c r="C55" s="310" t="s">
        <v>123</v>
      </c>
      <c r="D55" s="262" t="s">
        <v>124</v>
      </c>
      <c r="E55" s="470" t="s">
        <v>69</v>
      </c>
      <c r="F55" s="470" t="s">
        <v>235</v>
      </c>
      <c r="G55" s="470" t="s">
        <v>281</v>
      </c>
    </row>
    <row r="56" spans="2:7" ht="13.5" thickBot="1">
      <c r="B56" s="312" t="s">
        <v>166</v>
      </c>
      <c r="C56" s="25"/>
      <c r="D56" s="25"/>
      <c r="E56" s="25"/>
      <c r="F56" s="25"/>
      <c r="G56" s="25"/>
    </row>
    <row r="57" spans="2:7" ht="33" customHeight="1" thickBot="1">
      <c r="B57" s="317" t="s">
        <v>297</v>
      </c>
      <c r="C57" s="368"/>
      <c r="D57" s="477">
        <v>0.072</v>
      </c>
      <c r="E57" s="478" t="s">
        <v>237</v>
      </c>
      <c r="F57" s="320"/>
      <c r="G57" s="369"/>
    </row>
    <row r="58" spans="2:7" ht="18.75">
      <c r="B58" s="266"/>
      <c r="C58" s="15"/>
      <c r="D58" s="479"/>
      <c r="E58" s="480"/>
      <c r="F58" s="414"/>
      <c r="G58" s="414"/>
    </row>
    <row r="59" spans="2:7" ht="19.5" thickBot="1">
      <c r="B59" s="70" t="s">
        <v>99</v>
      </c>
      <c r="C59" s="15"/>
      <c r="D59" s="479"/>
      <c r="E59" s="480"/>
      <c r="F59" s="414"/>
      <c r="G59" s="414"/>
    </row>
    <row r="60" spans="2:7" ht="30.75" customHeight="1">
      <c r="B60" s="324" t="s">
        <v>298</v>
      </c>
      <c r="C60" s="362"/>
      <c r="D60" s="481">
        <v>0.04</v>
      </c>
      <c r="E60" s="482" t="s">
        <v>117</v>
      </c>
      <c r="F60" s="326"/>
      <c r="G60" s="415"/>
    </row>
    <row r="61" spans="2:7" ht="30.75" customHeight="1">
      <c r="B61" s="328" t="s">
        <v>299</v>
      </c>
      <c r="C61" s="363"/>
      <c r="D61" s="484">
        <v>0.018</v>
      </c>
      <c r="E61" s="485" t="s">
        <v>102</v>
      </c>
      <c r="F61" s="330"/>
      <c r="G61" s="416"/>
    </row>
    <row r="62" spans="2:7" ht="30.75" customHeight="1">
      <c r="B62" s="328" t="s">
        <v>300</v>
      </c>
      <c r="C62" s="363"/>
      <c r="D62" s="484">
        <v>0.046</v>
      </c>
      <c r="E62" s="485" t="s">
        <v>260</v>
      </c>
      <c r="F62" s="330"/>
      <c r="G62" s="417"/>
    </row>
    <row r="63" spans="2:7" ht="30.75" customHeight="1">
      <c r="B63" s="364" t="s">
        <v>301</v>
      </c>
      <c r="C63" s="363"/>
      <c r="D63" s="484">
        <v>0.012</v>
      </c>
      <c r="E63" s="485" t="s">
        <v>270</v>
      </c>
      <c r="F63" s="330"/>
      <c r="G63" s="365"/>
    </row>
    <row r="64" spans="2:7" ht="30.75" customHeight="1" thickBot="1">
      <c r="B64" s="473" t="s">
        <v>302</v>
      </c>
      <c r="C64" s="366"/>
      <c r="D64" s="488">
        <v>0.024</v>
      </c>
      <c r="E64" s="489" t="s">
        <v>273</v>
      </c>
      <c r="F64" s="337"/>
      <c r="G64" s="367"/>
    </row>
  </sheetData>
  <sheetProtection/>
  <mergeCells count="9">
    <mergeCell ref="B53:G53"/>
    <mergeCell ref="B54:B55"/>
    <mergeCell ref="E54:G54"/>
    <mergeCell ref="A2:G2"/>
    <mergeCell ref="A3:G3"/>
    <mergeCell ref="D7:F7"/>
    <mergeCell ref="B37:G37"/>
    <mergeCell ref="B38:B39"/>
    <mergeCell ref="E38:G3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2012-06-13T14:26:24Z</cp:lastPrinted>
  <dcterms:created xsi:type="dcterms:W3CDTF">2009-05-28T14:19:22Z</dcterms:created>
  <dcterms:modified xsi:type="dcterms:W3CDTF">2020-01-22T16:28:07Z</dcterms:modified>
  <cp:category/>
  <cp:version/>
  <cp:contentType/>
  <cp:contentStatus/>
</cp:coreProperties>
</file>