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955" tabRatio="658" activeTab="0"/>
  </bookViews>
  <sheets>
    <sheet name="por Inc Acum" sheetId="1" r:id="rId1"/>
    <sheet name="desde HR" sheetId="2" r:id="rId2"/>
    <sheet name="desde RR" sheetId="3" r:id="rId3"/>
  </sheets>
  <definedNames>
    <definedName name="ArticleComments" localSheetId="0">'por Inc Acum'!#REF!</definedName>
  </definedNames>
  <calcPr fullCalcOnLoad="1"/>
</workbook>
</file>

<file path=xl/sharedStrings.xml><?xml version="1.0" encoding="utf-8"?>
<sst xmlns="http://schemas.openxmlformats.org/spreadsheetml/2006/main" count="224" uniqueCount="136">
  <si>
    <t>Límite inferior del IC</t>
  </si>
  <si>
    <t>Límite superior del IC</t>
  </si>
  <si>
    <t>Sin eventos</t>
  </si>
  <si>
    <t>Con eventos</t>
  </si>
  <si>
    <t>Nº con evento</t>
  </si>
  <si>
    <t>RR</t>
  </si>
  <si>
    <t>Z α/2 (0,05)</t>
  </si>
  <si>
    <t>pM = proporción "media" de los eventos = nº total eventos / nº suma de ambos grupos; qM= complementario</t>
  </si>
  <si>
    <t>Los límites del intervalos de confianza son los exponentes neperianos o antilogaritmos de la ecuación [ ln RR +- Z α/2 x EE (ln RR) ]</t>
  </si>
  <si>
    <t>C= 2(n+z^2)</t>
  </si>
  <si>
    <t>IC = (A+-B)/C</t>
  </si>
  <si>
    <t>A= 2*eventos + z^2</t>
  </si>
  <si>
    <t>p (proporción) = eventos / n</t>
  </si>
  <si>
    <t>Operar</t>
  </si>
  <si>
    <t>Primero se procede haciendo los IC de ambas proporciones por el método de Wilson, y después se aplica: IC = RAR - Raíz [(p1-Ls1)^2 + (Li2-p2)^2]  hasta RAR + Raíz [(p2-Ls2)^2 + (Li1-p1)^2]</t>
  </si>
  <si>
    <t xml:space="preserve">Mét. Newcombe, 1988 </t>
  </si>
  <si>
    <t>A continuación, se aplica: IC = RAR - Raíz [(p1-Li1)^2 + (Ls2-p2)^2]  hasta RAR + Raíz [(p2-Li2)^2 + (Ls1-p1)^2], cuidando colocar arriba la proporción mayor y abajo la menor</t>
  </si>
  <si>
    <t>Mét.Wilson</t>
  </si>
  <si>
    <t>n = nº de los que hay en cada grupo (ojo, no de la suma de ambos)</t>
  </si>
  <si>
    <t>d = diferencia de proporciones de ambos grupos o RAR</t>
  </si>
  <si>
    <t>probabliidad o riesgo de cometer un error β =&gt; probabilidad de no detectar una diferencia que sí exista.</t>
  </si>
  <si>
    <t>1 -β = potencia estadística resultante =&gt; probab de detectar una diferencia entre ambos, en caso de que exista</t>
  </si>
  <si>
    <t>Expuestos</t>
  </si>
  <si>
    <t>No expuestos</t>
  </si>
  <si>
    <t>a</t>
  </si>
  <si>
    <t>Enferman</t>
  </si>
  <si>
    <t>No enferman</t>
  </si>
  <si>
    <t>Total</t>
  </si>
  <si>
    <t>RAR =</t>
  </si>
  <si>
    <t>NNT =</t>
  </si>
  <si>
    <t>ln RR</t>
  </si>
  <si>
    <t>n (de muestra)</t>
  </si>
  <si>
    <t>Estimación puntual de la proporción</t>
  </si>
  <si>
    <t>1-α = probabilidad dar por buena una diferencia que no existe.</t>
  </si>
  <si>
    <t>Dif Proporc de ambos grupos =  RAR</t>
  </si>
  <si>
    <t xml:space="preserve">EE (Dif Proporc) = Raíz[ pm(1-pm)/n1] + [ pm(1-pm)/n2] = </t>
  </si>
  <si>
    <t>Aunque es mejor calcularlo por ji^2 de Pearson, puede utilizarse una aproximación al cálculo de la "p de la diferencia"</t>
  </si>
  <si>
    <t>Coinciden z^2 de una distribución normal tipificada (=&gt; muestras grandes) con ji^2 con un grado de libertad (EA, pág 254)</t>
  </si>
  <si>
    <t>Cálculo del intervalo de confianza (IC) cada una de las dos proporciones (Riesgo absoluto de la intervención y Riesgo absoluto del control)</t>
  </si>
  <si>
    <t>Totales</t>
  </si>
  <si>
    <t xml:space="preserve">χ² teórico alfa 0,05, y 1 g.l = </t>
  </si>
  <si>
    <t>Grados de libertad = (Nº filas - 1 ) x (Nº columnas -1) =</t>
  </si>
  <si>
    <t>Esperadas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</si>
  <si>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</si>
  <si>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</si>
  <si>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</si>
  <si>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</si>
  <si>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 - χ² teórico =</t>
  </si>
  <si>
    <t>χ² cal=</t>
  </si>
  <si>
    <t>χ² cal= Suma [(ao-ae)^2/ae +(bo-be)^2/be + (co-ce)^2/ce + (do-de)^2/de)]</t>
  </si>
  <si>
    <t>Chi cuadrado de Pearson (un ejemplo de variable cualitativa)</t>
  </si>
  <si>
    <t>Es &lt; 0 =&gt;Acepto Ho =&gt; Homogeneidad o independencia (o tratamiento no eficaz)</t>
  </si>
  <si>
    <t>Es &gt; 0 =&gt;Rechazo Ho =&gt; Heterogenicidad o dependencia (o tratamiento eficaz)</t>
  </si>
  <si>
    <t>χ² cal= Sumat (observado i - esperado i)^2 / esperado i)</t>
  </si>
  <si>
    <t>Z α/2 = Dif Proporc / EE Dif proporc</t>
  </si>
  <si>
    <t>RRR</t>
  </si>
  <si>
    <t>Est puntual</t>
  </si>
  <si>
    <t>Lím inf IC 95%</t>
  </si>
  <si>
    <t>Lím sup IC 95%</t>
  </si>
  <si>
    <t xml:space="preserve">NNT = 1 / RAR = </t>
  </si>
  <si>
    <t>---------------------------------------------&gt;</t>
  </si>
  <si>
    <t>RA intervención</t>
  </si>
  <si>
    <t>RAR (IC 95%)</t>
  </si>
  <si>
    <t>NNT (IC 95%)</t>
  </si>
  <si>
    <t>α = probab de que la diferencia detectada entre ambos sea debida al azar, en caso de que no exista (error alfa)</t>
  </si>
  <si>
    <t>(</t>
  </si>
  <si>
    <t>)</t>
  </si>
  <si>
    <t>-</t>
  </si>
  <si>
    <t>%</t>
  </si>
  <si>
    <t>RR (IC 95%)</t>
  </si>
  <si>
    <t>RAR (IC95%)</t>
  </si>
  <si>
    <t>HR (IC 95%)</t>
  </si>
  <si>
    <t>% Eventos interv = complementario:</t>
  </si>
  <si>
    <t>NNT</t>
  </si>
  <si>
    <t>/</t>
  </si>
  <si>
    <t>RAR</t>
  </si>
  <si>
    <t>potencia</t>
  </si>
  <si>
    <t>Potencia</t>
  </si>
  <si>
    <t>Nº event Interv (%)</t>
  </si>
  <si>
    <t>Nº event Control (%)</t>
  </si>
  <si>
    <t>Nº de personas con evento</t>
  </si>
  <si>
    <t>Nº personas sin evento</t>
  </si>
  <si>
    <t>Mto de Intervención</t>
  </si>
  <si>
    <t>Mto de control</t>
  </si>
  <si>
    <t>Estimación puntual</t>
  </si>
  <si>
    <t>% RA interv</t>
  </si>
  <si>
    <t>% RA control</t>
  </si>
  <si>
    <t xml:space="preserve">NND = </t>
  </si>
  <si>
    <t xml:space="preserve">NNT = </t>
  </si>
  <si>
    <t>Aplíquese únicamente cuando el NNT y sus intervalos de confianza son POSITIVOS</t>
  </si>
  <si>
    <t>Aplíquese únicamente cuando el NNT y sus intervalos de confianza son NEGATIVOS</t>
  </si>
  <si>
    <t>Permanecerán sin evento (igual que con el Mto Control)</t>
  </si>
  <si>
    <t>Eventos que evitará más el Mto Intervención que el Mto Control</t>
  </si>
  <si>
    <t>Eventos que provocará más el Mto Intervención que el Mto Control</t>
  </si>
  <si>
    <t>Tendrán evento con el Mto Intervención (igual que con el Control)</t>
  </si>
  <si>
    <t>RR (IC 95%) obtenido en el metaanálisis</t>
  </si>
  <si>
    <t xml:space="preserve">% RA control = </t>
  </si>
  <si>
    <t>100% - % RA control =</t>
  </si>
  <si>
    <t>Cálculo de RAR y NNT a partir del RR de un metaanálisis y el % RA en el grupo control</t>
  </si>
  <si>
    <t>Cálculo de RAR y NNT a partir del HR y % RA en el grupo control</t>
  </si>
  <si>
    <r>
      <t>Abreviaturas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>RA</t>
    </r>
    <r>
      <rPr>
        <sz val="11"/>
        <rFont val="Calibri"/>
        <family val="2"/>
      </rPr>
      <t>: Riesgo Absoluto; R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: Riesgo Relativo; </t>
    </r>
    <r>
      <rPr>
        <b/>
        <sz val="11"/>
        <rFont val="Calibri"/>
        <family val="2"/>
      </rPr>
      <t>RAR</t>
    </r>
    <r>
      <rPr>
        <sz val="11"/>
        <rFont val="Calibri"/>
        <family val="2"/>
      </rPr>
      <t xml:space="preserve">: Reducción Absoluta del Riesgo; </t>
    </r>
    <r>
      <rPr>
        <b/>
        <sz val="11"/>
        <rFont val="Calibri"/>
        <family val="2"/>
      </rPr>
      <t>NNT</t>
    </r>
    <r>
      <rPr>
        <sz val="11"/>
        <rFont val="Calibri"/>
        <family val="2"/>
      </rPr>
      <t xml:space="preserve">: Número Necesario a Tratar para evitar un evento; </t>
    </r>
    <r>
      <rPr>
        <b/>
        <sz val="11"/>
        <rFont val="Calibri"/>
        <family val="2"/>
      </rPr>
      <t>NND:</t>
    </r>
    <r>
      <rPr>
        <sz val="11"/>
        <rFont val="Calibri"/>
        <family val="2"/>
      </rPr>
      <t xml:space="preserve"> Número Necesario para Dañar a un paciente más que con el control; </t>
    </r>
    <r>
      <rPr>
        <b/>
        <sz val="11"/>
        <rFont val="Calibri"/>
        <family val="2"/>
      </rPr>
      <t>IC 95%</t>
    </r>
    <r>
      <rPr>
        <sz val="11"/>
        <rFont val="Calibri"/>
        <family val="2"/>
      </rPr>
      <t>:intervalo de confianza al 95%.</t>
    </r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</si>
  <si>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 xml:space="preserve">: Riesgo Absoluto; </t>
    </r>
    <r>
      <rPr>
        <b/>
        <sz val="10"/>
        <rFont val="Calibri"/>
        <family val="2"/>
      </rPr>
      <t>HR</t>
    </r>
    <r>
      <rPr>
        <sz val="10"/>
        <rFont val="Calibri"/>
        <family val="2"/>
      </rPr>
      <t xml:space="preserve">: Hazard Ratio;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NND: Número Necesario para Dañar a un paciente más que con el control;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 intervalo de confianza al 95%</t>
    </r>
  </si>
  <si>
    <r>
      <t xml:space="preserve">Cálculo por incidencias acumuladas de RR, RAR, NNT con sus IC 95%, potencia estadística y valor de </t>
    </r>
    <r>
      <rPr>
        <b/>
        <i/>
        <sz val="16"/>
        <rFont val="Calibri"/>
        <family val="2"/>
      </rPr>
      <t>p</t>
    </r>
  </si>
  <si>
    <r>
      <t xml:space="preserve">B= z * Raíz [z^2 + 4*eventos (1 - </t>
    </r>
    <r>
      <rPr>
        <i/>
        <sz val="11"/>
        <color indexed="12"/>
        <rFont val="Calibri"/>
        <family val="2"/>
      </rPr>
      <t>p</t>
    </r>
    <r>
      <rPr>
        <sz val="11"/>
        <color indexed="12"/>
        <rFont val="Calibri"/>
        <family val="2"/>
      </rPr>
      <t xml:space="preserve">)] </t>
    </r>
  </si>
  <si>
    <r>
      <t>Ls1:</t>
    </r>
    <r>
      <rPr>
        <sz val="11"/>
        <color indexed="12"/>
        <rFont val="Calibri"/>
        <family val="2"/>
      </rPr>
      <t xml:space="preserve"> límite superior del grupo 1; </t>
    </r>
    <r>
      <rPr>
        <b/>
        <sz val="11"/>
        <color indexed="12"/>
        <rFont val="Calibri"/>
        <family val="2"/>
      </rPr>
      <t xml:space="preserve">Li2: </t>
    </r>
    <r>
      <rPr>
        <sz val="11"/>
        <color indexed="12"/>
        <rFont val="Calibri"/>
        <family val="2"/>
      </rPr>
      <t>límite inferior del grupo 2</t>
    </r>
  </si>
  <si>
    <r>
      <t>p</t>
    </r>
    <r>
      <rPr>
        <sz val="11"/>
        <color indexed="12"/>
        <rFont val="Calibri"/>
        <family val="2"/>
      </rPr>
      <t xml:space="preserve"> = eventos / n</t>
    </r>
  </si>
  <si>
    <r>
      <t>Cálculo de la potencia estadística</t>
    </r>
    <r>
      <rPr>
        <sz val="11"/>
        <rFont val="Calibri"/>
        <family val="2"/>
      </rPr>
      <t>: Zβ = [Raíz (nd^2 /2pm*qm)] - Z α/2 (0,05)</t>
    </r>
  </si>
  <si>
    <r>
      <t xml:space="preserve">Cálculo de la </t>
    </r>
    <r>
      <rPr>
        <b/>
        <i/>
        <sz val="11"/>
        <rFont val="Calibri"/>
        <family val="2"/>
      </rPr>
      <t>p</t>
    </r>
    <r>
      <rPr>
        <b/>
        <sz val="11"/>
        <rFont val="Calibri"/>
        <family val="2"/>
      </rPr>
      <t>:</t>
    </r>
    <r>
      <rPr>
        <sz val="11"/>
        <rFont val="Calibri"/>
        <family val="2"/>
      </rPr>
      <t xml:space="preserve"> Z α/2 = Dif Proporc / EE (Difer Proporc)</t>
    </r>
  </si>
  <si>
    <r>
      <t>Zβ = [Raíz (nd^2 /2</t>
    </r>
    <r>
      <rPr>
        <i/>
        <sz val="11"/>
        <rFont val="Calibri"/>
        <family val="2"/>
      </rPr>
      <t>pM</t>
    </r>
    <r>
      <rPr>
        <sz val="11"/>
        <rFont val="Calibri"/>
        <family val="2"/>
      </rPr>
      <t>*</t>
    </r>
    <r>
      <rPr>
        <i/>
        <sz val="11"/>
        <rFont val="Calibri"/>
        <family val="2"/>
      </rPr>
      <t>qM</t>
    </r>
    <r>
      <rPr>
        <sz val="11"/>
        <rFont val="Calibri"/>
        <family val="2"/>
      </rPr>
      <t>)] - Z α/2 (0,05)</t>
    </r>
  </si>
  <si>
    <r>
      <t>Corresponde a</t>
    </r>
    <r>
      <rPr>
        <b/>
        <i/>
        <sz val="11"/>
        <rFont val="Calibri"/>
        <family val="2"/>
      </rPr>
      <t xml:space="preserve"> p</t>
    </r>
    <r>
      <rPr>
        <sz val="11"/>
        <rFont val="Calibri"/>
        <family val="2"/>
      </rPr>
      <t>=</t>
    </r>
  </si>
  <si>
    <t>AÑOS</t>
  </si>
  <si>
    <t xml:space="preserve">CÁLCULOS POR INCIDENCIAS ACUMULADAS EN </t>
  </si>
  <si>
    <t>Efectividad = RRR (IC 95%)</t>
  </si>
  <si>
    <t>Cálculo del IC del RAR y del NNT</t>
  </si>
  <si>
    <t>APLICAR SÓLO SI EL NNT Y SUS IC SON POSITIVOS</t>
  </si>
  <si>
    <t>====&gt;  NNT</t>
  </si>
  <si>
    <t>Permanecerán sanos sin tomar el Mto de Intervención</t>
  </si>
  <si>
    <t>Permanecerán sanos por tomar el Mto de Intervención</t>
  </si>
  <si>
    <t>Enfermarán incluso tomando el Mto de Intervención</t>
  </si>
  <si>
    <t>APLICAR SÓLO SI EL NNT Y SUS IC SON NEGATIVOS</t>
  </si>
  <si>
    <t>====&gt;  NND</t>
  </si>
  <si>
    <t>Enfermarán por tomar el Mto de Intervención</t>
  </si>
  <si>
    <t>Enfermarán incluso sin tomar el Mto de Intervención</t>
  </si>
  <si>
    <t>EE del ln RR = Raíz (varianza del ln RR) = Raíz [b/ a(a+b)]+[d / c(c+d)]. También es igual a Raíz (1/a + 1/c - 1/a+b -1/c+d)</t>
  </si>
  <si>
    <t>EE del ln RR = Raíz (varianza del ln RR) = Raíz [b / a(a+b)]+[d/ c(c+d)]</t>
  </si>
  <si>
    <t>ln del LI IC</t>
  </si>
  <si>
    <t>ln del LS IC</t>
  </si>
  <si>
    <t>% RA control =</t>
  </si>
  <si>
    <r>
      <t>Abreviaturas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RA</t>
    </r>
    <r>
      <rPr>
        <sz val="10"/>
        <rFont val="Calibri"/>
        <family val="2"/>
      </rPr>
      <t>: Riesgo Absoluto; R</t>
    </r>
    <r>
      <rPr>
        <b/>
        <sz val="10"/>
        <rFont val="Calibri"/>
        <family val="2"/>
      </rPr>
      <t>R</t>
    </r>
    <r>
      <rPr>
        <sz val="10"/>
        <rFont val="Calibri"/>
        <family val="2"/>
      </rPr>
      <t xml:space="preserve">: Riesgo Relativo; </t>
    </r>
    <r>
      <rPr>
        <b/>
        <sz val="10"/>
        <rFont val="Calibri"/>
        <family val="2"/>
      </rPr>
      <t>RAR</t>
    </r>
    <r>
      <rPr>
        <sz val="10"/>
        <rFont val="Calibri"/>
        <family val="2"/>
      </rPr>
      <t xml:space="preserve">: Reducción Absoluta del Riesgo; </t>
    </r>
    <r>
      <rPr>
        <b/>
        <sz val="10"/>
        <rFont val="Calibri"/>
        <family val="2"/>
      </rPr>
      <t>NNT</t>
    </r>
    <r>
      <rPr>
        <sz val="10"/>
        <rFont val="Calibri"/>
        <family val="2"/>
      </rPr>
      <t xml:space="preserve">: Número Necesario a Tratar para evitar un evento; </t>
    </r>
    <r>
      <rPr>
        <b/>
        <sz val="10"/>
        <rFont val="Calibri"/>
        <family val="2"/>
      </rPr>
      <t>NND:</t>
    </r>
    <r>
      <rPr>
        <sz val="10"/>
        <rFont val="Calibri"/>
        <family val="2"/>
      </rPr>
      <t xml:space="preserve"> Número Necesario para Dañar a un paciente más que con el control; </t>
    </r>
    <r>
      <rPr>
        <b/>
        <sz val="10"/>
        <rFont val="Calibri"/>
        <family val="2"/>
      </rPr>
      <t>IC 95%</t>
    </r>
    <r>
      <rPr>
        <sz val="10"/>
        <rFont val="Calibri"/>
        <family val="2"/>
      </rPr>
      <t>:intervalo de confianza al 95%.</t>
    </r>
  </si>
  <si>
    <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</si>
  <si>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vertAlign val="superscript"/>
        <sz val="10"/>
        <rFont val="Calibri"/>
        <family val="2"/>
      </rPr>
      <t>HR</t>
    </r>
  </si>
  <si>
    <r>
      <t xml:space="preserve">RAR =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>interv</t>
    </r>
    <r>
      <rPr>
        <sz val="10"/>
        <rFont val="Calibri"/>
        <family val="2"/>
      </rPr>
      <t xml:space="preserve"> - </t>
    </r>
    <r>
      <rPr>
        <i/>
        <sz val="10"/>
        <rFont val="Calibri"/>
        <family val="2"/>
      </rPr>
      <t>S</t>
    </r>
    <r>
      <rPr>
        <vertAlign val="subscript"/>
        <sz val="10"/>
        <rFont val="Calibri"/>
        <family val="2"/>
      </rPr>
      <t xml:space="preserve">control </t>
    </r>
    <r>
      <rPr>
        <sz val="10"/>
        <rFont val="Calibri"/>
        <family val="2"/>
      </rPr>
      <t>=</t>
    </r>
  </si>
  <si>
    <r>
      <t>S</t>
    </r>
    <r>
      <rPr>
        <vertAlign val="subscript"/>
        <sz val="10"/>
        <rFont val="Calibri"/>
        <family val="2"/>
      </rPr>
      <t>control</t>
    </r>
    <r>
      <rPr>
        <sz val="10"/>
        <rFont val="Calibri"/>
        <family val="2"/>
      </rPr>
      <t>=</t>
    </r>
  </si>
  <si>
    <t>Límite inferior del IC 95%</t>
  </si>
  <si>
    <t>Límite superior del IC 95%</t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</si>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</sst>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000\ _€_-;\-* #,##0.0000\ _€_-;_-* &quot;-&quot;??\ _€_-;_-@_-"/>
    <numFmt numFmtId="167" formatCode="0.0%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\ _€_-;\-* #,##0.000\ _€_-;_-* &quot;-&quot;???\ _€_-;_-@_-"/>
    <numFmt numFmtId="171" formatCode="_-* #,##0.0\ _€_-;\-* #,##0.0\ _€_-;_-* &quot;-&quot;??\ _€_-;_-@_-"/>
    <numFmt numFmtId="172" formatCode="0.0"/>
    <numFmt numFmtId="173" formatCode="_-* #,##0.0\ _€_-;\-* #,##0.0\ _€_-;_-* &quot;-&quot;?\ _€_-;_-@_-"/>
    <numFmt numFmtId="174" formatCode="0.0000%"/>
    <numFmt numFmtId="175" formatCode="0.00000%"/>
    <numFmt numFmtId="176" formatCode="_-* #,##0\ _€_-;\-* #,##0\ _€_-;_-* &quot;-&quot;???\ _€_-;_-@_-"/>
    <numFmt numFmtId="177" formatCode="_-* #,##0.0000\ _€_-;\-* #,##0.0000\ _€_-;_-* &quot;-&quot;?\ _€_-;_-@_-"/>
    <numFmt numFmtId="178" formatCode="_-* #,##0.00\ _P_t_s_-;\-* #,##0.00\ _P_t_s_-;_-* &quot;-&quot;??\ _P_t_s_-;_-@_-"/>
    <numFmt numFmtId="179" formatCode="_-* #,##0.0000\ _P_t_s_-;\-* #,##0.0000\ _P_t_s_-;_-* &quot;-&quot;??\ _P_t_s_-;_-@_-"/>
    <numFmt numFmtId="180" formatCode="0.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0.000"/>
    <numFmt numFmtId="186" formatCode="00000"/>
    <numFmt numFmtId="187" formatCode="0.0000000"/>
    <numFmt numFmtId="188" formatCode="0.000000"/>
    <numFmt numFmtId="189" formatCode="0.00000"/>
    <numFmt numFmtId="190" formatCode="0.0000"/>
    <numFmt numFmtId="191" formatCode="0.000000%"/>
    <numFmt numFmtId="192" formatCode="0.0000000%"/>
    <numFmt numFmtId="193" formatCode="0.00000000"/>
    <numFmt numFmtId="194" formatCode="0.0000000000"/>
  </numFmts>
  <fonts count="11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1"/>
      <color indexed="12"/>
      <name val="Calibri"/>
      <family val="2"/>
    </font>
    <font>
      <b/>
      <sz val="11"/>
      <color indexed="12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vertAlign val="superscript"/>
      <sz val="10"/>
      <name val="Calibri"/>
      <family val="2"/>
    </font>
    <font>
      <sz val="1.5"/>
      <color indexed="8"/>
      <name val="Arial"/>
      <family val="2"/>
    </font>
    <font>
      <sz val="1.1"/>
      <color indexed="8"/>
      <name val="Arial"/>
      <family val="2"/>
    </font>
    <font>
      <sz val="12"/>
      <color indexed="8"/>
      <name val="Arial"/>
      <family val="2"/>
    </font>
    <font>
      <b/>
      <sz val="9.75"/>
      <color indexed="8"/>
      <name val="Trebuchet MS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.25"/>
      <color indexed="8"/>
      <name val="Trebuchet MS"/>
      <family val="2"/>
    </font>
    <font>
      <b/>
      <sz val="9"/>
      <color indexed="8"/>
      <name val="Calibri"/>
      <family val="2"/>
    </font>
    <font>
      <sz val="11.5"/>
      <color indexed="8"/>
      <name val="Arial"/>
      <family val="2"/>
    </font>
    <font>
      <b/>
      <sz val="8.5"/>
      <color indexed="8"/>
      <name val="Trebuchet MS"/>
      <family val="2"/>
    </font>
    <font>
      <b/>
      <sz val="8.5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color indexed="9"/>
      <name val="Calibri"/>
      <family val="2"/>
    </font>
    <font>
      <b/>
      <sz val="9.5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9.25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Trebuchet MS"/>
      <family val="2"/>
    </font>
    <font>
      <sz val="9.2"/>
      <color indexed="8"/>
      <name val="Calibri"/>
      <family val="2"/>
    </font>
    <font>
      <sz val="7.75"/>
      <color indexed="8"/>
      <name val="Calibri"/>
      <family val="2"/>
    </font>
    <font>
      <b/>
      <sz val="7.75"/>
      <color indexed="8"/>
      <name val="Calibri"/>
      <family val="2"/>
    </font>
    <font>
      <sz val="6.9"/>
      <color indexed="8"/>
      <name val="Calibri"/>
      <family val="2"/>
    </font>
    <font>
      <b/>
      <sz val="6.2"/>
      <color indexed="8"/>
      <name val="Calibri"/>
      <family val="2"/>
    </font>
    <font>
      <sz val="11"/>
      <color indexed="8"/>
      <name val="Courier"/>
      <family val="2"/>
    </font>
    <font>
      <sz val="11"/>
      <color indexed="9"/>
      <name val="Courier"/>
      <family val="2"/>
    </font>
    <font>
      <sz val="11"/>
      <color indexed="17"/>
      <name val="Courier"/>
      <family val="2"/>
    </font>
    <font>
      <b/>
      <sz val="11"/>
      <color indexed="52"/>
      <name val="Courier"/>
      <family val="2"/>
    </font>
    <font>
      <b/>
      <sz val="11"/>
      <color indexed="9"/>
      <name val="Courier"/>
      <family val="2"/>
    </font>
    <font>
      <sz val="11"/>
      <color indexed="52"/>
      <name val="Courier"/>
      <family val="2"/>
    </font>
    <font>
      <b/>
      <sz val="15"/>
      <color indexed="56"/>
      <name val="Courier"/>
      <family val="2"/>
    </font>
    <font>
      <b/>
      <sz val="11"/>
      <color indexed="56"/>
      <name val="Courier"/>
      <family val="2"/>
    </font>
    <font>
      <sz val="11"/>
      <color indexed="62"/>
      <name val="Courier"/>
      <family val="2"/>
    </font>
    <font>
      <sz val="11"/>
      <color indexed="20"/>
      <name val="Courier"/>
      <family val="2"/>
    </font>
    <font>
      <sz val="11"/>
      <color indexed="60"/>
      <name val="Courier"/>
      <family val="2"/>
    </font>
    <font>
      <b/>
      <sz val="11"/>
      <color indexed="63"/>
      <name val="Courier"/>
      <family val="2"/>
    </font>
    <font>
      <sz val="11"/>
      <color indexed="10"/>
      <name val="Courier"/>
      <family val="2"/>
    </font>
    <font>
      <i/>
      <sz val="11"/>
      <color indexed="23"/>
      <name val="Courier"/>
      <family val="2"/>
    </font>
    <font>
      <b/>
      <sz val="18"/>
      <color indexed="56"/>
      <name val="Cambria"/>
      <family val="2"/>
    </font>
    <font>
      <b/>
      <sz val="13"/>
      <color indexed="56"/>
      <name val="Courier"/>
      <family val="2"/>
    </font>
    <font>
      <b/>
      <sz val="11"/>
      <color indexed="8"/>
      <name val="Courier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12"/>
      <name val="Calibri"/>
      <family val="2"/>
    </font>
    <font>
      <b/>
      <sz val="14"/>
      <color indexed="12"/>
      <name val="Calibri"/>
      <family val="2"/>
    </font>
    <font>
      <sz val="14"/>
      <color indexed="52"/>
      <name val="Calibri"/>
      <family val="2"/>
    </font>
    <font>
      <b/>
      <sz val="14"/>
      <color indexed="57"/>
      <name val="Calibri"/>
      <family val="2"/>
    </font>
    <font>
      <b/>
      <sz val="12"/>
      <name val="Calibri"/>
      <family val="2"/>
    </font>
    <font>
      <sz val="10"/>
      <color indexed="12"/>
      <name val="Calibri"/>
      <family val="2"/>
    </font>
    <font>
      <sz val="10"/>
      <color indexed="52"/>
      <name val="Calibri"/>
      <family val="2"/>
    </font>
    <font>
      <b/>
      <sz val="9"/>
      <name val="Calibri"/>
      <family val="2"/>
    </font>
    <font>
      <sz val="8.1"/>
      <color indexed="63"/>
      <name val="Calibri"/>
      <family val="2"/>
    </font>
    <font>
      <sz val="12"/>
      <color indexed="8"/>
      <name val="Calibri"/>
      <family val="2"/>
    </font>
    <font>
      <b/>
      <sz val="10"/>
      <color indexed="14"/>
      <name val="Calibri"/>
      <family val="2"/>
    </font>
    <font>
      <sz val="10"/>
      <color indexed="14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1"/>
      <color indexed="63"/>
      <name val="Calibri"/>
      <family val="2"/>
    </font>
    <font>
      <sz val="11"/>
      <color indexed="20"/>
      <name val="Calibri"/>
      <family val="2"/>
    </font>
    <font>
      <i/>
      <sz val="11"/>
      <color indexed="20"/>
      <name val="Calibri"/>
      <family val="2"/>
    </font>
    <font>
      <sz val="11"/>
      <color indexed="52"/>
      <name val="Calibri"/>
      <family val="2"/>
    </font>
    <font>
      <b/>
      <i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10"/>
      <name val="Calibri"/>
      <family val="2"/>
    </font>
    <font>
      <b/>
      <u val="single"/>
      <sz val="11"/>
      <name val="Calibri"/>
      <family val="2"/>
    </font>
    <font>
      <b/>
      <sz val="11"/>
      <color indexed="14"/>
      <name val="Calibri"/>
      <family val="2"/>
    </font>
    <font>
      <sz val="11"/>
      <color indexed="14"/>
      <name val="Calibri"/>
      <family val="2"/>
    </font>
    <font>
      <sz val="9"/>
      <name val="Calibri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3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8.25"/>
      <color indexed="8"/>
      <name val="Arial"/>
      <family val="2"/>
    </font>
    <font>
      <sz val="12"/>
      <color indexed="12"/>
      <name val="Calibri"/>
      <family val="2"/>
    </font>
    <font>
      <sz val="11"/>
      <color theme="1"/>
      <name val="Courier"/>
      <family val="2"/>
    </font>
    <font>
      <sz val="11"/>
      <color theme="0"/>
      <name val="Courier"/>
      <family val="2"/>
    </font>
    <font>
      <sz val="11"/>
      <color rgb="FF006100"/>
      <name val="Courier"/>
      <family val="2"/>
    </font>
    <font>
      <b/>
      <sz val="11"/>
      <color rgb="FFFA7D00"/>
      <name val="Courier"/>
      <family val="2"/>
    </font>
    <font>
      <b/>
      <sz val="11"/>
      <color theme="0"/>
      <name val="Courier"/>
      <family val="2"/>
    </font>
    <font>
      <sz val="11"/>
      <color rgb="FFFA7D00"/>
      <name val="Courier"/>
      <family val="2"/>
    </font>
    <font>
      <b/>
      <sz val="15"/>
      <color theme="3"/>
      <name val="Courier"/>
      <family val="2"/>
    </font>
    <font>
      <b/>
      <sz val="11"/>
      <color theme="3"/>
      <name val="Courier"/>
      <family val="2"/>
    </font>
    <font>
      <sz val="11"/>
      <color rgb="FF3F3F76"/>
      <name val="Courier"/>
      <family val="2"/>
    </font>
    <font>
      <sz val="11"/>
      <color rgb="FF9C0006"/>
      <name val="Courier"/>
      <family val="2"/>
    </font>
    <font>
      <sz val="11"/>
      <color rgb="FF9C6500"/>
      <name val="Courier"/>
      <family val="2"/>
    </font>
    <font>
      <b/>
      <sz val="11"/>
      <color rgb="FF3F3F3F"/>
      <name val="Courier"/>
      <family val="2"/>
    </font>
    <font>
      <sz val="11"/>
      <color rgb="FFFF0000"/>
      <name val="Courier"/>
      <family val="2"/>
    </font>
    <font>
      <i/>
      <sz val="11"/>
      <color rgb="FF7F7F7F"/>
      <name val="Courier"/>
      <family val="2"/>
    </font>
    <font>
      <b/>
      <sz val="18"/>
      <color theme="3"/>
      <name val="Cambria"/>
      <family val="2"/>
    </font>
    <font>
      <b/>
      <sz val="13"/>
      <color theme="3"/>
      <name val="Courier"/>
      <family val="2"/>
    </font>
    <font>
      <b/>
      <sz val="11"/>
      <color theme="1"/>
      <name val="Courier"/>
      <family val="2"/>
    </font>
    <font>
      <b/>
      <sz val="11"/>
      <color rgb="FF008000"/>
      <name val="Calibri"/>
      <family val="2"/>
    </font>
    <font>
      <b/>
      <sz val="12"/>
      <color rgb="FF008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7" fillId="21" borderId="6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" applyNumberFormat="0" applyFill="0" applyAlignment="0" applyProtection="0"/>
    <xf numFmtId="0" fontId="103" fillId="0" borderId="8" applyNumberFormat="0" applyFill="0" applyAlignment="0" applyProtection="0"/>
    <xf numFmtId="0" fontId="112" fillId="0" borderId="9" applyNumberFormat="0" applyFill="0" applyAlignment="0" applyProtection="0"/>
  </cellStyleXfs>
  <cellXfs count="525">
    <xf numFmtId="0" fontId="0" fillId="0" borderId="0" xfId="0" applyAlignment="1">
      <alignment/>
    </xf>
    <xf numFmtId="43" fontId="59" fillId="0" borderId="0" xfId="49" applyFont="1" applyFill="1" applyBorder="1" applyAlignment="1">
      <alignment horizontal="center" vertical="distributed" wrapText="1"/>
    </xf>
    <xf numFmtId="43" fontId="60" fillId="0" borderId="0" xfId="49" applyFont="1" applyFill="1" applyBorder="1" applyAlignment="1">
      <alignment horizontal="right" vertical="distributed"/>
    </xf>
    <xf numFmtId="43" fontId="60" fillId="0" borderId="0" xfId="0" applyNumberFormat="1" applyFont="1" applyFill="1" applyBorder="1" applyAlignment="1">
      <alignment horizontal="right" vertical="distributed"/>
    </xf>
    <xf numFmtId="10" fontId="61" fillId="0" borderId="0" xfId="55" applyNumberFormat="1" applyFont="1" applyBorder="1" applyAlignment="1">
      <alignment horizontal="center"/>
    </xf>
    <xf numFmtId="10" fontId="62" fillId="0" borderId="0" xfId="55" applyNumberFormat="1" applyFont="1" applyBorder="1" applyAlignment="1">
      <alignment horizontal="center"/>
    </xf>
    <xf numFmtId="10" fontId="63" fillId="0" borderId="0" xfId="0" applyNumberFormat="1" applyFont="1" applyAlignment="1">
      <alignment/>
    </xf>
    <xf numFmtId="0" fontId="64" fillId="0" borderId="0" xfId="0" applyFont="1" applyFill="1" applyBorder="1" applyAlignment="1">
      <alignment horizontal="right"/>
    </xf>
    <xf numFmtId="10" fontId="64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10" fontId="61" fillId="0" borderId="0" xfId="0" applyNumberFormat="1" applyFont="1" applyFill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18" fontId="61" fillId="0" borderId="0" xfId="49" applyNumberFormat="1" applyFont="1" applyBorder="1" applyAlignment="1">
      <alignment horizontal="center"/>
    </xf>
    <xf numFmtId="49" fontId="60" fillId="0" borderId="0" xfId="49" applyNumberFormat="1" applyFont="1" applyFill="1" applyBorder="1" applyAlignment="1">
      <alignment horizontal="center" vertical="distributed"/>
    </xf>
    <xf numFmtId="167" fontId="61" fillId="0" borderId="0" xfId="55" applyNumberFormat="1" applyFont="1" applyFill="1" applyAlignment="1">
      <alignment horizontal="center"/>
    </xf>
    <xf numFmtId="10" fontId="61" fillId="0" borderId="0" xfId="55" applyNumberFormat="1" applyFont="1" applyFill="1" applyBorder="1" applyAlignment="1">
      <alignment horizontal="center"/>
    </xf>
    <xf numFmtId="164" fontId="61" fillId="0" borderId="0" xfId="0" applyNumberFormat="1" applyFont="1" applyFill="1" applyBorder="1" applyAlignment="1">
      <alignment/>
    </xf>
    <xf numFmtId="9" fontId="61" fillId="0" borderId="0" xfId="0" applyNumberFormat="1" applyFont="1" applyFill="1" applyBorder="1" applyAlignment="1">
      <alignment/>
    </xf>
    <xf numFmtId="43" fontId="61" fillId="0" borderId="0" xfId="0" applyNumberFormat="1" applyFont="1" applyFill="1" applyBorder="1" applyAlignment="1">
      <alignment/>
    </xf>
    <xf numFmtId="43" fontId="61" fillId="0" borderId="0" xfId="49" applyFont="1" applyFill="1" applyBorder="1" applyAlignment="1">
      <alignment/>
    </xf>
    <xf numFmtId="43" fontId="61" fillId="0" borderId="0" xfId="49" applyFont="1" applyFill="1" applyAlignment="1">
      <alignment/>
    </xf>
    <xf numFmtId="0" fontId="65" fillId="0" borderId="0" xfId="0" applyFont="1" applyFill="1" applyAlignment="1">
      <alignment/>
    </xf>
    <xf numFmtId="165" fontId="61" fillId="0" borderId="0" xfId="0" applyNumberFormat="1" applyFont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right"/>
    </xf>
    <xf numFmtId="167" fontId="61" fillId="0" borderId="0" xfId="55" applyNumberFormat="1" applyFont="1" applyFill="1" applyBorder="1" applyAlignment="1">
      <alignment/>
    </xf>
    <xf numFmtId="10" fontId="61" fillId="0" borderId="0" xfId="55" applyNumberFormat="1" applyFont="1" applyFill="1" applyAlignment="1">
      <alignment/>
    </xf>
    <xf numFmtId="0" fontId="60" fillId="0" borderId="0" xfId="0" applyFont="1" applyAlignment="1">
      <alignment/>
    </xf>
    <xf numFmtId="1" fontId="66" fillId="0" borderId="10" xfId="0" applyNumberFormat="1" applyFont="1" applyFill="1" applyBorder="1" applyAlignment="1">
      <alignment horizontal="center" vertical="distributed"/>
    </xf>
    <xf numFmtId="0" fontId="6" fillId="0" borderId="0" xfId="0" applyFont="1" applyFill="1" applyBorder="1" applyAlignment="1">
      <alignment/>
    </xf>
    <xf numFmtId="43" fontId="6" fillId="0" borderId="0" xfId="49" applyFont="1" applyFill="1" applyBorder="1" applyAlignment="1">
      <alignment/>
    </xf>
    <xf numFmtId="43" fontId="7" fillId="0" borderId="0" xfId="49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 vertical="distributed"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7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7" fillId="0" borderId="11" xfId="0" applyFont="1" applyBorder="1" applyAlignment="1">
      <alignment horizontal="right" vertical="distributed"/>
    </xf>
    <xf numFmtId="10" fontId="9" fillId="0" borderId="12" xfId="55" applyNumberFormat="1" applyFont="1" applyBorder="1" applyAlignment="1">
      <alignment horizontal="center"/>
    </xf>
    <xf numFmtId="10" fontId="67" fillId="0" borderId="0" xfId="55" applyNumberFormat="1" applyFont="1" applyFill="1" applyBorder="1" applyAlignment="1">
      <alignment horizontal="center"/>
    </xf>
    <xf numFmtId="10" fontId="9" fillId="0" borderId="0" xfId="55" applyNumberFormat="1" applyFont="1" applyFill="1" applyBorder="1" applyAlignment="1">
      <alignment horizontal="center" vertical="distributed"/>
    </xf>
    <xf numFmtId="10" fontId="9" fillId="0" borderId="0" xfId="49" applyNumberFormat="1" applyFont="1" applyFill="1" applyBorder="1" applyAlignment="1">
      <alignment horizontal="center"/>
    </xf>
    <xf numFmtId="169" fontId="9" fillId="0" borderId="0" xfId="49" applyNumberFormat="1" applyFont="1" applyFill="1" applyBorder="1" applyAlignment="1">
      <alignment horizontal="center"/>
    </xf>
    <xf numFmtId="43" fontId="9" fillId="0" borderId="0" xfId="49" applyFont="1" applyFill="1" applyBorder="1" applyAlignment="1">
      <alignment horizontal="center"/>
    </xf>
    <xf numFmtId="43" fontId="8" fillId="0" borderId="0" xfId="49" applyFont="1" applyFill="1" applyBorder="1" applyAlignment="1">
      <alignment/>
    </xf>
    <xf numFmtId="0" fontId="67" fillId="0" borderId="0" xfId="0" applyFont="1" applyFill="1" applyBorder="1" applyAlignment="1">
      <alignment horizontal="center"/>
    </xf>
    <xf numFmtId="0" fontId="68" fillId="0" borderId="0" xfId="0" applyFont="1" applyFill="1" applyAlignment="1">
      <alignment/>
    </xf>
    <xf numFmtId="0" fontId="67" fillId="0" borderId="0" xfId="0" applyFont="1" applyFill="1" applyBorder="1" applyAlignment="1">
      <alignment vertical="center" textRotation="90"/>
    </xf>
    <xf numFmtId="0" fontId="9" fillId="0" borderId="0" xfId="0" applyFont="1" applyFill="1" applyBorder="1" applyAlignment="1">
      <alignment horizontal="left"/>
    </xf>
    <xf numFmtId="43" fontId="69" fillId="0" borderId="0" xfId="49" applyFont="1" applyFill="1" applyBorder="1" applyAlignment="1">
      <alignment horizontal="right"/>
    </xf>
    <xf numFmtId="0" fontId="70" fillId="0" borderId="0" xfId="0" applyFont="1" applyAlignment="1">
      <alignment/>
    </xf>
    <xf numFmtId="164" fontId="9" fillId="0" borderId="0" xfId="0" applyNumberFormat="1" applyFont="1" applyFill="1" applyBorder="1" applyAlignment="1">
      <alignment/>
    </xf>
    <xf numFmtId="166" fontId="9" fillId="0" borderId="0" xfId="49" applyNumberFormat="1" applyFont="1" applyFill="1" applyBorder="1" applyAlignment="1">
      <alignment/>
    </xf>
    <xf numFmtId="0" fontId="71" fillId="0" borderId="0" xfId="0" applyFont="1" applyAlignment="1">
      <alignment/>
    </xf>
    <xf numFmtId="167" fontId="9" fillId="0" borderId="0" xfId="55" applyNumberFormat="1" applyFont="1" applyFill="1" applyBorder="1" applyAlignment="1">
      <alignment/>
    </xf>
    <xf numFmtId="177" fontId="9" fillId="0" borderId="0" xfId="0" applyNumberFormat="1" applyFont="1" applyFill="1" applyBorder="1" applyAlignment="1">
      <alignment/>
    </xf>
    <xf numFmtId="49" fontId="14" fillId="0" borderId="11" xfId="0" applyNumberFormat="1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185" fontId="9" fillId="0" borderId="11" xfId="0" applyNumberFormat="1" applyFont="1" applyBorder="1" applyAlignment="1">
      <alignment horizontal="center"/>
    </xf>
    <xf numFmtId="170" fontId="9" fillId="0" borderId="14" xfId="0" applyNumberFormat="1" applyFont="1" applyBorder="1" applyAlignment="1">
      <alignment/>
    </xf>
    <xf numFmtId="170" fontId="9" fillId="0" borderId="12" xfId="0" applyNumberFormat="1" applyFont="1" applyBorder="1" applyAlignment="1">
      <alignment/>
    </xf>
    <xf numFmtId="167" fontId="8" fillId="0" borderId="0" xfId="55" applyNumberFormat="1" applyFont="1" applyFill="1" applyBorder="1" applyAlignment="1">
      <alignment/>
    </xf>
    <xf numFmtId="165" fontId="8" fillId="0" borderId="0" xfId="49" applyNumberFormat="1" applyFont="1" applyFill="1" applyBorder="1" applyAlignment="1">
      <alignment/>
    </xf>
    <xf numFmtId="49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10" fontId="9" fillId="0" borderId="0" xfId="55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7" fillId="0" borderId="0" xfId="0" applyFont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10" fontId="8" fillId="0" borderId="0" xfId="55" applyNumberFormat="1" applyFont="1" applyFill="1" applyBorder="1" applyAlignment="1">
      <alignment/>
    </xf>
    <xf numFmtId="169" fontId="9" fillId="0" borderId="0" xfId="0" applyNumberFormat="1" applyFont="1" applyFill="1" applyBorder="1" applyAlignment="1">
      <alignment/>
    </xf>
    <xf numFmtId="10" fontId="72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8" fillId="0" borderId="16" xfId="0" applyFont="1" applyFill="1" applyBorder="1" applyAlignment="1">
      <alignment horizontal="center"/>
    </xf>
    <xf numFmtId="10" fontId="8" fillId="0" borderId="16" xfId="55" applyNumberFormat="1" applyFont="1" applyFill="1" applyBorder="1" applyAlignment="1">
      <alignment horizontal="center"/>
    </xf>
    <xf numFmtId="10" fontId="8" fillId="0" borderId="17" xfId="55" applyNumberFormat="1" applyFont="1" applyFill="1" applyBorder="1" applyAlignment="1">
      <alignment horizontal="center"/>
    </xf>
    <xf numFmtId="170" fontId="9" fillId="0" borderId="0" xfId="0" applyNumberFormat="1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/>
    </xf>
    <xf numFmtId="1" fontId="8" fillId="0" borderId="19" xfId="0" applyNumberFormat="1" applyFon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2" fontId="9" fillId="33" borderId="22" xfId="0" applyNumberFormat="1" applyFont="1" applyFill="1" applyBorder="1" applyAlignment="1">
      <alignment horizontal="center"/>
    </xf>
    <xf numFmtId="10" fontId="9" fillId="33" borderId="22" xfId="55" applyNumberFormat="1" applyFont="1" applyFill="1" applyBorder="1" applyAlignment="1">
      <alignment horizontal="center"/>
    </xf>
    <xf numFmtId="1" fontId="9" fillId="33" borderId="23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/>
    </xf>
    <xf numFmtId="10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10" fontId="9" fillId="33" borderId="0" xfId="55" applyNumberFormat="1" applyFont="1" applyFill="1" applyBorder="1" applyAlignment="1">
      <alignment horizontal="center"/>
    </xf>
    <xf numFmtId="1" fontId="9" fillId="33" borderId="25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9" fillId="33" borderId="26" xfId="0" applyFont="1" applyFill="1" applyBorder="1" applyAlignment="1">
      <alignment/>
    </xf>
    <xf numFmtId="10" fontId="9" fillId="0" borderId="0" xfId="0" applyNumberFormat="1" applyFont="1" applyAlignment="1">
      <alignment/>
    </xf>
    <xf numFmtId="0" fontId="8" fillId="33" borderId="10" xfId="0" applyFont="1" applyFill="1" applyBorder="1" applyAlignment="1">
      <alignment horizontal="center" vertical="distributed"/>
    </xf>
    <xf numFmtId="0" fontId="8" fillId="0" borderId="10" xfId="0" applyFont="1" applyBorder="1" applyAlignment="1">
      <alignment horizontal="center" vertical="distributed"/>
    </xf>
    <xf numFmtId="164" fontId="8" fillId="0" borderId="10" xfId="49" applyNumberFormat="1" applyFont="1" applyBorder="1" applyAlignment="1">
      <alignment horizontal="center" vertical="distributed"/>
    </xf>
    <xf numFmtId="1" fontId="8" fillId="0" borderId="10" xfId="0" applyNumberFormat="1" applyFont="1" applyBorder="1" applyAlignment="1">
      <alignment horizontal="center" vertical="distributed"/>
    </xf>
    <xf numFmtId="1" fontId="8" fillId="0" borderId="0" xfId="0" applyNumberFormat="1" applyFont="1" applyFill="1" applyBorder="1" applyAlignment="1">
      <alignment horizontal="center" vertical="distributed"/>
    </xf>
    <xf numFmtId="1" fontId="8" fillId="0" borderId="25" xfId="0" applyNumberFormat="1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vertical="distributed"/>
    </xf>
    <xf numFmtId="1" fontId="8" fillId="35" borderId="27" xfId="0" applyNumberFormat="1" applyFont="1" applyFill="1" applyBorder="1" applyAlignment="1">
      <alignment horizontal="center" vertical="distributed"/>
    </xf>
    <xf numFmtId="1" fontId="8" fillId="35" borderId="10" xfId="0" applyNumberFormat="1" applyFont="1" applyFill="1" applyBorder="1" applyAlignment="1">
      <alignment horizontal="center" vertical="distributed"/>
    </xf>
    <xf numFmtId="0" fontId="9" fillId="0" borderId="0" xfId="0" applyFont="1" applyAlignment="1">
      <alignment vertical="distributed"/>
    </xf>
    <xf numFmtId="0" fontId="9" fillId="0" borderId="0" xfId="0" applyFont="1" applyFill="1" applyAlignment="1">
      <alignment vertical="distributed"/>
    </xf>
    <xf numFmtId="1" fontId="8" fillId="36" borderId="10" xfId="0" applyNumberFormat="1" applyFont="1" applyFill="1" applyBorder="1" applyAlignment="1">
      <alignment horizontal="center" vertical="distributed"/>
    </xf>
    <xf numFmtId="1" fontId="8" fillId="37" borderId="10" xfId="0" applyNumberFormat="1" applyFont="1" applyFill="1" applyBorder="1" applyAlignment="1">
      <alignment horizontal="center" vertical="distributed"/>
    </xf>
    <xf numFmtId="1" fontId="8" fillId="0" borderId="25" xfId="0" applyNumberFormat="1" applyFont="1" applyFill="1" applyBorder="1" applyAlignment="1">
      <alignment horizontal="center"/>
    </xf>
    <xf numFmtId="1" fontId="8" fillId="38" borderId="27" xfId="0" applyNumberFormat="1" applyFont="1" applyFill="1" applyBorder="1" applyAlignment="1">
      <alignment horizontal="center" vertical="distributed"/>
    </xf>
    <xf numFmtId="1" fontId="8" fillId="38" borderId="10" xfId="0" applyNumberFormat="1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/>
    </xf>
    <xf numFmtId="0" fontId="74" fillId="0" borderId="0" xfId="0" applyFont="1" applyAlignment="1">
      <alignment/>
    </xf>
    <xf numFmtId="43" fontId="8" fillId="0" borderId="0" xfId="49" applyFont="1" applyFill="1" applyBorder="1" applyAlignment="1">
      <alignment horizontal="center" vertical="distributed"/>
    </xf>
    <xf numFmtId="0" fontId="68" fillId="0" borderId="0" xfId="0" applyFont="1" applyFill="1" applyBorder="1" applyAlignment="1">
      <alignment/>
    </xf>
    <xf numFmtId="10" fontId="9" fillId="35" borderId="12" xfId="55" applyNumberFormat="1" applyFont="1" applyFill="1" applyBorder="1" applyAlignment="1">
      <alignment horizontal="center" vertical="distributed"/>
    </xf>
    <xf numFmtId="0" fontId="8" fillId="0" borderId="14" xfId="0" applyFont="1" applyBorder="1" applyAlignment="1">
      <alignment horizontal="center" vertical="distributed"/>
    </xf>
    <xf numFmtId="0" fontId="8" fillId="0" borderId="0" xfId="0" applyFont="1" applyBorder="1" applyAlignment="1">
      <alignment horizontal="center" vertical="distributed"/>
    </xf>
    <xf numFmtId="177" fontId="9" fillId="0" borderId="0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horizontal="center"/>
    </xf>
    <xf numFmtId="2" fontId="9" fillId="35" borderId="14" xfId="0" applyNumberFormat="1" applyFont="1" applyFill="1" applyBorder="1" applyAlignment="1">
      <alignment horizontal="center"/>
    </xf>
    <xf numFmtId="2" fontId="9" fillId="35" borderId="12" xfId="0" applyNumberFormat="1" applyFont="1" applyFill="1" applyBorder="1" applyAlignment="1">
      <alignment horizontal="center"/>
    </xf>
    <xf numFmtId="10" fontId="9" fillId="0" borderId="0" xfId="55" applyNumberFormat="1" applyFont="1" applyFill="1" applyBorder="1" applyAlignment="1">
      <alignment/>
    </xf>
    <xf numFmtId="165" fontId="8" fillId="0" borderId="0" xfId="49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10" fontId="9" fillId="0" borderId="14" xfId="55" applyNumberFormat="1" applyFont="1" applyBorder="1" applyAlignment="1">
      <alignment horizontal="center"/>
    </xf>
    <xf numFmtId="166" fontId="9" fillId="0" borderId="0" xfId="49" applyNumberFormat="1" applyFont="1" applyFill="1" applyBorder="1" applyAlignment="1">
      <alignment horizontal="center"/>
    </xf>
    <xf numFmtId="10" fontId="72" fillId="0" borderId="0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10" fontId="8" fillId="0" borderId="14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9" fillId="0" borderId="29" xfId="0" applyFont="1" applyFill="1" applyBorder="1" applyAlignment="1">
      <alignment horizontal="right"/>
    </xf>
    <xf numFmtId="1" fontId="8" fillId="0" borderId="11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43" fontId="75" fillId="0" borderId="0" xfId="49" applyFont="1" applyFill="1" applyBorder="1" applyAlignment="1">
      <alignment/>
    </xf>
    <xf numFmtId="43" fontId="8" fillId="0" borderId="0" xfId="49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0" fontId="9" fillId="33" borderId="0" xfId="0" applyNumberFormat="1" applyFont="1" applyFill="1" applyBorder="1" applyAlignment="1">
      <alignment horizontal="center"/>
    </xf>
    <xf numFmtId="2" fontId="9" fillId="33" borderId="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distributed"/>
    </xf>
    <xf numFmtId="0" fontId="8" fillId="33" borderId="15" xfId="0" applyFont="1" applyFill="1" applyBorder="1" applyAlignment="1">
      <alignment horizontal="center" vertical="distributed"/>
    </xf>
    <xf numFmtId="0" fontId="8" fillId="33" borderId="16" xfId="0" applyFont="1" applyFill="1" applyBorder="1" applyAlignment="1">
      <alignment horizontal="center" vertical="distributed"/>
    </xf>
    <xf numFmtId="0" fontId="8" fillId="33" borderId="17" xfId="0" applyFont="1" applyFill="1" applyBorder="1" applyAlignment="1">
      <alignment horizontal="center" vertical="distributed"/>
    </xf>
    <xf numFmtId="0" fontId="8" fillId="0" borderId="18" xfId="0" applyFont="1" applyBorder="1" applyAlignment="1">
      <alignment horizontal="center" vertical="distributed"/>
    </xf>
    <xf numFmtId="0" fontId="8" fillId="0" borderId="19" xfId="0" applyFont="1" applyBorder="1" applyAlignment="1">
      <alignment horizontal="center" vertical="distributed"/>
    </xf>
    <xf numFmtId="0" fontId="8" fillId="0" borderId="20" xfId="0" applyFont="1" applyBorder="1" applyAlignment="1">
      <alignment horizontal="center" vertical="distributed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" fontId="8" fillId="0" borderId="10" xfId="0" applyNumberFormat="1" applyFont="1" applyBorder="1" applyAlignment="1">
      <alignment horizontal="distributed" vertical="center"/>
    </xf>
    <xf numFmtId="1" fontId="66" fillId="0" borderId="0" xfId="0" applyNumberFormat="1" applyFont="1" applyFill="1" applyBorder="1" applyAlignment="1">
      <alignment horizontal="center"/>
    </xf>
    <xf numFmtId="1" fontId="66" fillId="0" borderId="2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distributed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74" fontId="6" fillId="0" borderId="0" xfId="55" applyNumberFormat="1" applyFont="1" applyAlignment="1">
      <alignment/>
    </xf>
    <xf numFmtId="0" fontId="6" fillId="0" borderId="0" xfId="0" applyFont="1" applyFill="1" applyBorder="1" applyAlignment="1">
      <alignment horizontal="right"/>
    </xf>
    <xf numFmtId="175" fontId="6" fillId="0" borderId="0" xfId="55" applyNumberFormat="1" applyFont="1" applyAlignment="1">
      <alignment/>
    </xf>
    <xf numFmtId="0" fontId="6" fillId="0" borderId="0" xfId="0" applyFont="1" applyAlignment="1">
      <alignment/>
    </xf>
    <xf numFmtId="0" fontId="76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3" fontId="6" fillId="0" borderId="0" xfId="0" applyNumberFormat="1" applyFont="1" applyFill="1" applyBorder="1" applyAlignment="1">
      <alignment/>
    </xf>
    <xf numFmtId="2" fontId="7" fillId="39" borderId="10" xfId="0" applyNumberFormat="1" applyFont="1" applyFill="1" applyBorder="1" applyAlignment="1">
      <alignment horizontal="center"/>
    </xf>
    <xf numFmtId="2" fontId="7" fillId="38" borderId="10" xfId="0" applyNumberFormat="1" applyFont="1" applyFill="1" applyBorder="1" applyAlignment="1">
      <alignment horizontal="center"/>
    </xf>
    <xf numFmtId="2" fontId="7" fillId="40" borderId="1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right"/>
    </xf>
    <xf numFmtId="0" fontId="77" fillId="0" borderId="0" xfId="0" applyFont="1" applyFill="1" applyBorder="1" applyAlignment="1">
      <alignment horizontal="center"/>
    </xf>
    <xf numFmtId="43" fontId="77" fillId="0" borderId="0" xfId="49" applyFont="1" applyFill="1" applyBorder="1" applyAlignment="1">
      <alignment/>
    </xf>
    <xf numFmtId="165" fontId="77" fillId="0" borderId="0" xfId="0" applyNumberFormat="1" applyFont="1" applyFill="1" applyBorder="1" applyAlignment="1">
      <alignment horizontal="right"/>
    </xf>
    <xf numFmtId="43" fontId="7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77" fillId="0" borderId="0" xfId="0" applyNumberFormat="1" applyFont="1" applyFill="1" applyAlignment="1">
      <alignment horizontal="right"/>
    </xf>
    <xf numFmtId="0" fontId="77" fillId="0" borderId="0" xfId="0" applyFont="1" applyFill="1" applyBorder="1" applyAlignment="1">
      <alignment/>
    </xf>
    <xf numFmtId="166" fontId="77" fillId="0" borderId="0" xfId="0" applyNumberFormat="1" applyFont="1" applyFill="1" applyBorder="1" applyAlignment="1">
      <alignment/>
    </xf>
    <xf numFmtId="171" fontId="77" fillId="0" borderId="0" xfId="0" applyNumberFormat="1" applyFont="1" applyFill="1" applyBorder="1" applyAlignment="1">
      <alignment horizontal="right"/>
    </xf>
    <xf numFmtId="168" fontId="77" fillId="0" borderId="0" xfId="49" applyNumberFormat="1" applyFont="1" applyFill="1" applyBorder="1" applyAlignment="1">
      <alignment/>
    </xf>
    <xf numFmtId="171" fontId="77" fillId="0" borderId="0" xfId="0" applyNumberFormat="1" applyFont="1" applyFill="1" applyBorder="1" applyAlignment="1">
      <alignment horizontal="left"/>
    </xf>
    <xf numFmtId="171" fontId="6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7" fillId="0" borderId="0" xfId="0" applyFont="1" applyBorder="1" applyAlignment="1">
      <alignment/>
    </xf>
    <xf numFmtId="171" fontId="6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171" fontId="5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3" fontId="11" fillId="0" borderId="0" xfId="49" applyFont="1" applyFill="1" applyBorder="1" applyAlignment="1">
      <alignment/>
    </xf>
    <xf numFmtId="0" fontId="11" fillId="0" borderId="10" xfId="0" applyFont="1" applyFill="1" applyBorder="1" applyAlignment="1">
      <alignment horizontal="center" vertical="distributed"/>
    </xf>
    <xf numFmtId="0" fontId="11" fillId="0" borderId="10" xfId="0" applyFont="1" applyBorder="1" applyAlignment="1">
      <alignment horizontal="center" vertical="distributed"/>
    </xf>
    <xf numFmtId="0" fontId="11" fillId="0" borderId="30" xfId="0" applyFont="1" applyFill="1" applyBorder="1" applyAlignment="1">
      <alignment horizontal="center" vertical="distributed"/>
    </xf>
    <xf numFmtId="0" fontId="11" fillId="0" borderId="30" xfId="0" applyFont="1" applyBorder="1" applyAlignment="1">
      <alignment horizontal="center" vertical="distributed"/>
    </xf>
    <xf numFmtId="164" fontId="5" fillId="0" borderId="10" xfId="0" applyNumberFormat="1" applyFont="1" applyFill="1" applyBorder="1" applyAlignment="1">
      <alignment horizontal="center"/>
    </xf>
    <xf numFmtId="10" fontId="5" fillId="39" borderId="10" xfId="55" applyNumberFormat="1" applyFont="1" applyFill="1" applyBorder="1" applyAlignment="1">
      <alignment horizontal="center"/>
    </xf>
    <xf numFmtId="43" fontId="5" fillId="0" borderId="10" xfId="49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3" fontId="5" fillId="0" borderId="31" xfId="49" applyFont="1" applyFill="1" applyBorder="1" applyAlignment="1">
      <alignment horizontal="center"/>
    </xf>
    <xf numFmtId="10" fontId="11" fillId="39" borderId="10" xfId="55" applyNumberFormat="1" applyFont="1" applyFill="1" applyBorder="1" applyAlignment="1">
      <alignment horizontal="center"/>
    </xf>
    <xf numFmtId="164" fontId="78" fillId="0" borderId="10" xfId="0" applyNumberFormat="1" applyFont="1" applyFill="1" applyBorder="1" applyAlignment="1">
      <alignment horizontal="center"/>
    </xf>
    <xf numFmtId="174" fontId="78" fillId="0" borderId="10" xfId="55" applyNumberFormat="1" applyFont="1" applyFill="1" applyBorder="1" applyAlignment="1">
      <alignment horizontal="center"/>
    </xf>
    <xf numFmtId="43" fontId="5" fillId="0" borderId="0" xfId="49" applyFont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5" fillId="0" borderId="0" xfId="49" applyFont="1" applyFill="1" applyBorder="1" applyAlignment="1">
      <alignment horizontal="center"/>
    </xf>
    <xf numFmtId="10" fontId="11" fillId="0" borderId="0" xfId="55" applyNumberFormat="1" applyFont="1" applyFill="1" applyBorder="1" applyAlignment="1">
      <alignment/>
    </xf>
    <xf numFmtId="167" fontId="6" fillId="0" borderId="0" xfId="55" applyNumberFormat="1" applyFont="1" applyAlignment="1">
      <alignment/>
    </xf>
    <xf numFmtId="0" fontId="11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1" fontId="7" fillId="39" borderId="11" xfId="0" applyNumberFormat="1" applyFont="1" applyFill="1" applyBorder="1" applyAlignment="1">
      <alignment horizontal="center"/>
    </xf>
    <xf numFmtId="10" fontId="6" fillId="0" borderId="0" xfId="49" applyNumberFormat="1" applyFont="1" applyFill="1" applyBorder="1" applyAlignment="1">
      <alignment/>
    </xf>
    <xf numFmtId="164" fontId="6" fillId="0" borderId="0" xfId="49" applyNumberFormat="1" applyFont="1" applyAlignment="1">
      <alignment/>
    </xf>
    <xf numFmtId="10" fontId="6" fillId="0" borderId="0" xfId="55" applyNumberFormat="1" applyFont="1" applyFill="1" applyBorder="1" applyAlignment="1">
      <alignment/>
    </xf>
    <xf numFmtId="10" fontId="79" fillId="0" borderId="0" xfId="55" applyNumberFormat="1" applyFont="1" applyFill="1" applyBorder="1" applyAlignment="1">
      <alignment horizontal="center"/>
    </xf>
    <xf numFmtId="164" fontId="79" fillId="0" borderId="0" xfId="49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5" fillId="0" borderId="10" xfId="49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0" fillId="0" borderId="10" xfId="0" applyFont="1" applyFill="1" applyBorder="1" applyAlignment="1">
      <alignment horizontal="right"/>
    </xf>
    <xf numFmtId="43" fontId="6" fillId="0" borderId="10" xfId="49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31" xfId="0" applyFont="1" applyBorder="1" applyAlignment="1">
      <alignment/>
    </xf>
    <xf numFmtId="0" fontId="6" fillId="0" borderId="33" xfId="0" applyFont="1" applyBorder="1" applyAlignment="1">
      <alignment/>
    </xf>
    <xf numFmtId="0" fontId="5" fillId="0" borderId="27" xfId="0" applyFont="1" applyBorder="1" applyAlignment="1">
      <alignment horizontal="right"/>
    </xf>
    <xf numFmtId="164" fontId="11" fillId="0" borderId="10" xfId="49" applyNumberFormat="1" applyFont="1" applyFill="1" applyBorder="1" applyAlignment="1">
      <alignment/>
    </xf>
    <xf numFmtId="0" fontId="7" fillId="0" borderId="0" xfId="0" applyFont="1" applyBorder="1" applyAlignment="1">
      <alignment horizontal="right"/>
    </xf>
    <xf numFmtId="164" fontId="5" fillId="0" borderId="0" xfId="49" applyNumberFormat="1" applyFont="1" applyFill="1" applyBorder="1" applyAlignment="1">
      <alignment/>
    </xf>
    <xf numFmtId="164" fontId="11" fillId="0" borderId="0" xfId="49" applyNumberFormat="1" applyFont="1" applyFill="1" applyBorder="1" applyAlignment="1">
      <alignment/>
    </xf>
    <xf numFmtId="164" fontId="5" fillId="0" borderId="0" xfId="49" applyNumberFormat="1" applyFont="1" applyAlignment="1">
      <alignment/>
    </xf>
    <xf numFmtId="43" fontId="81" fillId="0" borderId="10" xfId="49" applyFont="1" applyBorder="1" applyAlignment="1">
      <alignment/>
    </xf>
    <xf numFmtId="0" fontId="11" fillId="0" borderId="0" xfId="0" applyFont="1" applyAlignment="1">
      <alignment horizontal="right"/>
    </xf>
    <xf numFmtId="43" fontId="11" fillId="0" borderId="0" xfId="49" applyFont="1" applyAlignment="1">
      <alignment/>
    </xf>
    <xf numFmtId="43" fontId="6" fillId="0" borderId="0" xfId="0" applyNumberFormat="1" applyFont="1" applyAlignment="1">
      <alignment/>
    </xf>
    <xf numFmtId="0" fontId="11" fillId="0" borderId="0" xfId="0" applyFont="1" applyBorder="1" applyAlignment="1">
      <alignment horizontal="right"/>
    </xf>
    <xf numFmtId="43" fontId="5" fillId="41" borderId="0" xfId="0" applyNumberFormat="1" applyFont="1" applyFill="1" applyAlignment="1">
      <alignment/>
    </xf>
    <xf numFmtId="43" fontId="6" fillId="0" borderId="0" xfId="49" applyFont="1" applyBorder="1" applyAlignment="1">
      <alignment/>
    </xf>
    <xf numFmtId="43" fontId="7" fillId="0" borderId="14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165" fontId="7" fillId="41" borderId="34" xfId="49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9" fontId="6" fillId="0" borderId="0" xfId="55" applyFont="1" applyFill="1" applyBorder="1" applyAlignment="1">
      <alignment/>
    </xf>
    <xf numFmtId="0" fontId="6" fillId="0" borderId="35" xfId="0" applyFont="1" applyBorder="1" applyAlignment="1">
      <alignment/>
    </xf>
    <xf numFmtId="164" fontId="6" fillId="33" borderId="0" xfId="0" applyNumberFormat="1" applyFont="1" applyFill="1" applyBorder="1" applyAlignment="1">
      <alignment/>
    </xf>
    <xf numFmtId="2" fontId="6" fillId="33" borderId="0" xfId="0" applyNumberFormat="1" applyFont="1" applyFill="1" applyBorder="1" applyAlignment="1">
      <alignment/>
    </xf>
    <xf numFmtId="10" fontId="6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/>
    </xf>
    <xf numFmtId="0" fontId="82" fillId="0" borderId="0" xfId="0" applyFont="1" applyFill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4" fontId="7" fillId="0" borderId="10" xfId="49" applyNumberFormat="1" applyFont="1" applyBorder="1" applyAlignment="1">
      <alignment horizontal="center" vertical="distributed"/>
    </xf>
    <xf numFmtId="1" fontId="7" fillId="0" borderId="10" xfId="0" applyNumberFormat="1" applyFont="1" applyBorder="1" applyAlignment="1">
      <alignment horizontal="center" vertical="distributed"/>
    </xf>
    <xf numFmtId="1" fontId="7" fillId="0" borderId="10" xfId="0" applyNumberFormat="1" applyFont="1" applyFill="1" applyBorder="1" applyAlignment="1">
      <alignment horizontal="center" vertical="distributed"/>
    </xf>
    <xf numFmtId="1" fontId="7" fillId="35" borderId="27" xfId="0" applyNumberFormat="1" applyFont="1" applyFill="1" applyBorder="1" applyAlignment="1">
      <alignment horizontal="center" vertical="distributed"/>
    </xf>
    <xf numFmtId="1" fontId="7" fillId="36" borderId="27" xfId="0" applyNumberFormat="1" applyFont="1" applyFill="1" applyBorder="1" applyAlignment="1">
      <alignment horizontal="center" vertical="distributed"/>
    </xf>
    <xf numFmtId="1" fontId="7" fillId="36" borderId="10" xfId="0" applyNumberFormat="1" applyFont="1" applyFill="1" applyBorder="1" applyAlignment="1">
      <alignment horizontal="center" vertical="distributed"/>
    </xf>
    <xf numFmtId="1" fontId="7" fillId="37" borderId="27" xfId="0" applyNumberFormat="1" applyFont="1" applyFill="1" applyBorder="1" applyAlignment="1">
      <alignment horizontal="center" vertical="distributed"/>
    </xf>
    <xf numFmtId="1" fontId="7" fillId="37" borderId="10" xfId="0" applyNumberFormat="1" applyFont="1" applyFill="1" applyBorder="1" applyAlignment="1">
      <alignment horizontal="center" vertical="distributed"/>
    </xf>
    <xf numFmtId="1" fontId="7" fillId="38" borderId="27" xfId="0" applyNumberFormat="1" applyFont="1" applyFill="1" applyBorder="1" applyAlignment="1">
      <alignment horizontal="center" vertical="distributed"/>
    </xf>
    <xf numFmtId="1" fontId="7" fillId="38" borderId="10" xfId="0" applyNumberFormat="1" applyFont="1" applyFill="1" applyBorder="1" applyAlignment="1">
      <alignment horizontal="center" vertical="distributed"/>
    </xf>
    <xf numFmtId="10" fontId="6" fillId="0" borderId="0" xfId="55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43" fontId="7" fillId="0" borderId="30" xfId="49" applyFont="1" applyFill="1" applyBorder="1" applyAlignment="1">
      <alignment horizontal="center" vertical="distributed"/>
    </xf>
    <xf numFmtId="43" fontId="7" fillId="0" borderId="30" xfId="49" applyFont="1" applyBorder="1" applyAlignment="1">
      <alignment horizontal="center" vertical="distributed"/>
    </xf>
    <xf numFmtId="2" fontId="7" fillId="0" borderId="10" xfId="0" applyNumberFormat="1" applyFont="1" applyFill="1" applyBorder="1" applyAlignment="1">
      <alignment horizontal="center"/>
    </xf>
    <xf numFmtId="43" fontId="7" fillId="0" borderId="0" xfId="0" applyNumberFormat="1" applyFont="1" applyFill="1" applyBorder="1" applyAlignment="1">
      <alignment/>
    </xf>
    <xf numFmtId="173" fontId="6" fillId="0" borderId="0" xfId="0" applyNumberFormat="1" applyFont="1" applyFill="1" applyAlignment="1">
      <alignment/>
    </xf>
    <xf numFmtId="0" fontId="83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43" fontId="6" fillId="0" borderId="0" xfId="49" applyFont="1" applyFill="1" applyBorder="1" applyAlignment="1">
      <alignment horizontal="center"/>
    </xf>
    <xf numFmtId="169" fontId="6" fillId="0" borderId="0" xfId="49" applyNumberFormat="1" applyFont="1" applyFill="1" applyBorder="1" applyAlignment="1">
      <alignment horizontal="center"/>
    </xf>
    <xf numFmtId="43" fontId="7" fillId="0" borderId="0" xfId="49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9" fillId="0" borderId="0" xfId="0" applyFont="1" applyFill="1" applyAlignment="1">
      <alignment/>
    </xf>
    <xf numFmtId="0" fontId="11" fillId="0" borderId="21" xfId="0" applyFont="1" applyBorder="1" applyAlignment="1">
      <alignment horizontal="center" vertical="distributed"/>
    </xf>
    <xf numFmtId="43" fontId="7" fillId="0" borderId="37" xfId="49" applyFont="1" applyFill="1" applyBorder="1" applyAlignment="1">
      <alignment/>
    </xf>
    <xf numFmtId="43" fontId="6" fillId="0" borderId="38" xfId="49" applyFont="1" applyFill="1" applyBorder="1" applyAlignment="1">
      <alignment/>
    </xf>
    <xf numFmtId="43" fontId="6" fillId="0" borderId="35" xfId="49" applyFont="1" applyFill="1" applyBorder="1" applyAlignment="1">
      <alignment/>
    </xf>
    <xf numFmtId="0" fontId="7" fillId="0" borderId="37" xfId="0" applyFont="1" applyFill="1" applyBorder="1" applyAlignment="1">
      <alignment/>
    </xf>
    <xf numFmtId="43" fontId="7" fillId="0" borderId="38" xfId="49" applyFont="1" applyFill="1" applyBorder="1" applyAlignment="1">
      <alignment horizontal="right"/>
    </xf>
    <xf numFmtId="0" fontId="7" fillId="0" borderId="38" xfId="0" applyFont="1" applyFill="1" applyBorder="1" applyAlignment="1">
      <alignment horizontal="left"/>
    </xf>
    <xf numFmtId="0" fontId="6" fillId="0" borderId="38" xfId="0" applyFont="1" applyBorder="1" applyAlignment="1">
      <alignment/>
    </xf>
    <xf numFmtId="10" fontId="11" fillId="38" borderId="10" xfId="55" applyNumberFormat="1" applyFont="1" applyFill="1" applyBorder="1" applyAlignment="1">
      <alignment horizontal="center"/>
    </xf>
    <xf numFmtId="10" fontId="11" fillId="40" borderId="31" xfId="55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/>
    </xf>
    <xf numFmtId="43" fontId="7" fillId="0" borderId="36" xfId="49" applyFont="1" applyFill="1" applyBorder="1" applyAlignment="1">
      <alignment/>
    </xf>
    <xf numFmtId="166" fontId="6" fillId="0" borderId="39" xfId="49" applyNumberFormat="1" applyFont="1" applyFill="1" applyBorder="1" applyAlignment="1">
      <alignment/>
    </xf>
    <xf numFmtId="167" fontId="6" fillId="0" borderId="39" xfId="55" applyNumberFormat="1" applyFont="1" applyFill="1" applyBorder="1" applyAlignment="1">
      <alignment/>
    </xf>
    <xf numFmtId="0" fontId="6" fillId="0" borderId="36" xfId="0" applyFont="1" applyFill="1" applyBorder="1" applyAlignment="1">
      <alignment/>
    </xf>
    <xf numFmtId="177" fontId="6" fillId="0" borderId="39" xfId="0" applyNumberFormat="1" applyFont="1" applyBorder="1" applyAlignment="1">
      <alignment/>
    </xf>
    <xf numFmtId="0" fontId="6" fillId="0" borderId="0" xfId="0" applyFont="1" applyFill="1" applyBorder="1" applyAlignment="1">
      <alignment horizontal="left"/>
    </xf>
    <xf numFmtId="167" fontId="7" fillId="0" borderId="39" xfId="55" applyNumberFormat="1" applyFont="1" applyFill="1" applyBorder="1" applyAlignment="1">
      <alignment/>
    </xf>
    <xf numFmtId="165" fontId="7" fillId="0" borderId="39" xfId="49" applyNumberFormat="1" applyFont="1" applyFill="1" applyBorder="1" applyAlignment="1">
      <alignment/>
    </xf>
    <xf numFmtId="43" fontId="6" fillId="0" borderId="40" xfId="0" applyNumberFormat="1" applyFont="1" applyBorder="1" applyAlignment="1">
      <alignment/>
    </xf>
    <xf numFmtId="166" fontId="6" fillId="39" borderId="39" xfId="49" applyNumberFormat="1" applyFont="1" applyFill="1" applyBorder="1" applyAlignment="1">
      <alignment/>
    </xf>
    <xf numFmtId="10" fontId="7" fillId="39" borderId="40" xfId="55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10" fontId="84" fillId="0" borderId="39" xfId="0" applyNumberFormat="1" applyFont="1" applyBorder="1" applyAlignment="1">
      <alignment/>
    </xf>
    <xf numFmtId="0" fontId="85" fillId="0" borderId="0" xfId="0" applyFont="1" applyBorder="1" applyAlignment="1">
      <alignment/>
    </xf>
    <xf numFmtId="10" fontId="84" fillId="0" borderId="18" xfId="0" applyNumberFormat="1" applyFont="1" applyBorder="1" applyAlignment="1">
      <alignment/>
    </xf>
    <xf numFmtId="0" fontId="85" fillId="0" borderId="41" xfId="0" applyFont="1" applyBorder="1" applyAlignment="1">
      <alignment/>
    </xf>
    <xf numFmtId="0" fontId="6" fillId="0" borderId="41" xfId="0" applyFont="1" applyBorder="1" applyAlignment="1">
      <alignment/>
    </xf>
    <xf numFmtId="170" fontId="6" fillId="0" borderId="41" xfId="0" applyNumberFormat="1" applyFont="1" applyBorder="1" applyAlignment="1">
      <alignment/>
    </xf>
    <xf numFmtId="0" fontId="6" fillId="0" borderId="29" xfId="0" applyFont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29" xfId="0" applyFont="1" applyFill="1" applyBorder="1" applyAlignment="1">
      <alignment/>
    </xf>
    <xf numFmtId="1" fontId="7" fillId="38" borderId="11" xfId="0" applyNumberFormat="1" applyFont="1" applyFill="1" applyBorder="1" applyAlignment="1">
      <alignment horizontal="center"/>
    </xf>
    <xf numFmtId="1" fontId="7" fillId="40" borderId="11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5" fillId="0" borderId="10" xfId="0" applyFont="1" applyBorder="1" applyAlignment="1">
      <alignment horizontal="right"/>
    </xf>
    <xf numFmtId="0" fontId="77" fillId="0" borderId="10" xfId="0" applyFont="1" applyBorder="1" applyAlignment="1">
      <alignment horizontal="right"/>
    </xf>
    <xf numFmtId="164" fontId="11" fillId="0" borderId="10" xfId="0" applyNumberFormat="1" applyFont="1" applyBorder="1" applyAlignment="1">
      <alignment horizontal="center"/>
    </xf>
    <xf numFmtId="0" fontId="81" fillId="0" borderId="39" xfId="0" applyFont="1" applyBorder="1" applyAlignment="1">
      <alignment/>
    </xf>
    <xf numFmtId="164" fontId="6" fillId="0" borderId="0" xfId="0" applyNumberFormat="1" applyFont="1" applyAlignment="1">
      <alignment/>
    </xf>
    <xf numFmtId="0" fontId="7" fillId="0" borderId="41" xfId="0" applyFont="1" applyBorder="1" applyAlignment="1">
      <alignment horizontal="right"/>
    </xf>
    <xf numFmtId="171" fontId="6" fillId="0" borderId="0" xfId="0" applyNumberFormat="1" applyFont="1" applyAlignment="1">
      <alignment/>
    </xf>
    <xf numFmtId="0" fontId="6" fillId="0" borderId="28" xfId="0" applyFont="1" applyFill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vertical="distributed"/>
    </xf>
    <xf numFmtId="49" fontId="7" fillId="33" borderId="10" xfId="0" applyNumberFormat="1" applyFont="1" applyFill="1" applyBorder="1" applyAlignment="1">
      <alignment horizontal="center" vertical="distributed"/>
    </xf>
    <xf numFmtId="0" fontId="7" fillId="33" borderId="10" xfId="0" applyFont="1" applyFill="1" applyBorder="1" applyAlignment="1">
      <alignment horizontal="center" vertical="distributed"/>
    </xf>
    <xf numFmtId="0" fontId="6" fillId="0" borderId="0" xfId="0" applyFont="1" applyAlignment="1">
      <alignment vertical="distributed"/>
    </xf>
    <xf numFmtId="165" fontId="6" fillId="0" borderId="0" xfId="0" applyNumberFormat="1" applyFont="1" applyAlignment="1">
      <alignment vertical="distributed"/>
    </xf>
    <xf numFmtId="166" fontId="6" fillId="0" borderId="10" xfId="0" applyNumberFormat="1" applyFont="1" applyBorder="1" applyAlignment="1">
      <alignment vertical="distributed"/>
    </xf>
    <xf numFmtId="10" fontId="6" fillId="0" borderId="0" xfId="55" applyNumberFormat="1" applyFont="1" applyFill="1" applyAlignment="1">
      <alignment/>
    </xf>
    <xf numFmtId="10" fontId="6" fillId="0" borderId="0" xfId="0" applyNumberFormat="1" applyFont="1" applyFill="1" applyAlignment="1">
      <alignment/>
    </xf>
    <xf numFmtId="43" fontId="6" fillId="0" borderId="0" xfId="49" applyFont="1" applyFill="1" applyAlignment="1">
      <alignment/>
    </xf>
    <xf numFmtId="10" fontId="6" fillId="0" borderId="0" xfId="55" applyNumberFormat="1" applyFont="1" applyAlignment="1">
      <alignment/>
    </xf>
    <xf numFmtId="10" fontId="6" fillId="0" borderId="0" xfId="0" applyNumberFormat="1" applyFont="1" applyAlignment="1">
      <alignment/>
    </xf>
    <xf numFmtId="10" fontId="79" fillId="0" borderId="31" xfId="55" applyNumberFormat="1" applyFont="1" applyFill="1" applyBorder="1" applyAlignment="1">
      <alignment/>
    </xf>
    <xf numFmtId="49" fontId="7" fillId="0" borderId="10" xfId="49" applyNumberFormat="1" applyFont="1" applyBorder="1" applyAlignment="1">
      <alignment horizontal="right"/>
    </xf>
    <xf numFmtId="1" fontId="13" fillId="0" borderId="0" xfId="0" applyNumberFormat="1" applyFont="1" applyFill="1" applyBorder="1" applyAlignment="1">
      <alignment horizontal="center"/>
    </xf>
    <xf numFmtId="165" fontId="6" fillId="0" borderId="0" xfId="49" applyNumberFormat="1" applyFont="1" applyFill="1" applyBorder="1" applyAlignment="1">
      <alignment/>
    </xf>
    <xf numFmtId="0" fontId="79" fillId="42" borderId="26" xfId="0" applyFont="1" applyFill="1" applyBorder="1" applyAlignment="1">
      <alignment/>
    </xf>
    <xf numFmtId="0" fontId="6" fillId="42" borderId="42" xfId="0" applyFont="1" applyFill="1" applyBorder="1" applyAlignment="1">
      <alignment/>
    </xf>
    <xf numFmtId="0" fontId="7" fillId="42" borderId="33" xfId="0" applyFont="1" applyFill="1" applyBorder="1" applyAlignment="1">
      <alignment horizontal="right"/>
    </xf>
    <xf numFmtId="1" fontId="7" fillId="42" borderId="10" xfId="0" applyNumberFormat="1" applyFont="1" applyFill="1" applyBorder="1" applyAlignment="1">
      <alignment horizontal="center" vertical="distributed"/>
    </xf>
    <xf numFmtId="0" fontId="79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7" fillId="36" borderId="10" xfId="0" applyFont="1" applyFill="1" applyBorder="1" applyAlignment="1">
      <alignment horizontal="right"/>
    </xf>
    <xf numFmtId="164" fontId="79" fillId="37" borderId="31" xfId="0" applyNumberFormat="1" applyFont="1" applyFill="1" applyBorder="1" applyAlignment="1">
      <alignment horizontal="center"/>
    </xf>
    <xf numFmtId="43" fontId="6" fillId="37" borderId="33" xfId="49" applyFont="1" applyFill="1" applyBorder="1" applyAlignment="1">
      <alignment/>
    </xf>
    <xf numFmtId="43" fontId="7" fillId="37" borderId="33" xfId="49" applyFont="1" applyFill="1" applyBorder="1" applyAlignment="1">
      <alignment horizontal="right"/>
    </xf>
    <xf numFmtId="1" fontId="6" fillId="0" borderId="0" xfId="0" applyNumberFormat="1" applyFont="1" applyAlignment="1">
      <alignment horizontal="center"/>
    </xf>
    <xf numFmtId="0" fontId="6" fillId="0" borderId="31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79" fillId="42" borderId="24" xfId="0" applyFont="1" applyFill="1" applyBorder="1" applyAlignment="1">
      <alignment/>
    </xf>
    <xf numFmtId="0" fontId="6" fillId="42" borderId="0" xfId="0" applyFont="1" applyFill="1" applyBorder="1" applyAlignment="1">
      <alignment/>
    </xf>
    <xf numFmtId="0" fontId="7" fillId="42" borderId="22" xfId="0" applyFont="1" applyFill="1" applyBorder="1" applyAlignment="1">
      <alignment horizontal="right"/>
    </xf>
    <xf numFmtId="49" fontId="5" fillId="0" borderId="0" xfId="0" applyNumberFormat="1" applyFont="1" applyAlignment="1">
      <alignment/>
    </xf>
    <xf numFmtId="0" fontId="79" fillId="38" borderId="31" xfId="0" applyFont="1" applyFill="1" applyBorder="1" applyAlignment="1">
      <alignment horizontal="center"/>
    </xf>
    <xf numFmtId="0" fontId="6" fillId="38" borderId="33" xfId="0" applyFont="1" applyFill="1" applyBorder="1" applyAlignment="1">
      <alignment/>
    </xf>
    <xf numFmtId="0" fontId="7" fillId="38" borderId="27" xfId="0" applyFont="1" applyFill="1" applyBorder="1" applyAlignment="1">
      <alignment horizontal="right"/>
    </xf>
    <xf numFmtId="164" fontId="79" fillId="37" borderId="26" xfId="0" applyNumberFormat="1" applyFont="1" applyFill="1" applyBorder="1" applyAlignment="1">
      <alignment horizontal="center"/>
    </xf>
    <xf numFmtId="43" fontId="6" fillId="37" borderId="0" xfId="49" applyFont="1" applyFill="1" applyBorder="1" applyAlignment="1">
      <alignment/>
    </xf>
    <xf numFmtId="43" fontId="7" fillId="37" borderId="0" xfId="49" applyFont="1" applyFill="1" applyBorder="1" applyAlignment="1">
      <alignment horizontal="right"/>
    </xf>
    <xf numFmtId="49" fontId="6" fillId="33" borderId="31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right"/>
    </xf>
    <xf numFmtId="49" fontId="6" fillId="33" borderId="22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left"/>
    </xf>
    <xf numFmtId="49" fontId="6" fillId="33" borderId="24" xfId="0" applyNumberFormat="1" applyFont="1" applyFill="1" applyBorder="1" applyAlignment="1">
      <alignment/>
    </xf>
    <xf numFmtId="49" fontId="6" fillId="33" borderId="25" xfId="0" applyNumberFormat="1" applyFont="1" applyFill="1" applyBorder="1" applyAlignment="1">
      <alignment horizontal="left"/>
    </xf>
    <xf numFmtId="0" fontId="6" fillId="33" borderId="24" xfId="0" applyFont="1" applyFill="1" applyBorder="1" applyAlignment="1">
      <alignment/>
    </xf>
    <xf numFmtId="49" fontId="6" fillId="33" borderId="26" xfId="0" applyNumberFormat="1" applyFont="1" applyFill="1" applyBorder="1" applyAlignment="1">
      <alignment/>
    </xf>
    <xf numFmtId="0" fontId="6" fillId="33" borderId="42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167" fontId="9" fillId="0" borderId="0" xfId="55" applyNumberFormat="1" applyFont="1" applyAlignment="1">
      <alignment/>
    </xf>
    <xf numFmtId="2" fontId="9" fillId="35" borderId="11" xfId="0" applyNumberFormat="1" applyFont="1" applyFill="1" applyBorder="1" applyAlignment="1">
      <alignment horizontal="center" vertical="center"/>
    </xf>
    <xf numFmtId="2" fontId="9" fillId="35" borderId="14" xfId="0" applyNumberFormat="1" applyFont="1" applyFill="1" applyBorder="1" applyAlignment="1">
      <alignment horizontal="center" vertical="center"/>
    </xf>
    <xf numFmtId="1" fontId="8" fillId="43" borderId="43" xfId="0" applyNumberFormat="1" applyFont="1" applyFill="1" applyBorder="1" applyAlignment="1">
      <alignment horizontal="center" vertical="distributed"/>
    </xf>
    <xf numFmtId="1" fontId="8" fillId="43" borderId="32" xfId="0" applyNumberFormat="1" applyFont="1" applyFill="1" applyBorder="1" applyAlignment="1">
      <alignment horizontal="center" vertical="distributed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43" fontId="9" fillId="0" borderId="0" xfId="49" applyFont="1" applyFill="1" applyBorder="1" applyAlignment="1">
      <alignment/>
    </xf>
    <xf numFmtId="43" fontId="9" fillId="0" borderId="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10" fontId="9" fillId="35" borderId="12" xfId="55" applyNumberFormat="1" applyFont="1" applyFill="1" applyBorder="1" applyAlignment="1">
      <alignment vertical="center"/>
    </xf>
    <xf numFmtId="49" fontId="14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horizontal="center" vertical="center"/>
    </xf>
    <xf numFmtId="10" fontId="9" fillId="0" borderId="12" xfId="55" applyNumberFormat="1" applyFont="1" applyBorder="1" applyAlignment="1">
      <alignment horizontal="center" vertical="center"/>
    </xf>
    <xf numFmtId="3" fontId="9" fillId="0" borderId="0" xfId="0" applyNumberFormat="1" applyFont="1" applyAlignment="1">
      <alignment/>
    </xf>
    <xf numFmtId="3" fontId="9" fillId="0" borderId="0" xfId="49" applyNumberFormat="1" applyFont="1" applyAlignment="1">
      <alignment/>
    </xf>
    <xf numFmtId="0" fontId="86" fillId="0" borderId="14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10" fontId="6" fillId="33" borderId="25" xfId="0" applyNumberFormat="1" applyFont="1" applyFill="1" applyBorder="1" applyAlignment="1">
      <alignment horizontal="center"/>
    </xf>
    <xf numFmtId="10" fontId="7" fillId="39" borderId="11" xfId="55" applyNumberFormat="1" applyFont="1" applyFill="1" applyBorder="1" applyAlignment="1">
      <alignment horizontal="center"/>
    </xf>
    <xf numFmtId="10" fontId="7" fillId="40" borderId="11" xfId="55" applyNumberFormat="1" applyFont="1" applyFill="1" applyBorder="1" applyAlignment="1">
      <alignment horizontal="center"/>
    </xf>
    <xf numFmtId="10" fontId="7" fillId="38" borderId="11" xfId="55" applyNumberFormat="1" applyFont="1" applyFill="1" applyBorder="1" applyAlignment="1">
      <alignment horizontal="center"/>
    </xf>
    <xf numFmtId="2" fontId="6" fillId="0" borderId="10" xfId="49" applyNumberFormat="1" applyFont="1" applyFill="1" applyBorder="1" applyAlignment="1">
      <alignment horizontal="center"/>
    </xf>
    <xf numFmtId="2" fontId="6" fillId="0" borderId="10" xfId="49" applyNumberFormat="1" applyFont="1" applyBorder="1" applyAlignment="1">
      <alignment horizontal="center"/>
    </xf>
    <xf numFmtId="2" fontId="6" fillId="0" borderId="31" xfId="49" applyNumberFormat="1" applyFont="1" applyFill="1" applyBorder="1" applyAlignment="1">
      <alignment horizontal="center"/>
    </xf>
    <xf numFmtId="164" fontId="9" fillId="35" borderId="10" xfId="0" applyNumberFormat="1" applyFont="1" applyFill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164" fontId="9" fillId="35" borderId="10" xfId="49" applyNumberFormat="1" applyFont="1" applyFill="1" applyBorder="1" applyAlignment="1">
      <alignment vertical="center"/>
    </xf>
    <xf numFmtId="171" fontId="6" fillId="0" borderId="10" xfId="49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6" fillId="0" borderId="10" xfId="0" applyFont="1" applyBorder="1" applyAlignment="1">
      <alignment horizontal="left" vertical="center"/>
    </xf>
    <xf numFmtId="164" fontId="6" fillId="0" borderId="10" xfId="49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0" fontId="9" fillId="0" borderId="0" xfId="55" applyNumberFormat="1" applyFont="1" applyAlignment="1">
      <alignment/>
    </xf>
    <xf numFmtId="1" fontId="8" fillId="43" borderId="10" xfId="0" applyNumberFormat="1" applyFont="1" applyFill="1" applyBorder="1" applyAlignment="1">
      <alignment horizontal="center" vertical="distributed"/>
    </xf>
    <xf numFmtId="172" fontId="8" fillId="0" borderId="0" xfId="0" applyNumberFormat="1" applyFont="1" applyFill="1" applyBorder="1" applyAlignment="1">
      <alignment horizontal="center" vertical="distributed"/>
    </xf>
    <xf numFmtId="172" fontId="8" fillId="35" borderId="27" xfId="0" applyNumberFormat="1" applyFont="1" applyFill="1" applyBorder="1" applyAlignment="1">
      <alignment horizontal="center" vertical="distributed"/>
    </xf>
    <xf numFmtId="172" fontId="8" fillId="36" borderId="27" xfId="0" applyNumberFormat="1" applyFont="1" applyFill="1" applyBorder="1" applyAlignment="1">
      <alignment horizontal="center" vertical="distributed"/>
    </xf>
    <xf numFmtId="172" fontId="8" fillId="43" borderId="27" xfId="0" applyNumberFormat="1" applyFont="1" applyFill="1" applyBorder="1" applyAlignment="1">
      <alignment horizontal="center" vertical="distributed"/>
    </xf>
    <xf numFmtId="0" fontId="7" fillId="38" borderId="31" xfId="0" applyFont="1" applyFill="1" applyBorder="1" applyAlignment="1">
      <alignment horizontal="left" vertical="distributed"/>
    </xf>
    <xf numFmtId="0" fontId="7" fillId="38" borderId="33" xfId="0" applyFont="1" applyFill="1" applyBorder="1" applyAlignment="1">
      <alignment horizontal="left" vertical="distributed"/>
    </xf>
    <xf numFmtId="0" fontId="7" fillId="38" borderId="27" xfId="0" applyFont="1" applyFill="1" applyBorder="1" applyAlignment="1">
      <alignment horizontal="left" vertical="distributed"/>
    </xf>
    <xf numFmtId="0" fontId="7" fillId="37" borderId="31" xfId="0" applyFont="1" applyFill="1" applyBorder="1" applyAlignment="1">
      <alignment horizontal="left" vertical="distributed"/>
    </xf>
    <xf numFmtId="0" fontId="7" fillId="37" borderId="33" xfId="0" applyFont="1" applyFill="1" applyBorder="1" applyAlignment="1">
      <alignment horizontal="left" vertical="distributed"/>
    </xf>
    <xf numFmtId="0" fontId="7" fillId="37" borderId="27" xfId="0" applyFont="1" applyFill="1" applyBorder="1" applyAlignment="1">
      <alignment horizontal="left" vertical="distributed"/>
    </xf>
    <xf numFmtId="0" fontId="88" fillId="0" borderId="10" xfId="0" applyFont="1" applyBorder="1" applyAlignment="1">
      <alignment horizontal="left" vertical="distributed"/>
    </xf>
    <xf numFmtId="49" fontId="88" fillId="0" borderId="31" xfId="49" applyNumberFormat="1" applyFont="1" applyBorder="1" applyAlignment="1">
      <alignment horizontal="right"/>
    </xf>
    <xf numFmtId="49" fontId="88" fillId="0" borderId="33" xfId="49" applyNumberFormat="1" applyFont="1" applyBorder="1" applyAlignment="1">
      <alignment horizontal="right"/>
    </xf>
    <xf numFmtId="49" fontId="88" fillId="0" borderId="27" xfId="49" applyNumberFormat="1" applyFont="1" applyBorder="1" applyAlignment="1">
      <alignment horizontal="right"/>
    </xf>
    <xf numFmtId="0" fontId="5" fillId="0" borderId="44" xfId="0" applyFont="1" applyFill="1" applyBorder="1" applyAlignment="1">
      <alignment horizontal="center" vertical="center" textRotation="90"/>
    </xf>
    <xf numFmtId="0" fontId="5" fillId="0" borderId="45" xfId="0" applyFont="1" applyFill="1" applyBorder="1" applyAlignment="1">
      <alignment horizontal="center" vertical="center" textRotation="90"/>
    </xf>
    <xf numFmtId="0" fontId="5" fillId="0" borderId="34" xfId="0" applyFont="1" applyFill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distributed"/>
    </xf>
    <xf numFmtId="0" fontId="7" fillId="0" borderId="27" xfId="0" applyFont="1" applyBorder="1" applyAlignment="1">
      <alignment horizontal="center" vertical="distributed"/>
    </xf>
    <xf numFmtId="49" fontId="113" fillId="0" borderId="31" xfId="49" applyNumberFormat="1" applyFont="1" applyBorder="1" applyAlignment="1">
      <alignment horizontal="right"/>
    </xf>
    <xf numFmtId="49" fontId="113" fillId="0" borderId="33" xfId="49" applyNumberFormat="1" applyFont="1" applyBorder="1" applyAlignment="1">
      <alignment horizontal="right"/>
    </xf>
    <xf numFmtId="49" fontId="113" fillId="0" borderId="27" xfId="49" applyNumberFormat="1" applyFont="1" applyBorder="1" applyAlignment="1">
      <alignment horizontal="right"/>
    </xf>
    <xf numFmtId="0" fontId="74" fillId="0" borderId="46" xfId="0" applyFont="1" applyBorder="1" applyAlignment="1">
      <alignment horizontal="left"/>
    </xf>
    <xf numFmtId="0" fontId="74" fillId="0" borderId="47" xfId="0" applyFont="1" applyBorder="1" applyAlignment="1">
      <alignment horizontal="left"/>
    </xf>
    <xf numFmtId="0" fontId="74" fillId="0" borderId="48" xfId="0" applyFont="1" applyBorder="1" applyAlignment="1">
      <alignment horizontal="left"/>
    </xf>
    <xf numFmtId="0" fontId="7" fillId="36" borderId="31" xfId="0" applyFont="1" applyFill="1" applyBorder="1" applyAlignment="1">
      <alignment horizontal="left" vertical="distributed"/>
    </xf>
    <xf numFmtId="0" fontId="7" fillId="36" borderId="33" xfId="0" applyFont="1" applyFill="1" applyBorder="1" applyAlignment="1">
      <alignment horizontal="left" vertical="distributed"/>
    </xf>
    <xf numFmtId="0" fontId="7" fillId="36" borderId="27" xfId="0" applyFont="1" applyFill="1" applyBorder="1" applyAlignment="1">
      <alignment horizontal="left" vertical="distributed"/>
    </xf>
    <xf numFmtId="0" fontId="7" fillId="35" borderId="31" xfId="0" applyFont="1" applyFill="1" applyBorder="1" applyAlignment="1">
      <alignment horizontal="left"/>
    </xf>
    <xf numFmtId="0" fontId="7" fillId="35" borderId="33" xfId="0" applyFont="1" applyFill="1" applyBorder="1" applyAlignment="1">
      <alignment horizontal="left"/>
    </xf>
    <xf numFmtId="0" fontId="7" fillId="35" borderId="27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center" wrapText="1"/>
    </xf>
    <xf numFmtId="0" fontId="7" fillId="42" borderId="31" xfId="0" applyFont="1" applyFill="1" applyBorder="1" applyAlignment="1">
      <alignment horizontal="left" vertical="distributed"/>
    </xf>
    <xf numFmtId="0" fontId="7" fillId="42" borderId="33" xfId="0" applyFont="1" applyFill="1" applyBorder="1" applyAlignment="1">
      <alignment horizontal="left" vertical="distributed"/>
    </xf>
    <xf numFmtId="0" fontId="7" fillId="42" borderId="27" xfId="0" applyFont="1" applyFill="1" applyBorder="1" applyAlignment="1">
      <alignment horizontal="left" vertical="distributed"/>
    </xf>
    <xf numFmtId="0" fontId="113" fillId="0" borderId="31" xfId="0" applyFont="1" applyBorder="1" applyAlignment="1">
      <alignment horizontal="left" vertical="center" wrapText="1"/>
    </xf>
    <xf numFmtId="0" fontId="113" fillId="0" borderId="33" xfId="0" applyFont="1" applyBorder="1" applyAlignment="1">
      <alignment horizontal="left" vertical="center" wrapText="1"/>
    </xf>
    <xf numFmtId="0" fontId="113" fillId="0" borderId="27" xfId="0" applyFont="1" applyBorder="1" applyAlignment="1">
      <alignment horizontal="left" vertical="center" wrapText="1"/>
    </xf>
    <xf numFmtId="49" fontId="114" fillId="0" borderId="31" xfId="49" applyNumberFormat="1" applyFont="1" applyBorder="1" applyAlignment="1">
      <alignment horizontal="right"/>
    </xf>
    <xf numFmtId="49" fontId="114" fillId="0" borderId="33" xfId="49" applyNumberFormat="1" applyFont="1" applyBorder="1" applyAlignment="1">
      <alignment horizontal="right"/>
    </xf>
    <xf numFmtId="49" fontId="114" fillId="0" borderId="27" xfId="49" applyNumberFormat="1" applyFont="1" applyBorder="1" applyAlignment="1">
      <alignment horizontal="right"/>
    </xf>
    <xf numFmtId="0" fontId="8" fillId="35" borderId="31" xfId="0" applyFont="1" applyFill="1" applyBorder="1" applyAlignment="1">
      <alignment horizontal="left" vertical="distributed"/>
    </xf>
    <xf numFmtId="0" fontId="8" fillId="35" borderId="33" xfId="0" applyFont="1" applyFill="1" applyBorder="1" applyAlignment="1">
      <alignment horizontal="left" vertical="distributed"/>
    </xf>
    <xf numFmtId="0" fontId="8" fillId="35" borderId="27" xfId="0" applyFont="1" applyFill="1" applyBorder="1" applyAlignment="1">
      <alignment horizontal="left" vertical="distributed"/>
    </xf>
    <xf numFmtId="0" fontId="8" fillId="38" borderId="10" xfId="0" applyFont="1" applyFill="1" applyBorder="1" applyAlignment="1">
      <alignment horizontal="left" vertical="distributed"/>
    </xf>
    <xf numFmtId="0" fontId="67" fillId="0" borderId="32" xfId="0" applyFont="1" applyBorder="1" applyAlignment="1">
      <alignment vertical="center" wrapText="1"/>
    </xf>
    <xf numFmtId="0" fontId="89" fillId="0" borderId="46" xfId="0" applyFont="1" applyBorder="1" applyAlignment="1">
      <alignment horizontal="left"/>
    </xf>
    <xf numFmtId="0" fontId="89" fillId="0" borderId="47" xfId="0" applyFont="1" applyBorder="1" applyAlignment="1">
      <alignment horizontal="left"/>
    </xf>
    <xf numFmtId="0" fontId="89" fillId="0" borderId="48" xfId="0" applyFont="1" applyBorder="1" applyAlignment="1">
      <alignment horizontal="left"/>
    </xf>
    <xf numFmtId="0" fontId="66" fillId="0" borderId="11" xfId="0" applyFont="1" applyBorder="1" applyAlignment="1">
      <alignment horizontal="center" vertical="distributed"/>
    </xf>
    <xf numFmtId="0" fontId="66" fillId="0" borderId="13" xfId="0" applyFont="1" applyBorder="1" applyAlignment="1">
      <alignment horizontal="center" vertical="distributed"/>
    </xf>
    <xf numFmtId="0" fontId="66" fillId="0" borderId="12" xfId="0" applyFont="1" applyBorder="1" applyAlignment="1">
      <alignment horizontal="center" vertical="distributed"/>
    </xf>
    <xf numFmtId="0" fontId="8" fillId="43" borderId="31" xfId="0" applyFont="1" applyFill="1" applyBorder="1" applyAlignment="1">
      <alignment horizontal="left" vertical="distributed"/>
    </xf>
    <xf numFmtId="0" fontId="8" fillId="43" borderId="33" xfId="0" applyFont="1" applyFill="1" applyBorder="1" applyAlignment="1">
      <alignment horizontal="left" vertical="distributed"/>
    </xf>
    <xf numFmtId="0" fontId="8" fillId="43" borderId="27" xfId="0" applyFont="1" applyFill="1" applyBorder="1" applyAlignment="1">
      <alignment horizontal="left" vertical="distributed"/>
    </xf>
    <xf numFmtId="0" fontId="8" fillId="36" borderId="31" xfId="0" applyFont="1" applyFill="1" applyBorder="1" applyAlignment="1">
      <alignment horizontal="left" vertical="distributed"/>
    </xf>
    <xf numFmtId="0" fontId="8" fillId="36" borderId="33" xfId="0" applyFont="1" applyFill="1" applyBorder="1" applyAlignment="1">
      <alignment horizontal="left" vertical="distributed"/>
    </xf>
    <xf numFmtId="0" fontId="8" fillId="36" borderId="27" xfId="0" applyFont="1" applyFill="1" applyBorder="1" applyAlignment="1">
      <alignment horizontal="left" vertical="distributed"/>
    </xf>
    <xf numFmtId="49" fontId="90" fillId="0" borderId="31" xfId="49" applyNumberFormat="1" applyFont="1" applyBorder="1" applyAlignment="1">
      <alignment horizontal="right"/>
    </xf>
    <xf numFmtId="49" fontId="90" fillId="0" borderId="33" xfId="49" applyNumberFormat="1" applyFont="1" applyBorder="1" applyAlignment="1">
      <alignment horizontal="right"/>
    </xf>
    <xf numFmtId="49" fontId="90" fillId="0" borderId="27" xfId="49" applyNumberFormat="1" applyFont="1" applyBorder="1" applyAlignment="1">
      <alignment horizontal="right"/>
    </xf>
    <xf numFmtId="0" fontId="90" fillId="0" borderId="31" xfId="0" applyFont="1" applyBorder="1" applyAlignment="1">
      <alignment horizontal="left" vertical="distributed"/>
    </xf>
    <xf numFmtId="0" fontId="90" fillId="0" borderId="33" xfId="0" applyFont="1" applyBorder="1" applyAlignment="1">
      <alignment horizontal="left" vertical="distributed"/>
    </xf>
    <xf numFmtId="0" fontId="90" fillId="0" borderId="27" xfId="0" applyFont="1" applyBorder="1" applyAlignment="1">
      <alignment horizontal="left" vertical="distributed"/>
    </xf>
    <xf numFmtId="0" fontId="60" fillId="0" borderId="46" xfId="0" applyFont="1" applyBorder="1" applyAlignment="1">
      <alignment horizontal="left" vertical="distributed"/>
    </xf>
    <xf numFmtId="0" fontId="60" fillId="0" borderId="47" xfId="0" applyFont="1" applyBorder="1" applyAlignment="1">
      <alignment horizontal="left" vertical="distributed"/>
    </xf>
    <xf numFmtId="0" fontId="60" fillId="0" borderId="48" xfId="0" applyFont="1" applyBorder="1" applyAlignment="1">
      <alignment horizontal="left" vertical="distributed"/>
    </xf>
    <xf numFmtId="0" fontId="67" fillId="0" borderId="32" xfId="0" applyFont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distributed"/>
    </xf>
    <xf numFmtId="0" fontId="8" fillId="37" borderId="10" xfId="0" applyFont="1" applyFill="1" applyBorder="1" applyAlignment="1">
      <alignment horizontal="left" vertical="distributed"/>
    </xf>
    <xf numFmtId="0" fontId="114" fillId="0" borderId="21" xfId="0" applyFont="1" applyBorder="1" applyAlignment="1">
      <alignment horizontal="right"/>
    </xf>
    <xf numFmtId="0" fontId="114" fillId="0" borderId="23" xfId="0" applyFont="1" applyBorder="1" applyAlignment="1">
      <alignment horizontal="right"/>
    </xf>
    <xf numFmtId="0" fontId="8" fillId="36" borderId="10" xfId="0" applyFont="1" applyFill="1" applyBorder="1" applyAlignment="1">
      <alignment horizontal="left" vertical="distributed"/>
    </xf>
    <xf numFmtId="0" fontId="88" fillId="0" borderId="31" xfId="0" applyFont="1" applyBorder="1" applyAlignment="1">
      <alignment horizontal="left" vertical="distributed"/>
    </xf>
    <xf numFmtId="0" fontId="9" fillId="0" borderId="27" xfId="0" applyFont="1" applyBorder="1" applyAlignment="1">
      <alignment/>
    </xf>
    <xf numFmtId="0" fontId="90" fillId="0" borderId="21" xfId="0" applyFont="1" applyBorder="1" applyAlignment="1">
      <alignment horizontal="right"/>
    </xf>
    <xf numFmtId="0" fontId="90" fillId="0" borderId="23" xfId="0" applyFont="1" applyBorder="1" applyAlignment="1">
      <alignment horizontal="right"/>
    </xf>
    <xf numFmtId="0" fontId="114" fillId="0" borderId="31" xfId="0" applyFont="1" applyBorder="1" applyAlignment="1">
      <alignment horizontal="left" vertical="center" wrapText="1"/>
    </xf>
    <xf numFmtId="0" fontId="114" fillId="0" borderId="27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'por Inc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688834"/>
        <c:axId val="47872915"/>
      </c:lineChart>
      <c:catAx>
        <c:axId val="27688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2915"/>
        <c:crosses val="autoZero"/>
        <c:auto val="1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88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 fármaco sólo perjudica a "1 paciente", sobre el resto no ejerce ningún perjuicio.</a:t>
            </a:r>
          </a:p>
        </c:rich>
      </c:tx>
      <c:layout>
        <c:manualLayout>
          <c:xMode val="factor"/>
          <c:yMode val="factor"/>
          <c:x val="0.00675"/>
          <c:y val="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95"/>
          <c:w val="0.76325"/>
          <c:h val="0.78025"/>
        </c:manualLayout>
      </c:layout>
      <c:barChart>
        <c:barDir val="col"/>
        <c:grouping val="stacked"/>
        <c:varyColors val="0"/>
        <c:ser>
          <c:idx val="0"/>
          <c:order val="0"/>
          <c:tx>
            <c:v>Permancecerán sanos (igual que con Mtos Control)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RR'!$D$33:$F$33</c:f>
              <c:numCache/>
            </c:numRef>
          </c:val>
        </c:ser>
        <c:ser>
          <c:idx val="1"/>
          <c:order val="1"/>
          <c:tx>
            <c:v>Eventos que provocará más Intervención que Control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RR'!$D$34:$F$34</c:f>
              <c:numCache/>
            </c:numRef>
          </c:val>
        </c:ser>
        <c:ser>
          <c:idx val="2"/>
          <c:order val="2"/>
          <c:tx>
            <c:v>Tendrán evento con Intervención (igual que con Control)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RR'!$D$35:$F$35</c:f>
              <c:numCache/>
            </c:numRef>
          </c:val>
        </c:ser>
        <c:overlap val="100"/>
        <c:axId val="60874236"/>
        <c:axId val="10997213"/>
      </c:barChart>
      <c:catAx>
        <c:axId val="6087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NND: el 1 es el la estimación puntual. El 2 y el 3 son los límites del IC 95%</a:t>
                </a:r>
              </a:p>
            </c:rich>
          </c:tx>
          <c:layout>
            <c:manualLayout>
              <c:xMode val="factor"/>
              <c:yMode val="factor"/>
              <c:x val="-0.006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0997213"/>
        <c:crosses val="autoZero"/>
        <c:auto val="1"/>
        <c:lblOffset val="100"/>
        <c:tickLblSkip val="1"/>
        <c:noMultiLvlLbl val="0"/>
      </c:catAx>
      <c:valAx>
        <c:axId val="109972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Nº de pacientes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08742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22225"/>
          <c:w val="0.169"/>
          <c:h val="0.6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'por Inc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8203052"/>
        <c:axId val="52500877"/>
      </c:lineChart>
      <c:catAx>
        <c:axId val="28203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00877"/>
        <c:crosses val="autoZero"/>
        <c:auto val="1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0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'por Inc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45846"/>
        <c:axId val="24712615"/>
      </c:lineChart>
      <c:catAx>
        <c:axId val="2745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615"/>
        <c:crosses val="autoZero"/>
        <c:auto val="1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58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'por Inc Acum'!#REF!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086944"/>
        <c:axId val="55564769"/>
      </c:line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9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993300"/>
                </a:solidFill>
              </a:rPr>
              <a:t>Regla del 1 para "Mortalidad global":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El  NNT 11 (IC 95%, 6 a 49) es el Nº de personas a tratar con Osimertinib para evitar a "1" persona más de un evento, en 15 meses de seguimiento, que con Gefitinib o Erlotinib. En el resto son siimilares.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0.295"/>
          <c:w val="0.739"/>
          <c:h val="0.6265"/>
        </c:manualLayout>
      </c:layout>
      <c:barChart>
        <c:barDir val="col"/>
        <c:grouping val="stacked"/>
        <c:varyColors val="0"/>
        <c:ser>
          <c:idx val="0"/>
          <c:order val="0"/>
          <c:tx>
            <c:v>Permanecerán sin eventos (igual que con el Control)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Inc Acum'!$E$65:$G$65</c:f>
              <c:numCache/>
            </c:numRef>
          </c:val>
        </c:ser>
        <c:ser>
          <c:idx val="1"/>
          <c:order val="1"/>
          <c:tx>
            <c:v>Eventos que evitará más Intervención que Control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Inc Acum'!$E$66:$G$66</c:f>
              <c:numCache/>
            </c:numRef>
          </c:val>
        </c:ser>
        <c:ser>
          <c:idx val="2"/>
          <c:order val="2"/>
          <c:tx>
            <c:v>Tendrán eventos con  Intervención (igual que con Control)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Inc Acum'!$E$67:$G$67</c:f>
              <c:numCache/>
            </c:numRef>
          </c:val>
        </c:ser>
        <c:overlap val="100"/>
        <c:axId val="30320874"/>
        <c:axId val="4452411"/>
      </c:barChart>
      <c:catAx>
        <c:axId val="3032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NNT: el 1 es la estimación puntual, el 2 y el 3 son los extremos del IC 95%.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</a:defRPr>
            </a:pPr>
          </a:p>
        </c:tx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Nº de pacientes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03208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2685"/>
          <c:w val="0.172"/>
          <c:h val="0.6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El NND (IC 95%) es el Nº de pacientes que hay que tratar con el Mto de Intervención para perjudicar a "1" más que si se trata con el Mto de Control. En el resto de pacientes el Mto de Intervención y el Mto de Control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tienen un comportamiento similar.</a:t>
            </a:r>
          </a:p>
        </c:rich>
      </c:tx>
      <c:layout>
        <c:manualLayout>
          <c:xMode val="factor"/>
          <c:yMode val="factor"/>
          <c:x val="0.026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8625"/>
          <c:w val="0.79425"/>
          <c:h val="0.633"/>
        </c:manualLayout>
      </c:layout>
      <c:barChart>
        <c:barDir val="col"/>
        <c:grouping val="stacked"/>
        <c:varyColors val="0"/>
        <c:ser>
          <c:idx val="0"/>
          <c:order val="0"/>
          <c:tx>
            <c:v>Permanecerán sanos (igualque con el Mto Control)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Inc Acum'!$E$71:$G$71</c:f>
              <c:numCache/>
            </c:numRef>
          </c:val>
        </c:ser>
        <c:ser>
          <c:idx val="1"/>
          <c:order val="1"/>
          <c:tx>
            <c:v>Eventos que provocará más Intervenciión que Control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Inc Acum'!$E$72:$G$72</c:f>
              <c:numCache/>
            </c:numRef>
          </c:val>
        </c:ser>
        <c:ser>
          <c:idx val="2"/>
          <c:order val="2"/>
          <c:tx>
            <c:v>Tendrán eventos con Intervención (igual que con Cotrol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'por Inc Acum'!$E$73:$G$73</c:f>
              <c:numCache/>
            </c:numRef>
          </c:val>
        </c:ser>
        <c:overlap val="100"/>
        <c:axId val="40071700"/>
        <c:axId val="25100981"/>
      </c:barChart>
      <c:catAx>
        <c:axId val="4007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NND: el 1 es la estimación puntual, el 2 y el 3 son los extremos del IC 95%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pacientes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  <c:crossAx val="400717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25625"/>
          <c:w val="0.15375"/>
          <c:h val="0.6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993300"/>
                </a:solidFill>
              </a:rPr>
              <a:t>Regla del 1 para "Mortalidad global":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El NNT 15 (IC 95%, 8 a 274) es el nº de personas que hay tratar con Atezol+Gemcitab para evitar a "1" persona más de un evento, en 24 m de seguimiento, que con QMT plat+Gmcitab. En el resto, ambos esquemas son simil</a:t>
            </a:r>
          </a:p>
        </c:rich>
      </c:tx>
      <c:layout>
        <c:manualLayout>
          <c:xMode val="factor"/>
          <c:yMode val="factor"/>
          <c:x val="0.0132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235"/>
          <c:w val="0.7625"/>
          <c:h val="0.63725"/>
        </c:manualLayout>
      </c:layout>
      <c:barChart>
        <c:barDir val="col"/>
        <c:grouping val="stacked"/>
        <c:varyColors val="0"/>
        <c:ser>
          <c:idx val="0"/>
          <c:order val="0"/>
          <c:tx>
            <c:v>Permanecerán sanos (igual que con Mto Control)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HR'!$E$28:$G$28</c:f>
              <c:numCache/>
            </c:numRef>
          </c:val>
        </c:ser>
        <c:ser>
          <c:idx val="1"/>
          <c:order val="1"/>
          <c:tx>
            <c:v>Eventos que evitará Intervención más que Control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HR'!$E$29:$G$29</c:f>
              <c:numCache/>
            </c:numRef>
          </c:val>
        </c:ser>
        <c:ser>
          <c:idx val="2"/>
          <c:order val="2"/>
          <c:tx>
            <c:v>Tendrán evento con Intervención (igual que con Control)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HR'!$E$30:$G$30</c:f>
              <c:numCache/>
            </c:numRef>
          </c:val>
        </c:ser>
        <c:overlap val="100"/>
        <c:axId val="24582238"/>
        <c:axId val="19913551"/>
      </c:barChart>
      <c:catAx>
        <c:axId val="24582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NNT: el 1 es la estimación puntual. El 2 y el 3 son los límites del IC 95%</a:t>
                </a:r>
              </a:p>
            </c:rich>
          </c:tx>
          <c:layout>
            <c:manualLayout>
              <c:xMode val="factor"/>
              <c:yMode val="factor"/>
              <c:x val="-0.02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Nº de pacientes</a:t>
                </a:r>
              </a:p>
            </c:rich>
          </c:tx>
          <c:layout>
            <c:manualLayout>
              <c:xMode val="factor"/>
              <c:yMode val="factor"/>
              <c:x val="-0.01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4582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5"/>
          <c:y val="0.26325"/>
          <c:w val="0.153"/>
          <c:h val="0.5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El fármaco sólo perjudica a "1 paciente", sobre el resto no ejerce ningún perjuicio.</a:t>
            </a:r>
          </a:p>
        </c:rich>
      </c:tx>
      <c:layout>
        <c:manualLayout>
          <c:xMode val="factor"/>
          <c:yMode val="factor"/>
          <c:x val="-0.005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1"/>
          <c:w val="0.78"/>
          <c:h val="0.75475"/>
        </c:manualLayout>
      </c:layout>
      <c:barChart>
        <c:barDir val="col"/>
        <c:grouping val="stacked"/>
        <c:varyColors val="0"/>
        <c:ser>
          <c:idx val="0"/>
          <c:order val="0"/>
          <c:tx>
            <c:v>Permanecerán sanos (igual que con el Mto Control)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HR'!$E$34:$G$34</c:f>
              <c:numCache/>
            </c:numRef>
          </c:val>
        </c:ser>
        <c:ser>
          <c:idx val="1"/>
          <c:order val="1"/>
          <c:tx>
            <c:v>Eventos que provocará Intervenciín más que Controol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99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99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HR'!$E$35:$G$35</c:f>
              <c:numCache/>
            </c:numRef>
          </c:val>
        </c:ser>
        <c:ser>
          <c:idx val="2"/>
          <c:order val="2"/>
          <c:tx>
            <c:v>Tendrán evento con Intervención (igual que con Control)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HR'!$E$36:$G$36</c:f>
              <c:numCache/>
            </c:numRef>
          </c:val>
        </c:ser>
        <c:overlap val="100"/>
        <c:axId val="45004232"/>
        <c:axId val="2384905"/>
      </c:barChart>
      <c:catAx>
        <c:axId val="45004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NND: el 1 es la estimación puntual. El 2 y 3 son los límites del IC 95%</a:t>
                </a:r>
              </a:p>
            </c:rich>
          </c:tx>
          <c:layout>
            <c:manualLayout>
              <c:xMode val="factor"/>
              <c:yMode val="factor"/>
              <c:x val="-0.019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</a:defRPr>
            </a:pPr>
          </a:p>
        </c:tx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Nº de pacientes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450042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475"/>
          <c:y val="0.18625"/>
          <c:w val="0.15"/>
          <c:h val="0.62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 fármaco sólo beneficia a "1 paciente", sobre el resto no ejerce ningún beneficio.</a:t>
            </a:r>
          </a:p>
        </c:rich>
      </c:tx>
      <c:layout>
        <c:manualLayout>
          <c:xMode val="factor"/>
          <c:yMode val="factor"/>
          <c:x val="-0.023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18375"/>
          <c:w val="0.74275"/>
          <c:h val="0.77175"/>
        </c:manualLayout>
      </c:layout>
      <c:barChart>
        <c:barDir val="col"/>
        <c:grouping val="stacked"/>
        <c:varyColors val="0"/>
        <c:ser>
          <c:idx val="0"/>
          <c:order val="0"/>
          <c:tx>
            <c:v>Permanecerán sanos (igual que con Mto Control)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99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99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RR'!$D$27:$F$27</c:f>
              <c:numCache/>
            </c:numRef>
          </c:val>
        </c:ser>
        <c:ser>
          <c:idx val="1"/>
          <c:order val="1"/>
          <c:tx>
            <c:v>Eventos que evitará más Intervención que Control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CCFFCC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CCFFCC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RR'!$D$28:$F$28</c:f>
              <c:numCache/>
            </c:numRef>
          </c:val>
        </c:ser>
        <c:ser>
          <c:idx val="2"/>
          <c:order val="2"/>
          <c:tx>
            <c:v>Tendrán evento con Intervención (igual que con Control)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0000"/>
                </a:solidFill>
                <a:ln w="3175">
                  <a:solidFill>
                    <a:srgbClr val="0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0000"/>
              </a:solidFill>
              <a:ln w="3175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'desde RR'!$D$29:$F$29</c:f>
              <c:numCache/>
            </c:numRef>
          </c:val>
        </c:ser>
        <c:overlap val="100"/>
        <c:axId val="21464146"/>
        <c:axId val="58959587"/>
      </c:barChart>
      <c:catAx>
        <c:axId val="21464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NNT: el 1 es la estimación puntual. El 2 y el 3 son los límites del IC 95%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Nº de pacientes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1464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21075"/>
          <c:w val="0.167"/>
          <c:h val="0.6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42</xdr:row>
      <xdr:rowOff>38100</xdr:rowOff>
    </xdr:to>
    <xdr:graphicFrame>
      <xdr:nvGraphicFramePr>
        <xdr:cNvPr id="1" name="Gráfico 10"/>
        <xdr:cNvGraphicFramePr/>
      </xdr:nvGraphicFramePr>
      <xdr:xfrm>
        <a:off x="0" y="2057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>
      <xdr:nvGraphicFramePr>
        <xdr:cNvPr id="2" name="Gráfico 11"/>
        <xdr:cNvGraphicFramePr/>
      </xdr:nvGraphicFramePr>
      <xdr:xfrm>
        <a:off x="0" y="2057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graphicFrame>
      <xdr:nvGraphicFramePr>
        <xdr:cNvPr id="3" name="Gráfico 12"/>
        <xdr:cNvGraphicFramePr/>
      </xdr:nvGraphicFramePr>
      <xdr:xfrm>
        <a:off x="0" y="2057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42</xdr:row>
      <xdr:rowOff>28575</xdr:rowOff>
    </xdr:to>
    <xdr:graphicFrame>
      <xdr:nvGraphicFramePr>
        <xdr:cNvPr id="4" name="Gráfico 13"/>
        <xdr:cNvGraphicFramePr/>
      </xdr:nvGraphicFramePr>
      <xdr:xfrm>
        <a:off x="0" y="20574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74</xdr:row>
      <xdr:rowOff>85725</xdr:rowOff>
    </xdr:from>
    <xdr:to>
      <xdr:col>4</xdr:col>
      <xdr:colOff>1190625</xdr:colOff>
      <xdr:row>92</xdr:row>
      <xdr:rowOff>28575</xdr:rowOff>
    </xdr:to>
    <xdr:graphicFrame>
      <xdr:nvGraphicFramePr>
        <xdr:cNvPr id="5" name="Gráfico 87"/>
        <xdr:cNvGraphicFramePr/>
      </xdr:nvGraphicFramePr>
      <xdr:xfrm>
        <a:off x="0" y="6067425"/>
        <a:ext cx="8010525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1495425</xdr:colOff>
      <xdr:row>74</xdr:row>
      <xdr:rowOff>76200</xdr:rowOff>
    </xdr:from>
    <xdr:to>
      <xdr:col>11</xdr:col>
      <xdr:colOff>295275</xdr:colOff>
      <xdr:row>92</xdr:row>
      <xdr:rowOff>19050</xdr:rowOff>
    </xdr:to>
    <xdr:graphicFrame>
      <xdr:nvGraphicFramePr>
        <xdr:cNvPr id="6" name="Gráfico 88"/>
        <xdr:cNvGraphicFramePr/>
      </xdr:nvGraphicFramePr>
      <xdr:xfrm>
        <a:off x="8315325" y="6057900"/>
        <a:ext cx="72771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476250</xdr:colOff>
      <xdr:row>64</xdr:row>
      <xdr:rowOff>9525</xdr:rowOff>
    </xdr:from>
    <xdr:to>
      <xdr:col>0</xdr:col>
      <xdr:colOff>1362075</xdr:colOff>
      <xdr:row>64</xdr:row>
      <xdr:rowOff>19050</xdr:rowOff>
    </xdr:to>
    <xdr:sp>
      <xdr:nvSpPr>
        <xdr:cNvPr id="7" name="Line 90"/>
        <xdr:cNvSpPr>
          <a:spLocks/>
        </xdr:cNvSpPr>
      </xdr:nvSpPr>
      <xdr:spPr>
        <a:xfrm flipH="1" flipV="1">
          <a:off x="476250" y="3676650"/>
          <a:ext cx="885825" cy="95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63</xdr:row>
      <xdr:rowOff>190500</xdr:rowOff>
    </xdr:from>
    <xdr:to>
      <xdr:col>0</xdr:col>
      <xdr:colOff>1409700</xdr:colOff>
      <xdr:row>74</xdr:row>
      <xdr:rowOff>133350</xdr:rowOff>
    </xdr:to>
    <xdr:sp>
      <xdr:nvSpPr>
        <xdr:cNvPr id="8" name="Line 91"/>
        <xdr:cNvSpPr>
          <a:spLocks/>
        </xdr:cNvSpPr>
      </xdr:nvSpPr>
      <xdr:spPr>
        <a:xfrm>
          <a:off x="438150" y="3667125"/>
          <a:ext cx="971550" cy="24479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1504950</xdr:colOff>
      <xdr:row>61</xdr:row>
      <xdr:rowOff>209550</xdr:rowOff>
    </xdr:from>
    <xdr:to>
      <xdr:col>0</xdr:col>
      <xdr:colOff>1981200</xdr:colOff>
      <xdr:row>66</xdr:row>
      <xdr:rowOff>152400</xdr:rowOff>
    </xdr:to>
    <xdr:sp>
      <xdr:nvSpPr>
        <xdr:cNvPr id="9" name="AutoShape 92"/>
        <xdr:cNvSpPr>
          <a:spLocks/>
        </xdr:cNvSpPr>
      </xdr:nvSpPr>
      <xdr:spPr>
        <a:xfrm>
          <a:off x="1504950" y="3133725"/>
          <a:ext cx="476250" cy="1114425"/>
        </a:xfrm>
        <a:prstGeom prst="leftBrace">
          <a:avLst>
            <a:gd name="adj" fmla="val 1689"/>
          </a:avLst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70</xdr:row>
      <xdr:rowOff>0</xdr:rowOff>
    </xdr:from>
    <xdr:to>
      <xdr:col>7</xdr:col>
      <xdr:colOff>295275</xdr:colOff>
      <xdr:row>70</xdr:row>
      <xdr:rowOff>0</xdr:rowOff>
    </xdr:to>
    <xdr:sp>
      <xdr:nvSpPr>
        <xdr:cNvPr id="10" name="Line 95"/>
        <xdr:cNvSpPr>
          <a:spLocks/>
        </xdr:cNvSpPr>
      </xdr:nvSpPr>
      <xdr:spPr>
        <a:xfrm>
          <a:off x="12296775" y="5105400"/>
          <a:ext cx="0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69</xdr:row>
      <xdr:rowOff>190500</xdr:rowOff>
    </xdr:from>
    <xdr:to>
      <xdr:col>8</xdr:col>
      <xdr:colOff>371475</xdr:colOff>
      <xdr:row>70</xdr:row>
      <xdr:rowOff>9525</xdr:rowOff>
    </xdr:to>
    <xdr:sp>
      <xdr:nvSpPr>
        <xdr:cNvPr id="11" name="Line 107"/>
        <xdr:cNvSpPr>
          <a:spLocks/>
        </xdr:cNvSpPr>
      </xdr:nvSpPr>
      <xdr:spPr>
        <a:xfrm flipV="1">
          <a:off x="12801600" y="5105400"/>
          <a:ext cx="428625" cy="95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69</xdr:row>
      <xdr:rowOff>190500</xdr:rowOff>
    </xdr:from>
    <xdr:to>
      <xdr:col>8</xdr:col>
      <xdr:colOff>361950</xdr:colOff>
      <xdr:row>75</xdr:row>
      <xdr:rowOff>47625</xdr:rowOff>
    </xdr:to>
    <xdr:sp>
      <xdr:nvSpPr>
        <xdr:cNvPr id="12" name="Line 108"/>
        <xdr:cNvSpPr>
          <a:spLocks/>
        </xdr:cNvSpPr>
      </xdr:nvSpPr>
      <xdr:spPr>
        <a:xfrm flipH="1">
          <a:off x="12134850" y="5105400"/>
          <a:ext cx="1085850" cy="108585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67</xdr:row>
      <xdr:rowOff>133350</xdr:rowOff>
    </xdr:from>
    <xdr:to>
      <xdr:col>7</xdr:col>
      <xdr:colOff>685800</xdr:colOff>
      <xdr:row>72</xdr:row>
      <xdr:rowOff>209550</xdr:rowOff>
    </xdr:to>
    <xdr:sp>
      <xdr:nvSpPr>
        <xdr:cNvPr id="13" name="Cerrar llave 1"/>
        <xdr:cNvSpPr>
          <a:spLocks/>
        </xdr:cNvSpPr>
      </xdr:nvSpPr>
      <xdr:spPr>
        <a:xfrm>
          <a:off x="12115800" y="4419600"/>
          <a:ext cx="523875" cy="1371600"/>
        </a:xfrm>
        <a:prstGeom prst="rightBrac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8</xdr:row>
      <xdr:rowOff>114300</xdr:rowOff>
    </xdr:from>
    <xdr:to>
      <xdr:col>7</xdr:col>
      <xdr:colOff>123825</xdr:colOff>
      <xdr:row>8</xdr:row>
      <xdr:rowOff>114300</xdr:rowOff>
    </xdr:to>
    <xdr:sp>
      <xdr:nvSpPr>
        <xdr:cNvPr id="1" name="Line 35"/>
        <xdr:cNvSpPr>
          <a:spLocks/>
        </xdr:cNvSpPr>
      </xdr:nvSpPr>
      <xdr:spPr>
        <a:xfrm flipH="1" flipV="1">
          <a:off x="7067550" y="18573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36</xdr:row>
      <xdr:rowOff>123825</xdr:rowOff>
    </xdr:from>
    <xdr:to>
      <xdr:col>7</xdr:col>
      <xdr:colOff>76200</xdr:colOff>
      <xdr:row>63</xdr:row>
      <xdr:rowOff>0</xdr:rowOff>
    </xdr:to>
    <xdr:graphicFrame>
      <xdr:nvGraphicFramePr>
        <xdr:cNvPr id="2" name="Gráfico 37"/>
        <xdr:cNvGraphicFramePr/>
      </xdr:nvGraphicFramePr>
      <xdr:xfrm>
        <a:off x="209550" y="5619750"/>
        <a:ext cx="805815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276225</xdr:colOff>
      <xdr:row>36</xdr:row>
      <xdr:rowOff>104775</xdr:rowOff>
    </xdr:from>
    <xdr:to>
      <xdr:col>14</xdr:col>
      <xdr:colOff>47625</xdr:colOff>
      <xdr:row>61</xdr:row>
      <xdr:rowOff>114300</xdr:rowOff>
    </xdr:to>
    <xdr:graphicFrame>
      <xdr:nvGraphicFramePr>
        <xdr:cNvPr id="3" name="Gráfico 38"/>
        <xdr:cNvGraphicFramePr/>
      </xdr:nvGraphicFramePr>
      <xdr:xfrm>
        <a:off x="8467725" y="5600700"/>
        <a:ext cx="5610225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752475</xdr:colOff>
      <xdr:row>25</xdr:row>
      <xdr:rowOff>28575</xdr:rowOff>
    </xdr:from>
    <xdr:to>
      <xdr:col>0</xdr:col>
      <xdr:colOff>809625</xdr:colOff>
      <xdr:row>30</xdr:row>
      <xdr:rowOff>0</xdr:rowOff>
    </xdr:to>
    <xdr:sp>
      <xdr:nvSpPr>
        <xdr:cNvPr id="4" name="AutoShape 40"/>
        <xdr:cNvSpPr>
          <a:spLocks/>
        </xdr:cNvSpPr>
      </xdr:nvSpPr>
      <xdr:spPr>
        <a:xfrm>
          <a:off x="752475" y="2867025"/>
          <a:ext cx="57150" cy="1200150"/>
        </a:xfrm>
        <a:prstGeom prst="leftBrac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238125</xdr:colOff>
      <xdr:row>26</xdr:row>
      <xdr:rowOff>171450</xdr:rowOff>
    </xdr:from>
    <xdr:to>
      <xdr:col>0</xdr:col>
      <xdr:colOff>657225</xdr:colOff>
      <xdr:row>26</xdr:row>
      <xdr:rowOff>171450</xdr:rowOff>
    </xdr:to>
    <xdr:sp>
      <xdr:nvSpPr>
        <xdr:cNvPr id="5" name="Line 42"/>
        <xdr:cNvSpPr>
          <a:spLocks/>
        </xdr:cNvSpPr>
      </xdr:nvSpPr>
      <xdr:spPr>
        <a:xfrm flipH="1">
          <a:off x="238125" y="3419475"/>
          <a:ext cx="419100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26</xdr:row>
      <xdr:rowOff>190500</xdr:rowOff>
    </xdr:from>
    <xdr:to>
      <xdr:col>0</xdr:col>
      <xdr:colOff>857250</xdr:colOff>
      <xdr:row>36</xdr:row>
      <xdr:rowOff>9525</xdr:rowOff>
    </xdr:to>
    <xdr:sp>
      <xdr:nvSpPr>
        <xdr:cNvPr id="6" name="Line 43"/>
        <xdr:cNvSpPr>
          <a:spLocks/>
        </xdr:cNvSpPr>
      </xdr:nvSpPr>
      <xdr:spPr>
        <a:xfrm>
          <a:off x="285750" y="3438525"/>
          <a:ext cx="571500" cy="206692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31</xdr:row>
      <xdr:rowOff>9525</xdr:rowOff>
    </xdr:from>
    <xdr:to>
      <xdr:col>7</xdr:col>
      <xdr:colOff>200025</xdr:colOff>
      <xdr:row>36</xdr:row>
      <xdr:rowOff>9525</xdr:rowOff>
    </xdr:to>
    <xdr:sp>
      <xdr:nvSpPr>
        <xdr:cNvPr id="7" name="AutoShape 44"/>
        <xdr:cNvSpPr>
          <a:spLocks/>
        </xdr:cNvSpPr>
      </xdr:nvSpPr>
      <xdr:spPr>
        <a:xfrm>
          <a:off x="8315325" y="4238625"/>
          <a:ext cx="76200" cy="1266825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32</xdr:row>
      <xdr:rowOff>133350</xdr:rowOff>
    </xdr:from>
    <xdr:to>
      <xdr:col>8</xdr:col>
      <xdr:colOff>0</xdr:colOff>
      <xdr:row>32</xdr:row>
      <xdr:rowOff>133350</xdr:rowOff>
    </xdr:to>
    <xdr:sp>
      <xdr:nvSpPr>
        <xdr:cNvPr id="8" name="Line 45"/>
        <xdr:cNvSpPr>
          <a:spLocks/>
        </xdr:cNvSpPr>
      </xdr:nvSpPr>
      <xdr:spPr>
        <a:xfrm>
          <a:off x="8429625" y="4829175"/>
          <a:ext cx="314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32</xdr:row>
      <xdr:rowOff>133350</xdr:rowOff>
    </xdr:from>
    <xdr:to>
      <xdr:col>8</xdr:col>
      <xdr:colOff>609600</xdr:colOff>
      <xdr:row>36</xdr:row>
      <xdr:rowOff>142875</xdr:rowOff>
    </xdr:to>
    <xdr:sp>
      <xdr:nvSpPr>
        <xdr:cNvPr id="9" name="Line 46"/>
        <xdr:cNvSpPr>
          <a:spLocks/>
        </xdr:cNvSpPr>
      </xdr:nvSpPr>
      <xdr:spPr>
        <a:xfrm>
          <a:off x="8763000" y="4829175"/>
          <a:ext cx="590550" cy="8096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6</xdr:row>
      <xdr:rowOff>76200</xdr:rowOff>
    </xdr:from>
    <xdr:to>
      <xdr:col>1</xdr:col>
      <xdr:colOff>828675</xdr:colOff>
      <xdr:row>7</xdr:row>
      <xdr:rowOff>219075</xdr:rowOff>
    </xdr:to>
    <xdr:sp>
      <xdr:nvSpPr>
        <xdr:cNvPr id="10" name="Rectangle 47"/>
        <xdr:cNvSpPr>
          <a:spLocks/>
        </xdr:cNvSpPr>
      </xdr:nvSpPr>
      <xdr:spPr>
        <a:xfrm>
          <a:off x="95250" y="1238250"/>
          <a:ext cx="16573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Aquí se introduce el % de RA del grupo control.</a:t>
          </a:r>
        </a:p>
      </xdr:txBody>
    </xdr:sp>
    <xdr:clientData/>
  </xdr:twoCellAnchor>
  <xdr:twoCellAnchor>
    <xdr:from>
      <xdr:col>1</xdr:col>
      <xdr:colOff>609600</xdr:colOff>
      <xdr:row>5</xdr:row>
      <xdr:rowOff>28575</xdr:rowOff>
    </xdr:from>
    <xdr:to>
      <xdr:col>2</xdr:col>
      <xdr:colOff>180975</xdr:colOff>
      <xdr:row>6</xdr:row>
      <xdr:rowOff>47625</xdr:rowOff>
    </xdr:to>
    <xdr:sp>
      <xdr:nvSpPr>
        <xdr:cNvPr id="11" name="Line 48"/>
        <xdr:cNvSpPr>
          <a:spLocks/>
        </xdr:cNvSpPr>
      </xdr:nvSpPr>
      <xdr:spPr>
        <a:xfrm flipV="1">
          <a:off x="1533525" y="1019175"/>
          <a:ext cx="12763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6</xdr:row>
      <xdr:rowOff>104775</xdr:rowOff>
    </xdr:from>
    <xdr:to>
      <xdr:col>9</xdr:col>
      <xdr:colOff>514350</xdr:colOff>
      <xdr:row>8</xdr:row>
      <xdr:rowOff>161925</xdr:rowOff>
    </xdr:to>
    <xdr:sp>
      <xdr:nvSpPr>
        <xdr:cNvPr id="12" name="Rectangle 49"/>
        <xdr:cNvSpPr>
          <a:spLocks/>
        </xdr:cNvSpPr>
      </xdr:nvSpPr>
      <xdr:spPr>
        <a:xfrm>
          <a:off x="8334375" y="1266825"/>
          <a:ext cx="18954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En las casillas con fondo amarilo se introduce valor del HR con sus intervalos de confianza.</a:t>
          </a:r>
        </a:p>
      </xdr:txBody>
    </xdr:sp>
    <xdr:clientData/>
  </xdr:twoCellAnchor>
  <xdr:twoCellAnchor>
    <xdr:from>
      <xdr:col>7</xdr:col>
      <xdr:colOff>152400</xdr:colOff>
      <xdr:row>21</xdr:row>
      <xdr:rowOff>95250</xdr:rowOff>
    </xdr:from>
    <xdr:to>
      <xdr:col>9</xdr:col>
      <xdr:colOff>581025</xdr:colOff>
      <xdr:row>23</xdr:row>
      <xdr:rowOff>238125</xdr:rowOff>
    </xdr:to>
    <xdr:sp>
      <xdr:nvSpPr>
        <xdr:cNvPr id="13" name="Rectangle 50"/>
        <xdr:cNvSpPr>
          <a:spLocks/>
        </xdr:cNvSpPr>
      </xdr:nvSpPr>
      <xdr:spPr>
        <a:xfrm>
          <a:off x="8343900" y="2047875"/>
          <a:ext cx="1952625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Automáticamente se obtienen RR, RAR y NNT con sus intervalos de confianza.</a:t>
          </a:r>
        </a:p>
      </xdr:txBody>
    </xdr:sp>
    <xdr:clientData/>
  </xdr:twoCellAnchor>
  <xdr:twoCellAnchor>
    <xdr:from>
      <xdr:col>7</xdr:col>
      <xdr:colOff>0</xdr:colOff>
      <xdr:row>22</xdr:row>
      <xdr:rowOff>238125</xdr:rowOff>
    </xdr:from>
    <xdr:to>
      <xdr:col>7</xdr:col>
      <xdr:colOff>133350</xdr:colOff>
      <xdr:row>23</xdr:row>
      <xdr:rowOff>0</xdr:rowOff>
    </xdr:to>
    <xdr:sp>
      <xdr:nvSpPr>
        <xdr:cNvPr id="14" name="Line 52"/>
        <xdr:cNvSpPr>
          <a:spLocks/>
        </xdr:cNvSpPr>
      </xdr:nvSpPr>
      <xdr:spPr>
        <a:xfrm flipH="1">
          <a:off x="8191500" y="2352675"/>
          <a:ext cx="133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23</xdr:row>
      <xdr:rowOff>228600</xdr:rowOff>
    </xdr:from>
    <xdr:to>
      <xdr:col>6</xdr:col>
      <xdr:colOff>180975</xdr:colOff>
      <xdr:row>26</xdr:row>
      <xdr:rowOff>66675</xdr:rowOff>
    </xdr:to>
    <xdr:sp>
      <xdr:nvSpPr>
        <xdr:cNvPr id="15" name="Line 53"/>
        <xdr:cNvSpPr>
          <a:spLocks/>
        </xdr:cNvSpPr>
      </xdr:nvSpPr>
      <xdr:spPr>
        <a:xfrm flipH="1">
          <a:off x="5200650" y="2590800"/>
          <a:ext cx="2000250" cy="72390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323850</xdr:colOff>
      <xdr:row>23</xdr:row>
      <xdr:rowOff>266700</xdr:rowOff>
    </xdr:from>
    <xdr:to>
      <xdr:col>6</xdr:col>
      <xdr:colOff>190500</xdr:colOff>
      <xdr:row>32</xdr:row>
      <xdr:rowOff>66675</xdr:rowOff>
    </xdr:to>
    <xdr:sp>
      <xdr:nvSpPr>
        <xdr:cNvPr id="16" name="Line 54"/>
        <xdr:cNvSpPr>
          <a:spLocks/>
        </xdr:cNvSpPr>
      </xdr:nvSpPr>
      <xdr:spPr>
        <a:xfrm flipH="1">
          <a:off x="4714875" y="2628900"/>
          <a:ext cx="2495550" cy="21336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25</xdr:row>
      <xdr:rowOff>66675</xdr:rowOff>
    </xdr:from>
    <xdr:to>
      <xdr:col>10</xdr:col>
      <xdr:colOff>504825</xdr:colOff>
      <xdr:row>33</xdr:row>
      <xdr:rowOff>38100</xdr:rowOff>
    </xdr:to>
    <xdr:sp>
      <xdr:nvSpPr>
        <xdr:cNvPr id="17" name="Rectangle 55"/>
        <xdr:cNvSpPr>
          <a:spLocks/>
        </xdr:cNvSpPr>
      </xdr:nvSpPr>
      <xdr:spPr>
        <a:xfrm>
          <a:off x="8829675" y="2905125"/>
          <a:ext cx="233362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Automáticamente se obtiene la "regla del 1" [Por cada 1 paciente en el que es efectivo, en cuántos no es efectivo]. 
</a:t>
          </a:r>
          <a:r>
            <a:rPr lang="en-US" cap="none" sz="1200" b="0" i="0" u="none" baseline="0">
              <a:solidFill>
                <a:srgbClr val="0000FF"/>
              </a:solidFill>
            </a:rPr>
            <a:t>   La tabla superior explica el beneficio, pero únicamente puede aplicarse cuando el NNT y sus IC son positivos. 
</a:t>
          </a:r>
          <a:r>
            <a:rPr lang="en-US" cap="none" sz="1200" b="0" i="0" u="none" baseline="0">
              <a:solidFill>
                <a:srgbClr val="0000FF"/>
              </a:solidFill>
            </a:rPr>
            <a:t>   La tabla inferior explica el daño añadido, pero únicamente puede aplicarse cuando el NNT y sus IC son negativos.</a:t>
          </a:r>
        </a:p>
      </xdr:txBody>
    </xdr:sp>
    <xdr:clientData/>
  </xdr:twoCellAnchor>
  <xdr:twoCellAnchor>
    <xdr:from>
      <xdr:col>7</xdr:col>
      <xdr:colOff>0</xdr:colOff>
      <xdr:row>28</xdr:row>
      <xdr:rowOff>76200</xdr:rowOff>
    </xdr:from>
    <xdr:to>
      <xdr:col>8</xdr:col>
      <xdr:colOff>66675</xdr:colOff>
      <xdr:row>28</xdr:row>
      <xdr:rowOff>76200</xdr:rowOff>
    </xdr:to>
    <xdr:sp>
      <xdr:nvSpPr>
        <xdr:cNvPr id="18" name="Line 56"/>
        <xdr:cNvSpPr>
          <a:spLocks/>
        </xdr:cNvSpPr>
      </xdr:nvSpPr>
      <xdr:spPr>
        <a:xfrm flipH="1">
          <a:off x="8191500" y="3743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31</xdr:row>
      <xdr:rowOff>228600</xdr:rowOff>
    </xdr:from>
    <xdr:to>
      <xdr:col>8</xdr:col>
      <xdr:colOff>85725</xdr:colOff>
      <xdr:row>31</xdr:row>
      <xdr:rowOff>228600</xdr:rowOff>
    </xdr:to>
    <xdr:sp>
      <xdr:nvSpPr>
        <xdr:cNvPr id="19" name="Line 57"/>
        <xdr:cNvSpPr>
          <a:spLocks/>
        </xdr:cNvSpPr>
      </xdr:nvSpPr>
      <xdr:spPr>
        <a:xfrm flipH="1">
          <a:off x="8229600" y="44577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0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1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2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3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4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5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6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7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8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29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30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31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32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33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34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35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36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37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38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39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</xdr:row>
      <xdr:rowOff>104775</xdr:rowOff>
    </xdr:from>
    <xdr:to>
      <xdr:col>3</xdr:col>
      <xdr:colOff>428625</xdr:colOff>
      <xdr:row>4</xdr:row>
      <xdr:rowOff>104775</xdr:rowOff>
    </xdr:to>
    <xdr:sp>
      <xdr:nvSpPr>
        <xdr:cNvPr id="40" name="Line 48"/>
        <xdr:cNvSpPr>
          <a:spLocks/>
        </xdr:cNvSpPr>
      </xdr:nvSpPr>
      <xdr:spPr>
        <a:xfrm>
          <a:off x="3581400" y="904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1" name="Line 2"/>
        <xdr:cNvSpPr>
          <a:spLocks/>
        </xdr:cNvSpPr>
      </xdr:nvSpPr>
      <xdr:spPr>
        <a:xfrm flipV="1">
          <a:off x="0" y="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3"/>
        <xdr:cNvSpPr>
          <a:spLocks/>
        </xdr:cNvSpPr>
      </xdr:nvSpPr>
      <xdr:spPr>
        <a:xfrm flipV="1">
          <a:off x="0" y="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0" y="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0" y="7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1219200</xdr:colOff>
      <xdr:row>8</xdr:row>
      <xdr:rowOff>95250</xdr:rowOff>
    </xdr:from>
    <xdr:to>
      <xdr:col>2</xdr:col>
      <xdr:colOff>981075</xdr:colOff>
      <xdr:row>8</xdr:row>
      <xdr:rowOff>95250</xdr:rowOff>
    </xdr:to>
    <xdr:sp>
      <xdr:nvSpPr>
        <xdr:cNvPr id="5" name="Line 8"/>
        <xdr:cNvSpPr>
          <a:spLocks/>
        </xdr:cNvSpPr>
      </xdr:nvSpPr>
      <xdr:spPr>
        <a:xfrm>
          <a:off x="1762125" y="15716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95250</xdr:rowOff>
    </xdr:from>
    <xdr:to>
      <xdr:col>6</xdr:col>
      <xdr:colOff>666750</xdr:colOff>
      <xdr:row>6</xdr:row>
      <xdr:rowOff>95250</xdr:rowOff>
    </xdr:to>
    <xdr:sp>
      <xdr:nvSpPr>
        <xdr:cNvPr id="6" name="Line 10"/>
        <xdr:cNvSpPr>
          <a:spLocks/>
        </xdr:cNvSpPr>
      </xdr:nvSpPr>
      <xdr:spPr>
        <a:xfrm flipH="1">
          <a:off x="7296150" y="14573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95250</xdr:rowOff>
    </xdr:from>
    <xdr:to>
      <xdr:col>4</xdr:col>
      <xdr:colOff>942975</xdr:colOff>
      <xdr:row>55</xdr:row>
      <xdr:rowOff>114300</xdr:rowOff>
    </xdr:to>
    <xdr:graphicFrame>
      <xdr:nvGraphicFramePr>
        <xdr:cNvPr id="7" name="Gráfico 12"/>
        <xdr:cNvGraphicFramePr/>
      </xdr:nvGraphicFramePr>
      <xdr:xfrm>
        <a:off x="66675" y="5476875"/>
        <a:ext cx="57340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36</xdr:row>
      <xdr:rowOff>47625</xdr:rowOff>
    </xdr:from>
    <xdr:to>
      <xdr:col>11</xdr:col>
      <xdr:colOff>114300</xdr:colOff>
      <xdr:row>55</xdr:row>
      <xdr:rowOff>66675</xdr:rowOff>
    </xdr:to>
    <xdr:graphicFrame>
      <xdr:nvGraphicFramePr>
        <xdr:cNvPr id="8" name="Gráfico 14"/>
        <xdr:cNvGraphicFramePr/>
      </xdr:nvGraphicFramePr>
      <xdr:xfrm>
        <a:off x="6257925" y="5429250"/>
        <a:ext cx="57245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809625</xdr:colOff>
      <xdr:row>30</xdr:row>
      <xdr:rowOff>219075</xdr:rowOff>
    </xdr:from>
    <xdr:to>
      <xdr:col>1</xdr:col>
      <xdr:colOff>809625</xdr:colOff>
      <xdr:row>30</xdr:row>
      <xdr:rowOff>219075</xdr:rowOff>
    </xdr:to>
    <xdr:sp>
      <xdr:nvSpPr>
        <xdr:cNvPr id="9" name="Line 17"/>
        <xdr:cNvSpPr>
          <a:spLocks/>
        </xdr:cNvSpPr>
      </xdr:nvSpPr>
      <xdr:spPr>
        <a:xfrm>
          <a:off x="13525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30</xdr:row>
      <xdr:rowOff>219075</xdr:rowOff>
    </xdr:from>
    <xdr:to>
      <xdr:col>1</xdr:col>
      <xdr:colOff>809625</xdr:colOff>
      <xdr:row>30</xdr:row>
      <xdr:rowOff>219075</xdr:rowOff>
    </xdr:to>
    <xdr:sp>
      <xdr:nvSpPr>
        <xdr:cNvPr id="10" name="Line 18"/>
        <xdr:cNvSpPr>
          <a:spLocks/>
        </xdr:cNvSpPr>
      </xdr:nvSpPr>
      <xdr:spPr>
        <a:xfrm>
          <a:off x="13525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30</xdr:row>
      <xdr:rowOff>219075</xdr:rowOff>
    </xdr:from>
    <xdr:to>
      <xdr:col>1</xdr:col>
      <xdr:colOff>809625</xdr:colOff>
      <xdr:row>30</xdr:row>
      <xdr:rowOff>219075</xdr:rowOff>
    </xdr:to>
    <xdr:sp>
      <xdr:nvSpPr>
        <xdr:cNvPr id="11" name="Line 19"/>
        <xdr:cNvSpPr>
          <a:spLocks/>
        </xdr:cNvSpPr>
      </xdr:nvSpPr>
      <xdr:spPr>
        <a:xfrm>
          <a:off x="135255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30</xdr:row>
      <xdr:rowOff>28575</xdr:rowOff>
    </xdr:from>
    <xdr:to>
      <xdr:col>6</xdr:col>
      <xdr:colOff>219075</xdr:colOff>
      <xdr:row>35</xdr:row>
      <xdr:rowOff>0</xdr:rowOff>
    </xdr:to>
    <xdr:sp>
      <xdr:nvSpPr>
        <xdr:cNvPr id="12" name="AutoShape 20"/>
        <xdr:cNvSpPr>
          <a:spLocks/>
        </xdr:cNvSpPr>
      </xdr:nvSpPr>
      <xdr:spPr>
        <a:xfrm>
          <a:off x="7429500" y="3905250"/>
          <a:ext cx="76200" cy="131445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47625</xdr:rowOff>
    </xdr:from>
    <xdr:to>
      <xdr:col>0</xdr:col>
      <xdr:colOff>457200</xdr:colOff>
      <xdr:row>28</xdr:row>
      <xdr:rowOff>142875</xdr:rowOff>
    </xdr:to>
    <xdr:sp>
      <xdr:nvSpPr>
        <xdr:cNvPr id="13" name="AutoShape 21"/>
        <xdr:cNvSpPr>
          <a:spLocks/>
        </xdr:cNvSpPr>
      </xdr:nvSpPr>
      <xdr:spPr>
        <a:xfrm>
          <a:off x="381000" y="2390775"/>
          <a:ext cx="76200" cy="1266825"/>
        </a:xfrm>
        <a:prstGeom prst="leftBrac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85725</xdr:rowOff>
    </xdr:from>
    <xdr:to>
      <xdr:col>6</xdr:col>
      <xdr:colOff>619125</xdr:colOff>
      <xdr:row>31</xdr:row>
      <xdr:rowOff>85725</xdr:rowOff>
    </xdr:to>
    <xdr:sp>
      <xdr:nvSpPr>
        <xdr:cNvPr id="14" name="Line 25"/>
        <xdr:cNvSpPr>
          <a:spLocks/>
        </xdr:cNvSpPr>
      </xdr:nvSpPr>
      <xdr:spPr>
        <a:xfrm flipV="1">
          <a:off x="7591425" y="4505325"/>
          <a:ext cx="314325" cy="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66675</xdr:rowOff>
    </xdr:from>
    <xdr:to>
      <xdr:col>6</xdr:col>
      <xdr:colOff>609600</xdr:colOff>
      <xdr:row>37</xdr:row>
      <xdr:rowOff>85725</xdr:rowOff>
    </xdr:to>
    <xdr:sp>
      <xdr:nvSpPr>
        <xdr:cNvPr id="15" name="Line 26"/>
        <xdr:cNvSpPr>
          <a:spLocks/>
        </xdr:cNvSpPr>
      </xdr:nvSpPr>
      <xdr:spPr>
        <a:xfrm flipH="1">
          <a:off x="7591425" y="4486275"/>
          <a:ext cx="304800" cy="11430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</xdr:row>
      <xdr:rowOff>123825</xdr:rowOff>
    </xdr:from>
    <xdr:to>
      <xdr:col>1</xdr:col>
      <xdr:colOff>1323975</xdr:colOff>
      <xdr:row>20</xdr:row>
      <xdr:rowOff>152400</xdr:rowOff>
    </xdr:to>
    <xdr:sp>
      <xdr:nvSpPr>
        <xdr:cNvPr id="16" name="Rectangle 27"/>
        <xdr:cNvSpPr>
          <a:spLocks/>
        </xdr:cNvSpPr>
      </xdr:nvSpPr>
      <xdr:spPr>
        <a:xfrm>
          <a:off x="104775" y="1247775"/>
          <a:ext cx="17621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Aquí se introduce el % de RA del grupo control.</a:t>
          </a:r>
        </a:p>
      </xdr:txBody>
    </xdr:sp>
    <xdr:clientData/>
  </xdr:twoCellAnchor>
  <xdr:twoCellAnchor>
    <xdr:from>
      <xdr:col>1</xdr:col>
      <xdr:colOff>1390650</xdr:colOff>
      <xdr:row>4</xdr:row>
      <xdr:rowOff>180975</xdr:rowOff>
    </xdr:from>
    <xdr:to>
      <xdr:col>2</xdr:col>
      <xdr:colOff>133350</xdr:colOff>
      <xdr:row>6</xdr:row>
      <xdr:rowOff>28575</xdr:rowOff>
    </xdr:to>
    <xdr:sp>
      <xdr:nvSpPr>
        <xdr:cNvPr id="17" name="Line 28"/>
        <xdr:cNvSpPr>
          <a:spLocks/>
        </xdr:cNvSpPr>
      </xdr:nvSpPr>
      <xdr:spPr>
        <a:xfrm flipV="1">
          <a:off x="1933575" y="1076325"/>
          <a:ext cx="12287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723900</xdr:colOff>
      <xdr:row>3</xdr:row>
      <xdr:rowOff>0</xdr:rowOff>
    </xdr:from>
    <xdr:to>
      <xdr:col>8</xdr:col>
      <xdr:colOff>628650</xdr:colOff>
      <xdr:row>6</xdr:row>
      <xdr:rowOff>161925</xdr:rowOff>
    </xdr:to>
    <xdr:sp>
      <xdr:nvSpPr>
        <xdr:cNvPr id="18" name="Rectangle 29"/>
        <xdr:cNvSpPr>
          <a:spLocks/>
        </xdr:cNvSpPr>
      </xdr:nvSpPr>
      <xdr:spPr>
        <a:xfrm>
          <a:off x="8010525" y="704850"/>
          <a:ext cx="16954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En las casillas con fondo amarillo se introduce valor del RR con sus intervalos de confianza.</a:t>
          </a:r>
        </a:p>
      </xdr:txBody>
    </xdr:sp>
    <xdr:clientData/>
  </xdr:twoCellAnchor>
  <xdr:twoCellAnchor>
    <xdr:from>
      <xdr:col>7</xdr:col>
      <xdr:colOff>142875</xdr:colOff>
      <xdr:row>21</xdr:row>
      <xdr:rowOff>9525</xdr:rowOff>
    </xdr:from>
    <xdr:to>
      <xdr:col>8</xdr:col>
      <xdr:colOff>647700</xdr:colOff>
      <xdr:row>24</xdr:row>
      <xdr:rowOff>390525</xdr:rowOff>
    </xdr:to>
    <xdr:sp>
      <xdr:nvSpPr>
        <xdr:cNvPr id="19" name="Rectangle 30"/>
        <xdr:cNvSpPr>
          <a:spLocks/>
        </xdr:cNvSpPr>
      </xdr:nvSpPr>
      <xdr:spPr>
        <a:xfrm>
          <a:off x="8401050" y="1752600"/>
          <a:ext cx="1323975" cy="981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Automáticamente se obtienen RR, RAR y NNT con sus intervalos de confianza.</a:t>
          </a:r>
        </a:p>
      </xdr:txBody>
    </xdr:sp>
    <xdr:clientData/>
  </xdr:twoCellAnchor>
  <xdr:twoCellAnchor>
    <xdr:from>
      <xdr:col>7</xdr:col>
      <xdr:colOff>9525</xdr:colOff>
      <xdr:row>22</xdr:row>
      <xdr:rowOff>9525</xdr:rowOff>
    </xdr:from>
    <xdr:to>
      <xdr:col>7</xdr:col>
      <xdr:colOff>142875</xdr:colOff>
      <xdr:row>22</xdr:row>
      <xdr:rowOff>9525</xdr:rowOff>
    </xdr:to>
    <xdr:sp>
      <xdr:nvSpPr>
        <xdr:cNvPr id="20" name="Line 35"/>
        <xdr:cNvSpPr>
          <a:spLocks/>
        </xdr:cNvSpPr>
      </xdr:nvSpPr>
      <xdr:spPr>
        <a:xfrm flipH="1">
          <a:off x="8267700" y="19526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22</xdr:row>
      <xdr:rowOff>200025</xdr:rowOff>
    </xdr:from>
    <xdr:to>
      <xdr:col>6</xdr:col>
      <xdr:colOff>209550</xdr:colOff>
      <xdr:row>25</xdr:row>
      <xdr:rowOff>57150</xdr:rowOff>
    </xdr:to>
    <xdr:sp>
      <xdr:nvSpPr>
        <xdr:cNvPr id="21" name="Line 36"/>
        <xdr:cNvSpPr>
          <a:spLocks/>
        </xdr:cNvSpPr>
      </xdr:nvSpPr>
      <xdr:spPr>
        <a:xfrm flipH="1">
          <a:off x="4610100" y="2143125"/>
          <a:ext cx="2886075" cy="828675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666750</xdr:colOff>
      <xdr:row>22</xdr:row>
      <xdr:rowOff>209550</xdr:rowOff>
    </xdr:from>
    <xdr:to>
      <xdr:col>6</xdr:col>
      <xdr:colOff>247650</xdr:colOff>
      <xdr:row>31</xdr:row>
      <xdr:rowOff>47625</xdr:rowOff>
    </xdr:to>
    <xdr:sp>
      <xdr:nvSpPr>
        <xdr:cNvPr id="22" name="Line 37"/>
        <xdr:cNvSpPr>
          <a:spLocks/>
        </xdr:cNvSpPr>
      </xdr:nvSpPr>
      <xdr:spPr>
        <a:xfrm flipH="1">
          <a:off x="4676775" y="2152650"/>
          <a:ext cx="2857500" cy="231457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790575</xdr:colOff>
      <xdr:row>24</xdr:row>
      <xdr:rowOff>466725</xdr:rowOff>
    </xdr:from>
    <xdr:to>
      <xdr:col>9</xdr:col>
      <xdr:colOff>847725</xdr:colOff>
      <xdr:row>32</xdr:row>
      <xdr:rowOff>171450</xdr:rowOff>
    </xdr:to>
    <xdr:sp>
      <xdr:nvSpPr>
        <xdr:cNvPr id="23" name="Rectangle 38"/>
        <xdr:cNvSpPr>
          <a:spLocks/>
        </xdr:cNvSpPr>
      </xdr:nvSpPr>
      <xdr:spPr>
        <a:xfrm>
          <a:off x="8077200" y="2809875"/>
          <a:ext cx="2609850" cy="1981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Automáticamente se obtiene la "regla del 1" [Por cada 1 paciente en el que es efectivo, en cuántos no es efectivo]. 
</a:t>
          </a:r>
          <a:r>
            <a:rPr lang="en-US" cap="none" sz="1200" b="0" i="0" u="none" baseline="0">
              <a:solidFill>
                <a:srgbClr val="0000FF"/>
              </a:solidFill>
            </a:rPr>
            <a:t>   La tabla superior explica el beneficio, pero únicamente puede aplicarse cuando el NNT y sus IC son positivos. 
</a:t>
          </a:r>
          <a:r>
            <a:rPr lang="en-US" cap="none" sz="1200" b="0" i="0" u="none" baseline="0">
              <a:solidFill>
                <a:srgbClr val="0000FF"/>
              </a:solidFill>
            </a:rPr>
            <a:t>   La tabla inferior explica el daño añadido, pero únicamente puede aplicarse cuando el NNT y sus IC son negativos.</a:t>
          </a:r>
        </a:p>
      </xdr:txBody>
    </xdr:sp>
    <xdr:clientData/>
  </xdr:twoCellAnchor>
  <xdr:twoCellAnchor>
    <xdr:from>
      <xdr:col>6</xdr:col>
      <xdr:colOff>142875</xdr:colOff>
      <xdr:row>26</xdr:row>
      <xdr:rowOff>95250</xdr:rowOff>
    </xdr:from>
    <xdr:to>
      <xdr:col>6</xdr:col>
      <xdr:colOff>847725</xdr:colOff>
      <xdr:row>27</xdr:row>
      <xdr:rowOff>190500</xdr:rowOff>
    </xdr:to>
    <xdr:sp>
      <xdr:nvSpPr>
        <xdr:cNvPr id="24" name="Line 39"/>
        <xdr:cNvSpPr>
          <a:spLocks/>
        </xdr:cNvSpPr>
      </xdr:nvSpPr>
      <xdr:spPr>
        <a:xfrm flipH="1" flipV="1">
          <a:off x="7429500" y="3209925"/>
          <a:ext cx="7048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400050</xdr:colOff>
      <xdr:row>30</xdr:row>
      <xdr:rowOff>190500</xdr:rowOff>
    </xdr:from>
    <xdr:to>
      <xdr:col>6</xdr:col>
      <xdr:colOff>857250</xdr:colOff>
      <xdr:row>30</xdr:row>
      <xdr:rowOff>190500</xdr:rowOff>
    </xdr:to>
    <xdr:sp>
      <xdr:nvSpPr>
        <xdr:cNvPr id="25" name="Line 40"/>
        <xdr:cNvSpPr>
          <a:spLocks/>
        </xdr:cNvSpPr>
      </xdr:nvSpPr>
      <xdr:spPr>
        <a:xfrm flipH="1">
          <a:off x="7686675" y="40671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104775</xdr:rowOff>
    </xdr:from>
    <xdr:to>
      <xdr:col>0</xdr:col>
      <xdr:colOff>276225</xdr:colOff>
      <xdr:row>25</xdr:row>
      <xdr:rowOff>104775</xdr:rowOff>
    </xdr:to>
    <xdr:sp>
      <xdr:nvSpPr>
        <xdr:cNvPr id="26" name="Line 41"/>
        <xdr:cNvSpPr>
          <a:spLocks/>
        </xdr:cNvSpPr>
      </xdr:nvSpPr>
      <xdr:spPr>
        <a:xfrm flipH="1">
          <a:off x="152400" y="3019425"/>
          <a:ext cx="123825" cy="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25</xdr:row>
      <xdr:rowOff>114300</xdr:rowOff>
    </xdr:from>
    <xdr:to>
      <xdr:col>1</xdr:col>
      <xdr:colOff>0</xdr:colOff>
      <xdr:row>37</xdr:row>
      <xdr:rowOff>95250</xdr:rowOff>
    </xdr:to>
    <xdr:sp>
      <xdr:nvSpPr>
        <xdr:cNvPr id="27" name="Line 42"/>
        <xdr:cNvSpPr>
          <a:spLocks/>
        </xdr:cNvSpPr>
      </xdr:nvSpPr>
      <xdr:spPr>
        <a:xfrm>
          <a:off x="152400" y="3028950"/>
          <a:ext cx="390525" cy="2609850"/>
        </a:xfrm>
        <a:prstGeom prst="line">
          <a:avLst/>
        </a:prstGeom>
        <a:noFill/>
        <a:ln w="2857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8515625" style="13" customWidth="1"/>
    <col min="2" max="2" width="24.00390625" style="13" customWidth="1"/>
    <col min="3" max="3" width="24.7109375" style="13" customWidth="1"/>
    <col min="4" max="4" width="22.7109375" style="13" customWidth="1"/>
    <col min="5" max="5" width="26.140625" style="13" customWidth="1"/>
    <col min="6" max="6" width="26.00390625" style="13" customWidth="1"/>
    <col min="7" max="7" width="24.8515625" style="13" customWidth="1"/>
    <col min="8" max="8" width="13.57421875" style="13" customWidth="1"/>
    <col min="9" max="9" width="8.28125" style="13" customWidth="1"/>
    <col min="10" max="10" width="15.421875" style="13" bestFit="1" customWidth="1"/>
    <col min="11" max="11" width="12.8515625" style="13" bestFit="1" customWidth="1"/>
    <col min="12" max="12" width="11.7109375" style="13" bestFit="1" customWidth="1"/>
    <col min="13" max="13" width="14.57421875" style="13" bestFit="1" customWidth="1"/>
    <col min="14" max="14" width="14.140625" style="10" bestFit="1" customWidth="1"/>
    <col min="15" max="15" width="11.421875" style="10" customWidth="1"/>
    <col min="16" max="16" width="13.8515625" style="13" bestFit="1" customWidth="1"/>
    <col min="17" max="17" width="11.421875" style="13" customWidth="1"/>
    <col min="18" max="18" width="13.8515625" style="13" bestFit="1" customWidth="1"/>
    <col min="19" max="19" width="11.421875" style="13" customWidth="1"/>
    <col min="20" max="21" width="11.421875" style="10" customWidth="1"/>
    <col min="22" max="22" width="11.421875" style="13" customWidth="1"/>
    <col min="23" max="23" width="12.7109375" style="13" customWidth="1"/>
    <col min="24" max="16384" width="11.421875" style="13" customWidth="1"/>
  </cols>
  <sheetData>
    <row r="1" ht="9" customHeight="1" thickBot="1"/>
    <row r="2" spans="1:28" s="9" customFormat="1" ht="21.75" thickBot="1">
      <c r="A2" s="468" t="s">
        <v>102</v>
      </c>
      <c r="B2" s="469"/>
      <c r="C2" s="469"/>
      <c r="D2" s="469"/>
      <c r="E2" s="469"/>
      <c r="F2" s="470"/>
      <c r="G2" s="1"/>
      <c r="H2" s="2"/>
      <c r="I2" s="3"/>
      <c r="J2" s="4"/>
      <c r="K2" s="5"/>
      <c r="L2" s="5"/>
      <c r="M2" s="6"/>
      <c r="N2" s="7"/>
      <c r="O2" s="7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9" ht="32.25" customHeight="1">
      <c r="A3" s="477" t="s">
        <v>100</v>
      </c>
      <c r="B3" s="477"/>
      <c r="C3" s="477"/>
      <c r="D3" s="477"/>
      <c r="E3" s="477"/>
      <c r="F3" s="477"/>
      <c r="G3" s="1"/>
      <c r="H3" s="1"/>
      <c r="I3" s="1"/>
      <c r="J3" s="4"/>
      <c r="K3" s="5"/>
      <c r="L3" s="5"/>
      <c r="M3" s="6"/>
      <c r="O3" s="11"/>
      <c r="P3" s="12"/>
      <c r="Q3" s="11"/>
      <c r="R3" s="11"/>
      <c r="S3" s="11"/>
      <c r="T3" s="11"/>
      <c r="U3" s="11"/>
      <c r="V3" s="11"/>
      <c r="W3" s="10"/>
      <c r="X3" s="10"/>
      <c r="Y3" s="10"/>
      <c r="Z3" s="10"/>
      <c r="AA3" s="10"/>
      <c r="AB3" s="10"/>
      <c r="AC3" s="10"/>
    </row>
    <row r="4" spans="1:29" ht="18.75">
      <c r="A4" s="14"/>
      <c r="B4" s="15"/>
      <c r="C4" s="14"/>
      <c r="D4" s="14"/>
      <c r="E4" s="16"/>
      <c r="F4" s="17"/>
      <c r="G4" s="18"/>
      <c r="H4" s="19"/>
      <c r="I4" s="19"/>
      <c r="J4" s="20"/>
      <c r="K4" s="21"/>
      <c r="L4" s="22"/>
      <c r="O4" s="22"/>
      <c r="P4" s="22"/>
      <c r="Q4" s="10"/>
      <c r="R4" s="10"/>
      <c r="S4" s="23"/>
      <c r="U4" s="23"/>
      <c r="V4" s="23"/>
      <c r="W4" s="10"/>
      <c r="X4" s="23"/>
      <c r="Y4" s="24"/>
      <c r="Z4" s="10"/>
      <c r="AA4" s="10"/>
      <c r="AB4" s="10"/>
      <c r="AC4" s="10"/>
    </row>
    <row r="5" spans="1:29" ht="27.75" customHeight="1">
      <c r="A5" s="25"/>
      <c r="B5" s="438"/>
      <c r="C5" s="443" t="s">
        <v>80</v>
      </c>
      <c r="D5" s="443" t="s">
        <v>81</v>
      </c>
      <c r="E5" s="439" t="s">
        <v>27</v>
      </c>
      <c r="F5" s="166"/>
      <c r="G5" s="32"/>
      <c r="H5" s="167"/>
      <c r="I5" s="167"/>
      <c r="J5" s="9"/>
      <c r="K5" s="9"/>
      <c r="P5" s="10"/>
      <c r="Q5" s="10"/>
      <c r="R5" s="10"/>
      <c r="S5" s="23"/>
      <c r="U5" s="23"/>
      <c r="V5" s="23"/>
      <c r="W5" s="10"/>
      <c r="X5" s="23"/>
      <c r="Y5" s="24"/>
      <c r="Z5" s="10"/>
      <c r="AA5" s="10"/>
      <c r="AB5" s="10"/>
      <c r="AC5" s="10"/>
    </row>
    <row r="6" spans="2:29" ht="18.75">
      <c r="B6" s="440" t="s">
        <v>82</v>
      </c>
      <c r="C6" s="435">
        <v>58</v>
      </c>
      <c r="D6" s="436">
        <f>E6-C6</f>
        <v>221</v>
      </c>
      <c r="E6" s="437">
        <v>279</v>
      </c>
      <c r="F6" s="168"/>
      <c r="G6" s="169"/>
      <c r="H6" s="167"/>
      <c r="I6" s="167"/>
      <c r="J6" s="26"/>
      <c r="K6" s="9"/>
      <c r="L6" s="28"/>
      <c r="M6" s="10"/>
      <c r="P6" s="10"/>
      <c r="Q6" s="10"/>
      <c r="R6" s="10"/>
      <c r="S6" s="23"/>
      <c r="U6" s="23"/>
      <c r="V6" s="23"/>
      <c r="W6" s="10"/>
      <c r="X6" s="23"/>
      <c r="Y6" s="10"/>
      <c r="Z6" s="10"/>
      <c r="AA6" s="10"/>
      <c r="AB6" s="10"/>
      <c r="AC6" s="10"/>
    </row>
    <row r="7" spans="2:29" ht="18.75">
      <c r="B7" s="440" t="s">
        <v>83</v>
      </c>
      <c r="C7" s="435">
        <v>83</v>
      </c>
      <c r="D7" s="436">
        <f>E7-C7</f>
        <v>194</v>
      </c>
      <c r="E7" s="437">
        <v>277</v>
      </c>
      <c r="F7" s="170"/>
      <c r="G7" s="171"/>
      <c r="H7" s="167"/>
      <c r="I7" s="167"/>
      <c r="J7" s="26"/>
      <c r="K7" s="9"/>
      <c r="L7" s="22"/>
      <c r="M7" s="29"/>
      <c r="P7" s="10"/>
      <c r="Q7" s="10"/>
      <c r="R7" s="10"/>
      <c r="S7" s="23"/>
      <c r="U7" s="23"/>
      <c r="V7" s="23"/>
      <c r="W7" s="10"/>
      <c r="X7" s="23"/>
      <c r="Y7" s="10"/>
      <c r="Z7" s="10"/>
      <c r="AA7" s="10"/>
      <c r="AB7" s="10"/>
      <c r="AC7" s="10"/>
    </row>
    <row r="8" spans="2:29" s="171" customFormat="1" ht="15">
      <c r="B8" s="441" t="s">
        <v>27</v>
      </c>
      <c r="C8" s="442">
        <f>SUM(C6:C7)</f>
        <v>141</v>
      </c>
      <c r="D8" s="442">
        <f>SUM(D6:D7)</f>
        <v>415</v>
      </c>
      <c r="E8" s="442">
        <f>SUM(E6:E7)</f>
        <v>556</v>
      </c>
      <c r="G8" s="169"/>
      <c r="H8" s="167"/>
      <c r="I8" s="167"/>
      <c r="J8" s="167"/>
      <c r="K8" s="32"/>
      <c r="L8" s="33"/>
      <c r="N8" s="249"/>
      <c r="O8" s="364"/>
      <c r="P8" s="365"/>
      <c r="Q8" s="365"/>
      <c r="R8" s="365"/>
      <c r="S8" s="366"/>
      <c r="T8" s="249"/>
      <c r="U8" s="366"/>
      <c r="V8" s="366"/>
      <c r="W8" s="249"/>
      <c r="X8" s="366"/>
      <c r="Y8" s="249"/>
      <c r="Z8" s="249"/>
      <c r="AA8" s="249"/>
      <c r="AB8" s="249"/>
      <c r="AC8" s="249"/>
    </row>
    <row r="9" spans="2:29" s="171" customFormat="1" ht="15" hidden="1">
      <c r="B9" s="172"/>
      <c r="C9" s="173"/>
      <c r="D9" s="174"/>
      <c r="E9" s="174"/>
      <c r="G9" s="175"/>
      <c r="H9" s="176"/>
      <c r="I9" s="176"/>
      <c r="J9" s="176"/>
      <c r="L9" s="33"/>
      <c r="N9" s="249"/>
      <c r="O9" s="364"/>
      <c r="P9" s="365"/>
      <c r="Q9" s="365"/>
      <c r="R9" s="365"/>
      <c r="S9" s="366"/>
      <c r="T9" s="249"/>
      <c r="U9" s="366"/>
      <c r="V9" s="366"/>
      <c r="W9" s="249"/>
      <c r="X9" s="366"/>
      <c r="Y9" s="249"/>
      <c r="Z9" s="249"/>
      <c r="AA9" s="249"/>
      <c r="AB9" s="249"/>
      <c r="AC9" s="249"/>
    </row>
    <row r="10" spans="1:22" s="32" customFormat="1" ht="15" hidden="1">
      <c r="A10" s="413" t="s">
        <v>8</v>
      </c>
      <c r="B10" s="414"/>
      <c r="C10" s="415"/>
      <c r="D10" s="38"/>
      <c r="E10" s="416"/>
      <c r="F10" s="36"/>
      <c r="G10" s="416"/>
      <c r="H10" s="417"/>
      <c r="I10" s="33"/>
      <c r="L10" s="178"/>
      <c r="O10" s="167"/>
      <c r="P10" s="291"/>
      <c r="Q10" s="291"/>
      <c r="R10" s="291"/>
      <c r="S10" s="167"/>
      <c r="T10" s="167"/>
      <c r="U10" s="167"/>
      <c r="V10" s="167"/>
    </row>
    <row r="11" spans="1:22" s="32" customFormat="1" ht="15" hidden="1">
      <c r="A11" s="39" t="s">
        <v>123</v>
      </c>
      <c r="B11" s="414"/>
      <c r="C11" s="415"/>
      <c r="D11" s="38"/>
      <c r="E11" s="416"/>
      <c r="F11" s="36"/>
      <c r="G11" s="416"/>
      <c r="H11" s="417"/>
      <c r="I11" s="33"/>
      <c r="J11" s="234"/>
      <c r="O11" s="167"/>
      <c r="P11" s="292"/>
      <c r="Q11" s="292"/>
      <c r="R11" s="292"/>
      <c r="S11" s="167"/>
      <c r="T11" s="167"/>
      <c r="U11" s="167"/>
      <c r="V11" s="167"/>
    </row>
    <row r="12" spans="1:22" s="32" customFormat="1" ht="36" customHeight="1" hidden="1">
      <c r="A12" s="418" t="s">
        <v>30</v>
      </c>
      <c r="B12" s="418" t="s">
        <v>124</v>
      </c>
      <c r="C12" s="418" t="s">
        <v>6</v>
      </c>
      <c r="D12" s="418" t="s">
        <v>125</v>
      </c>
      <c r="E12" s="418" t="s">
        <v>126</v>
      </c>
      <c r="F12" s="418" t="s">
        <v>5</v>
      </c>
      <c r="G12" s="418" t="s">
        <v>0</v>
      </c>
      <c r="H12" s="418" t="s">
        <v>1</v>
      </c>
      <c r="I12" s="33"/>
      <c r="J12" s="293" t="s">
        <v>55</v>
      </c>
      <c r="K12" s="294" t="s">
        <v>0</v>
      </c>
      <c r="L12" s="294" t="s">
        <v>1</v>
      </c>
      <c r="O12" s="167"/>
      <c r="P12" s="167"/>
      <c r="Q12" s="167"/>
      <c r="R12" s="167"/>
      <c r="S12" s="167"/>
      <c r="T12" s="167"/>
      <c r="U12" s="167"/>
      <c r="V12" s="167"/>
    </row>
    <row r="13" spans="1:22" s="32" customFormat="1" ht="15" hidden="1">
      <c r="A13" s="433">
        <f>LN((C6/E6)/(C7/E7))</f>
        <v>-0.36559187288420564</v>
      </c>
      <c r="B13" s="433">
        <f>SQRT((D6/(C6*E6)+(D7/(C7*E7))))</f>
        <v>0.1486446581196212</v>
      </c>
      <c r="C13" s="432">
        <f>-NORMSINV(2.5/100)</f>
        <v>1.9599639845400538</v>
      </c>
      <c r="D13" s="432">
        <f>A13-(C13*B13)</f>
        <v>-0.6569300492929324</v>
      </c>
      <c r="E13" s="434">
        <f>A13+(C13*B13)</f>
        <v>-0.07425369647547886</v>
      </c>
      <c r="F13" s="179">
        <f>(C6/E6)/(C7/E7)</f>
        <v>0.6937858962732651</v>
      </c>
      <c r="G13" s="180">
        <f>EXP(D13)</f>
        <v>0.5184404806635895</v>
      </c>
      <c r="H13" s="181">
        <f>EXP(E13)</f>
        <v>0.9284361229886937</v>
      </c>
      <c r="I13" s="33"/>
      <c r="J13" s="295">
        <f>1-F13</f>
        <v>0.30621410372673485</v>
      </c>
      <c r="K13" s="295">
        <f>1-G13</f>
        <v>0.4815595193364105</v>
      </c>
      <c r="L13" s="295">
        <f>1-H13</f>
        <v>0.07156387701130629</v>
      </c>
      <c r="M13" s="296"/>
      <c r="O13" s="167"/>
      <c r="P13" s="167"/>
      <c r="Q13" s="167"/>
      <c r="R13" s="167"/>
      <c r="S13" s="167"/>
      <c r="T13" s="167"/>
      <c r="U13" s="167"/>
      <c r="V13" s="167"/>
    </row>
    <row r="14" spans="2:22" s="32" customFormat="1" ht="15" hidden="1">
      <c r="B14" s="177"/>
      <c r="C14" s="182"/>
      <c r="D14" s="183"/>
      <c r="E14" s="184"/>
      <c r="F14" s="185"/>
      <c r="G14" s="184"/>
      <c r="H14" s="186"/>
      <c r="I14" s="33"/>
      <c r="J14" s="178"/>
      <c r="K14" s="178"/>
      <c r="L14" s="178"/>
      <c r="O14" s="167"/>
      <c r="P14" s="167"/>
      <c r="Q14" s="167"/>
      <c r="R14" s="167"/>
      <c r="S14" s="167"/>
      <c r="T14" s="167"/>
      <c r="U14" s="167"/>
      <c r="V14" s="167"/>
    </row>
    <row r="15" spans="2:13" s="249" customFormat="1" ht="15" hidden="1">
      <c r="B15" s="187"/>
      <c r="C15" s="188"/>
      <c r="D15" s="189"/>
      <c r="E15" s="190"/>
      <c r="F15" s="191"/>
      <c r="G15" s="192"/>
      <c r="H15" s="193"/>
      <c r="I15" s="194"/>
      <c r="L15" s="297"/>
      <c r="M15" s="297"/>
    </row>
    <row r="16" spans="1:28" s="171" customFormat="1" ht="15" hidden="1">
      <c r="A16" s="298" t="s">
        <v>38</v>
      </c>
      <c r="B16" s="195"/>
      <c r="C16" s="196"/>
      <c r="D16" s="197"/>
      <c r="E16" s="194"/>
      <c r="F16" s="194"/>
      <c r="G16" s="194"/>
      <c r="H16" s="198"/>
      <c r="I16" s="194"/>
      <c r="J16" s="249"/>
      <c r="K16" s="299"/>
      <c r="L16" s="167"/>
      <c r="M16" s="300"/>
      <c r="N16" s="300"/>
      <c r="O16" s="167"/>
      <c r="P16" s="167"/>
      <c r="Q16" s="301"/>
      <c r="R16" s="300"/>
      <c r="S16" s="302"/>
      <c r="T16" s="302"/>
      <c r="U16" s="302"/>
      <c r="V16" s="249"/>
      <c r="W16" s="249"/>
      <c r="X16" s="249"/>
      <c r="Y16" s="249"/>
      <c r="Z16" s="249"/>
      <c r="AA16" s="249"/>
      <c r="AB16" s="249"/>
    </row>
    <row r="17" spans="1:28" s="171" customFormat="1" ht="15" hidden="1">
      <c r="A17" s="303" t="s">
        <v>15</v>
      </c>
      <c r="B17" s="199" t="s">
        <v>14</v>
      </c>
      <c r="C17" s="200"/>
      <c r="D17" s="201"/>
      <c r="E17" s="202"/>
      <c r="F17" s="202"/>
      <c r="G17" s="202"/>
      <c r="H17" s="203"/>
      <c r="I17" s="202"/>
      <c r="J17" s="304"/>
      <c r="K17" s="305"/>
      <c r="L17" s="306"/>
      <c r="M17" s="300"/>
      <c r="N17" s="300"/>
      <c r="O17" s="167"/>
      <c r="P17" s="167"/>
      <c r="Q17" s="301"/>
      <c r="R17" s="300"/>
      <c r="S17" s="302"/>
      <c r="T17" s="302"/>
      <c r="U17" s="302"/>
      <c r="V17" s="249"/>
      <c r="W17" s="249" t="s">
        <v>36</v>
      </c>
      <c r="X17" s="249"/>
      <c r="Y17" s="249"/>
      <c r="Z17" s="249"/>
      <c r="AA17" s="249"/>
      <c r="AB17" s="249"/>
    </row>
    <row r="18" spans="1:30" s="171" customFormat="1" ht="15.75" hidden="1" thickBot="1">
      <c r="A18" s="307" t="s">
        <v>105</v>
      </c>
      <c r="B18" s="204" t="s">
        <v>11</v>
      </c>
      <c r="C18" s="205"/>
      <c r="D18" s="204" t="s">
        <v>103</v>
      </c>
      <c r="E18" s="204"/>
      <c r="F18" s="204" t="s">
        <v>9</v>
      </c>
      <c r="G18" s="204"/>
      <c r="H18" s="204" t="s">
        <v>10</v>
      </c>
      <c r="I18" s="206"/>
      <c r="J18" s="206"/>
      <c r="K18" s="206"/>
      <c r="L18" s="306"/>
      <c r="M18" s="300"/>
      <c r="N18" s="249"/>
      <c r="O18" s="249"/>
      <c r="T18" s="249"/>
      <c r="U18" s="249"/>
      <c r="W18" s="171" t="s">
        <v>37</v>
      </c>
      <c r="Y18" s="308"/>
      <c r="Z18" s="308"/>
      <c r="AA18" s="308"/>
      <c r="AB18" s="308"/>
      <c r="AC18" s="308"/>
      <c r="AD18" s="308"/>
    </row>
    <row r="19" spans="1:30" s="171" customFormat="1" ht="45" hidden="1">
      <c r="A19" s="207" t="s">
        <v>4</v>
      </c>
      <c r="B19" s="207" t="s">
        <v>31</v>
      </c>
      <c r="C19" s="208" t="s">
        <v>12</v>
      </c>
      <c r="D19" s="208" t="s">
        <v>11</v>
      </c>
      <c r="E19" s="208" t="s">
        <v>103</v>
      </c>
      <c r="F19" s="208" t="s">
        <v>9</v>
      </c>
      <c r="G19" s="208" t="s">
        <v>10</v>
      </c>
      <c r="H19" s="209" t="s">
        <v>6</v>
      </c>
      <c r="I19" s="210" t="s">
        <v>32</v>
      </c>
      <c r="J19" s="210" t="s">
        <v>0</v>
      </c>
      <c r="K19" s="309" t="s">
        <v>1</v>
      </c>
      <c r="L19" s="460" t="s">
        <v>17</v>
      </c>
      <c r="M19" s="300"/>
      <c r="N19" s="310" t="s">
        <v>106</v>
      </c>
      <c r="O19" s="311"/>
      <c r="P19" s="311"/>
      <c r="Q19" s="311"/>
      <c r="R19" s="311"/>
      <c r="S19" s="311"/>
      <c r="T19" s="311"/>
      <c r="U19" s="312"/>
      <c r="V19" s="249"/>
      <c r="W19" s="313" t="s">
        <v>107</v>
      </c>
      <c r="X19" s="314"/>
      <c r="Y19" s="315"/>
      <c r="Z19" s="316"/>
      <c r="AA19" s="316"/>
      <c r="AB19" s="316"/>
      <c r="AC19" s="316"/>
      <c r="AD19" s="271"/>
    </row>
    <row r="20" spans="1:30" s="171" customFormat="1" ht="15" hidden="1">
      <c r="A20" s="211">
        <f>C6</f>
        <v>58</v>
      </c>
      <c r="B20" s="211">
        <f>E6</f>
        <v>279</v>
      </c>
      <c r="C20" s="212">
        <f>A20/B20</f>
        <v>0.2078853046594982</v>
      </c>
      <c r="D20" s="213">
        <f>2*A20+H20^2</f>
        <v>119.84145882069413</v>
      </c>
      <c r="E20" s="213">
        <f>H20*SQRT((H20^2)+(4*A20*(1-C20)))</f>
        <v>26.84593142403298</v>
      </c>
      <c r="F20" s="214">
        <f>2*(B20+H20^2)</f>
        <v>565.6829176413883</v>
      </c>
      <c r="G20" s="215" t="s">
        <v>13</v>
      </c>
      <c r="H20" s="216">
        <f>-NORMSINV(2.5/100)</f>
        <v>1.9599639845400538</v>
      </c>
      <c r="I20" s="217">
        <f>C20</f>
        <v>0.2078853046594982</v>
      </c>
      <c r="J20" s="317">
        <f>(D20-E20)/F20</f>
        <v>0.16439514876002528</v>
      </c>
      <c r="K20" s="318">
        <f>(D20+E20)/F20</f>
        <v>0.2593102702417449</v>
      </c>
      <c r="L20" s="461"/>
      <c r="M20" s="300"/>
      <c r="N20" s="319">
        <f>B20</f>
        <v>279</v>
      </c>
      <c r="O20" s="166" t="s">
        <v>18</v>
      </c>
      <c r="P20" s="167"/>
      <c r="Q20" s="301"/>
      <c r="R20" s="300"/>
      <c r="S20" s="302"/>
      <c r="T20" s="302"/>
      <c r="U20" s="320"/>
      <c r="V20" s="249"/>
      <c r="W20" s="321">
        <f>ABS(C20-C21)</f>
        <v>0.09175368451017687</v>
      </c>
      <c r="X20" s="166" t="s">
        <v>34</v>
      </c>
      <c r="Y20" s="167"/>
      <c r="Z20" s="166"/>
      <c r="AA20" s="166"/>
      <c r="AB20" s="166"/>
      <c r="AC20" s="166"/>
      <c r="AD20" s="276"/>
    </row>
    <row r="21" spans="1:30" s="171" customFormat="1" ht="15" hidden="1">
      <c r="A21" s="211">
        <f>C7</f>
        <v>83</v>
      </c>
      <c r="B21" s="211">
        <f>E7</f>
        <v>277</v>
      </c>
      <c r="C21" s="212">
        <f>A21/B21</f>
        <v>0.2996389891696751</v>
      </c>
      <c r="D21" s="213">
        <f>2*A21+H21^2</f>
        <v>169.84145882069413</v>
      </c>
      <c r="E21" s="213">
        <f>H21*SQRT((H21^2)+(4*A21*(1-C21)))</f>
        <v>30.132577986883085</v>
      </c>
      <c r="F21" s="214">
        <f>2*(B21+H21^2)</f>
        <v>561.6829176413883</v>
      </c>
      <c r="G21" s="215" t="s">
        <v>13</v>
      </c>
      <c r="H21" s="216">
        <f>-NORMSINV(2.5/100)</f>
        <v>1.9599639845400538</v>
      </c>
      <c r="I21" s="217">
        <f>C21</f>
        <v>0.2996389891696751</v>
      </c>
      <c r="J21" s="317">
        <f>(D21-E21)/F21</f>
        <v>0.24873265047916143</v>
      </c>
      <c r="K21" s="318">
        <f>(D21+E21)/F21</f>
        <v>0.35602655969546954</v>
      </c>
      <c r="L21" s="461"/>
      <c r="N21" s="322">
        <f>I25</f>
        <v>0.09175368451017687</v>
      </c>
      <c r="O21" s="166" t="s">
        <v>19</v>
      </c>
      <c r="P21" s="166"/>
      <c r="Q21" s="166"/>
      <c r="R21" s="166"/>
      <c r="S21" s="166"/>
      <c r="T21" s="166"/>
      <c r="U21" s="323"/>
      <c r="V21" s="249"/>
      <c r="W21" s="324">
        <f>SQRT((C22*(1-C22)/B20)+(C22*(1-C22)/B21))</f>
        <v>0.03690236691978425</v>
      </c>
      <c r="X21" s="325" t="s">
        <v>35</v>
      </c>
      <c r="Y21" s="166"/>
      <c r="Z21" s="166"/>
      <c r="AA21" s="166"/>
      <c r="AB21" s="166"/>
      <c r="AC21" s="166"/>
      <c r="AD21" s="276"/>
    </row>
    <row r="22" spans="1:30" s="171" customFormat="1" ht="15" hidden="1">
      <c r="A22" s="218">
        <f>A20+A21</f>
        <v>141</v>
      </c>
      <c r="B22" s="218">
        <f>B20+B21</f>
        <v>556</v>
      </c>
      <c r="C22" s="219">
        <f>A22/B22</f>
        <v>0.25359712230215825</v>
      </c>
      <c r="D22" s="220"/>
      <c r="E22" s="220"/>
      <c r="F22" s="221"/>
      <c r="G22" s="222"/>
      <c r="H22" s="223"/>
      <c r="I22" s="224"/>
      <c r="J22" s="224"/>
      <c r="K22" s="224"/>
      <c r="L22" s="461"/>
      <c r="N22" s="326">
        <f>(A20+A21)/(B20+B21)</f>
        <v>0.25359712230215825</v>
      </c>
      <c r="O22" s="166" t="s">
        <v>7</v>
      </c>
      <c r="P22" s="167"/>
      <c r="Q22" s="301"/>
      <c r="R22" s="300"/>
      <c r="S22" s="302"/>
      <c r="T22" s="302"/>
      <c r="U22" s="276"/>
      <c r="V22" s="249"/>
      <c r="W22" s="327">
        <f>W20/W21</f>
        <v>2.486390228291441</v>
      </c>
      <c r="X22" s="166" t="s">
        <v>54</v>
      </c>
      <c r="Y22" s="167"/>
      <c r="Z22" s="166"/>
      <c r="AA22" s="166"/>
      <c r="AB22" s="166"/>
      <c r="AC22" s="166"/>
      <c r="AD22" s="276"/>
    </row>
    <row r="23" spans="1:30" s="171" customFormat="1" ht="15" hidden="1">
      <c r="A23" s="204"/>
      <c r="B23" s="199" t="s">
        <v>16</v>
      </c>
      <c r="C23" s="204"/>
      <c r="D23" s="204"/>
      <c r="E23" s="202"/>
      <c r="F23" s="202"/>
      <c r="G23" s="202"/>
      <c r="H23" s="203"/>
      <c r="I23" s="202"/>
      <c r="J23" s="304"/>
      <c r="K23" s="204"/>
      <c r="L23" s="461"/>
      <c r="N23" s="328">
        <f>SQRT(N20*N21^2/(2*N22*(1-N22)))-H20</f>
        <v>0.5309102694468326</v>
      </c>
      <c r="O23" s="166" t="s">
        <v>108</v>
      </c>
      <c r="P23" s="166"/>
      <c r="Q23" s="166"/>
      <c r="R23" s="166"/>
      <c r="S23" s="166"/>
      <c r="T23" s="32"/>
      <c r="U23" s="320"/>
      <c r="V23" s="249"/>
      <c r="W23" s="329">
        <f>NORMSDIST(-W22)</f>
        <v>0.006452318729995731</v>
      </c>
      <c r="X23" s="299" t="s">
        <v>64</v>
      </c>
      <c r="Y23" s="166"/>
      <c r="Z23" s="32"/>
      <c r="AA23" s="32"/>
      <c r="AB23" s="32"/>
      <c r="AC23" s="32"/>
      <c r="AD23" s="323"/>
    </row>
    <row r="24" spans="1:30" s="171" customFormat="1" ht="15.75" hidden="1" thickBot="1">
      <c r="A24" s="204"/>
      <c r="B24" s="199" t="s">
        <v>104</v>
      </c>
      <c r="C24" s="200"/>
      <c r="D24" s="201"/>
      <c r="E24" s="202"/>
      <c r="F24" s="202"/>
      <c r="I24" s="225"/>
      <c r="J24" s="225"/>
      <c r="K24" s="225"/>
      <c r="L24" s="461"/>
      <c r="N24" s="330">
        <f>NORMSDIST(N23)</f>
        <v>0.70225951948866</v>
      </c>
      <c r="O24" s="299" t="s">
        <v>21</v>
      </c>
      <c r="P24" s="331"/>
      <c r="Q24" s="166"/>
      <c r="R24" s="166"/>
      <c r="S24" s="166"/>
      <c r="T24" s="166"/>
      <c r="U24" s="276"/>
      <c r="V24" s="249"/>
      <c r="W24" s="332">
        <f>1-W23</f>
        <v>0.9935476812700043</v>
      </c>
      <c r="X24" s="333" t="s">
        <v>33</v>
      </c>
      <c r="Y24" s="331"/>
      <c r="Z24" s="32"/>
      <c r="AA24" s="32"/>
      <c r="AB24" s="32"/>
      <c r="AC24" s="32"/>
      <c r="AD24" s="323"/>
    </row>
    <row r="25" spans="1:30" s="171" customFormat="1" ht="15.75" hidden="1" thickBot="1">
      <c r="A25" s="298" t="s">
        <v>113</v>
      </c>
      <c r="B25" s="226"/>
      <c r="D25" s="200"/>
      <c r="E25" s="227" t="s">
        <v>60</v>
      </c>
      <c r="F25" s="204"/>
      <c r="G25" s="200"/>
      <c r="H25" s="228" t="s">
        <v>28</v>
      </c>
      <c r="I25" s="429">
        <f>C21-C20</f>
        <v>0.09175368451017687</v>
      </c>
      <c r="J25" s="430">
        <f>I25+SQRT((C21-J21)^2+(K20-C20)^2)</f>
        <v>0.16411377298447702</v>
      </c>
      <c r="K25" s="431">
        <f>I25-SQRT((C20-J20)^2+(K21-C21)^2)</f>
        <v>0.020543068939449613</v>
      </c>
      <c r="L25" s="461"/>
      <c r="N25" s="334">
        <f>1-N24</f>
        <v>0.29774048051134006</v>
      </c>
      <c r="O25" s="335" t="s">
        <v>20</v>
      </c>
      <c r="P25" s="336"/>
      <c r="Q25" s="337"/>
      <c r="R25" s="336"/>
      <c r="S25" s="336"/>
      <c r="T25" s="336"/>
      <c r="U25" s="338"/>
      <c r="V25" s="249"/>
      <c r="W25" s="339"/>
      <c r="X25" s="340"/>
      <c r="Y25" s="336"/>
      <c r="Z25" s="340"/>
      <c r="AA25" s="340"/>
      <c r="AB25" s="340"/>
      <c r="AC25" s="340"/>
      <c r="AD25" s="341"/>
    </row>
    <row r="26" spans="3:28" s="171" customFormat="1" ht="15.75" hidden="1" thickBot="1">
      <c r="C26" s="367"/>
      <c r="E26" s="368"/>
      <c r="H26" s="230" t="s">
        <v>29</v>
      </c>
      <c r="I26" s="231">
        <f>1/I25</f>
        <v>10.898744887886053</v>
      </c>
      <c r="J26" s="343">
        <f>1/J25</f>
        <v>6.093333800171584</v>
      </c>
      <c r="K26" s="342">
        <f>1/K25</f>
        <v>48.67821857325627</v>
      </c>
      <c r="L26" s="462"/>
      <c r="V26" s="249"/>
      <c r="W26" s="249"/>
      <c r="X26" s="249"/>
      <c r="Y26" s="249"/>
      <c r="Z26" s="249"/>
      <c r="AA26" s="249"/>
      <c r="AB26" s="249"/>
    </row>
    <row r="27" spans="1:11" s="171" customFormat="1" ht="15" hidden="1">
      <c r="A27" s="32"/>
      <c r="B27" s="229"/>
      <c r="C27" s="367"/>
      <c r="D27" s="232"/>
      <c r="I27" s="233"/>
      <c r="J27" s="344"/>
      <c r="K27" s="344"/>
    </row>
    <row r="28" spans="1:11" s="171" customFormat="1" ht="15" hidden="1">
      <c r="A28" s="234"/>
      <c r="B28" s="234"/>
      <c r="C28" s="229"/>
      <c r="D28" s="232"/>
      <c r="E28" s="369"/>
      <c r="F28" s="251"/>
      <c r="G28" s="357" t="s">
        <v>114</v>
      </c>
      <c r="H28" s="370" t="s">
        <v>115</v>
      </c>
      <c r="I28" s="371">
        <f>I26</f>
        <v>10.898744887886053</v>
      </c>
      <c r="J28" s="371">
        <f>J26</f>
        <v>6.093333800171584</v>
      </c>
      <c r="K28" s="371">
        <f>K26</f>
        <v>48.67821857325627</v>
      </c>
    </row>
    <row r="29" spans="1:11" s="32" customFormat="1" ht="15" hidden="1">
      <c r="A29" s="33"/>
      <c r="B29" s="232"/>
      <c r="C29" s="232"/>
      <c r="D29" s="372"/>
      <c r="E29" s="235"/>
      <c r="F29" s="373"/>
      <c r="G29" s="374"/>
      <c r="H29" s="375" t="s">
        <v>116</v>
      </c>
      <c r="I29" s="376">
        <f>(1-C21)*I26</f>
        <v>7.633055986461712</v>
      </c>
      <c r="J29" s="376">
        <f>(1-C21)*J26</f>
        <v>4.267533419614756</v>
      </c>
      <c r="K29" s="376">
        <f>(1-C21)*K26</f>
        <v>34.092326365385254</v>
      </c>
    </row>
    <row r="30" spans="2:11" s="32" customFormat="1" ht="15" hidden="1">
      <c r="B30" s="229"/>
      <c r="C30" s="229"/>
      <c r="D30" s="229"/>
      <c r="E30" s="236"/>
      <c r="F30" s="377"/>
      <c r="G30" s="378"/>
      <c r="H30" s="379" t="s">
        <v>117</v>
      </c>
      <c r="I30" s="286">
        <f>I26*I25</f>
        <v>1</v>
      </c>
      <c r="J30" s="286">
        <f>J26*J25</f>
        <v>1</v>
      </c>
      <c r="K30" s="286">
        <f>K26*K25</f>
        <v>1</v>
      </c>
    </row>
    <row r="31" spans="1:11" s="32" customFormat="1" ht="15" hidden="1">
      <c r="A31" s="178"/>
      <c r="B31" s="237"/>
      <c r="D31" s="178"/>
      <c r="F31" s="380"/>
      <c r="G31" s="381"/>
      <c r="H31" s="382" t="s">
        <v>118</v>
      </c>
      <c r="I31" s="288">
        <f>(C21-I25)*I26</f>
        <v>2.265688901424341</v>
      </c>
      <c r="J31" s="288">
        <f>(C21-J25)*J26</f>
        <v>0.8258003805568284</v>
      </c>
      <c r="K31" s="288">
        <f>(C21-K25)*K26</f>
        <v>13.58589220787101</v>
      </c>
    </row>
    <row r="32" spans="1:16" s="32" customFormat="1" ht="15" hidden="1">
      <c r="A32" s="178"/>
      <c r="F32" s="238"/>
      <c r="G32" s="238"/>
      <c r="H32" s="238"/>
      <c r="I32" s="383"/>
      <c r="J32" s="383"/>
      <c r="K32" s="383"/>
      <c r="M32" s="345"/>
      <c r="N32" s="345"/>
      <c r="O32" s="345"/>
      <c r="P32" s="346"/>
    </row>
    <row r="33" spans="5:16" s="32" customFormat="1" ht="15" hidden="1">
      <c r="E33" s="384"/>
      <c r="F33" s="385"/>
      <c r="G33" s="357" t="s">
        <v>119</v>
      </c>
      <c r="H33" s="370" t="s">
        <v>120</v>
      </c>
      <c r="I33" s="371">
        <f>ABS(I26)</f>
        <v>10.898744887886053</v>
      </c>
      <c r="J33" s="371">
        <f>ABS(K26)</f>
        <v>48.67821857325627</v>
      </c>
      <c r="K33" s="371">
        <f>ABS(J26)</f>
        <v>6.093333800171584</v>
      </c>
      <c r="M33" s="345"/>
      <c r="N33" s="345"/>
      <c r="O33" s="347"/>
      <c r="P33" s="346"/>
    </row>
    <row r="34" spans="6:16" s="32" customFormat="1" ht="15" hidden="1">
      <c r="F34" s="386"/>
      <c r="G34" s="387"/>
      <c r="H34" s="388" t="s">
        <v>116</v>
      </c>
      <c r="I34" s="376">
        <f>ABS((1-(C21-I25))*I26)</f>
        <v>8.633055986461713</v>
      </c>
      <c r="J34" s="376">
        <f>ABS((1-(C21-K25))*K26)</f>
        <v>35.092326365385254</v>
      </c>
      <c r="K34" s="376">
        <f>ABS((1-(C21-J25))*J26)</f>
        <v>5.267533419614756</v>
      </c>
      <c r="M34" s="345"/>
      <c r="N34" s="345"/>
      <c r="O34" s="345"/>
      <c r="P34" s="346"/>
    </row>
    <row r="35" spans="5:11" s="32" customFormat="1" ht="15" hidden="1">
      <c r="E35" s="389"/>
      <c r="F35" s="390"/>
      <c r="G35" s="391"/>
      <c r="H35" s="392" t="s">
        <v>121</v>
      </c>
      <c r="I35" s="290">
        <f>I26*I25</f>
        <v>1</v>
      </c>
      <c r="J35" s="290">
        <f>K26*K25</f>
        <v>1</v>
      </c>
      <c r="K35" s="290">
        <f>J26*J25</f>
        <v>1</v>
      </c>
    </row>
    <row r="36" spans="1:17" s="171" customFormat="1" ht="15" hidden="1">
      <c r="A36" s="348" t="s">
        <v>50</v>
      </c>
      <c r="B36" s="32"/>
      <c r="C36" s="32"/>
      <c r="D36" s="32"/>
      <c r="E36" s="238"/>
      <c r="F36" s="393"/>
      <c r="G36" s="394"/>
      <c r="H36" s="395" t="s">
        <v>122</v>
      </c>
      <c r="I36" s="288">
        <f>ABS(C21*I26)</f>
        <v>3.265688901424341</v>
      </c>
      <c r="J36" s="288">
        <f>ABS(C21*K26)</f>
        <v>14.58589220787101</v>
      </c>
      <c r="K36" s="288">
        <f>ABS(C21*J26)</f>
        <v>1.8258003805568284</v>
      </c>
      <c r="M36" s="32"/>
      <c r="N36" s="32"/>
      <c r="O36" s="32"/>
      <c r="P36" s="32"/>
      <c r="Q36" s="32"/>
    </row>
    <row r="37" spans="1:17" s="249" customFormat="1" ht="15" hidden="1">
      <c r="A37" s="171"/>
      <c r="B37" s="239" t="s">
        <v>25</v>
      </c>
      <c r="C37" s="240" t="s">
        <v>26</v>
      </c>
      <c r="D37" s="166"/>
      <c r="E37" s="238"/>
      <c r="F37" s="238"/>
      <c r="G37" s="33"/>
      <c r="H37" s="34"/>
      <c r="I37" s="241"/>
      <c r="J37" s="241"/>
      <c r="K37" s="241"/>
      <c r="M37" s="32"/>
      <c r="N37" s="32"/>
      <c r="O37" s="32"/>
      <c r="P37" s="32"/>
      <c r="Q37" s="32"/>
    </row>
    <row r="38" spans="1:17" s="171" customFormat="1" ht="15" hidden="1">
      <c r="A38" s="259" t="s">
        <v>42</v>
      </c>
      <c r="B38" s="242" t="s">
        <v>3</v>
      </c>
      <c r="C38" s="243" t="s">
        <v>2</v>
      </c>
      <c r="D38" s="244" t="s">
        <v>27</v>
      </c>
      <c r="M38" s="32"/>
      <c r="N38" s="32"/>
      <c r="O38" s="32"/>
      <c r="P38" s="32"/>
      <c r="Q38" s="32"/>
    </row>
    <row r="39" spans="1:17" s="171" customFormat="1" ht="15" hidden="1">
      <c r="A39" s="349" t="s">
        <v>22</v>
      </c>
      <c r="B39" s="245">
        <f>E6*C8/E8</f>
        <v>70.75359712230215</v>
      </c>
      <c r="C39" s="245">
        <f>E6*D8/E8</f>
        <v>208.24640287769785</v>
      </c>
      <c r="D39" s="245">
        <f>E6</f>
        <v>279</v>
      </c>
      <c r="F39" s="246"/>
      <c r="G39" s="247" t="s">
        <v>40</v>
      </c>
      <c r="H39" s="248">
        <f>CHIINV(0.05,J40)</f>
        <v>3.8414588206941236</v>
      </c>
      <c r="M39" s="32"/>
      <c r="N39" s="345"/>
      <c r="O39" s="345"/>
      <c r="P39" s="345"/>
      <c r="Q39" s="32"/>
    </row>
    <row r="40" spans="1:17" s="171" customFormat="1" ht="15" hidden="1">
      <c r="A40" s="350" t="s">
        <v>23</v>
      </c>
      <c r="B40" s="245">
        <f>E7*C8/E8</f>
        <v>70.24640287769785</v>
      </c>
      <c r="C40" s="245">
        <f>E7*D8/E8</f>
        <v>206.75359712230215</v>
      </c>
      <c r="D40" s="245">
        <f>E7</f>
        <v>277</v>
      </c>
      <c r="E40" s="249"/>
      <c r="F40" s="250"/>
      <c r="G40" s="250"/>
      <c r="H40" s="251"/>
      <c r="I40" s="252" t="s">
        <v>41</v>
      </c>
      <c r="J40" s="351">
        <f>(COUNT(B39:C39)-1)*(COUNT(B39:B40)-1)</f>
        <v>1</v>
      </c>
      <c r="N40" s="345"/>
      <c r="O40" s="345"/>
      <c r="P40" s="345"/>
      <c r="Q40" s="32"/>
    </row>
    <row r="41" spans="1:17" s="171" customFormat="1" ht="15" hidden="1">
      <c r="A41" s="200" t="s">
        <v>39</v>
      </c>
      <c r="B41" s="245">
        <f>SUM(B39:B40)</f>
        <v>141</v>
      </c>
      <c r="C41" s="245">
        <f>SUM(C39:C40)</f>
        <v>415</v>
      </c>
      <c r="D41" s="253">
        <f>SUM(D39:D40)</f>
        <v>556</v>
      </c>
      <c r="E41" s="249"/>
      <c r="F41" s="249"/>
      <c r="G41" s="254" t="s">
        <v>43</v>
      </c>
      <c r="H41" s="166" t="s">
        <v>44</v>
      </c>
      <c r="N41" s="345"/>
      <c r="O41" s="347"/>
      <c r="P41" s="345"/>
      <c r="Q41" s="32"/>
    </row>
    <row r="42" spans="1:17" s="171" customFormat="1" ht="15" hidden="1">
      <c r="A42" s="200"/>
      <c r="B42" s="255"/>
      <c r="C42" s="255"/>
      <c r="D42" s="256"/>
      <c r="E42" s="249"/>
      <c r="F42" s="249"/>
      <c r="G42" s="254" t="s">
        <v>45</v>
      </c>
      <c r="H42" s="166" t="s">
        <v>46</v>
      </c>
      <c r="N42" s="346"/>
      <c r="O42" s="346"/>
      <c r="P42" s="346"/>
      <c r="Q42" s="32"/>
    </row>
    <row r="43" spans="1:8" s="171" customFormat="1" ht="15" customHeight="1" hidden="1">
      <c r="A43" s="352"/>
      <c r="B43" s="463" t="s">
        <v>53</v>
      </c>
      <c r="C43" s="464"/>
      <c r="F43" s="200"/>
      <c r="G43" s="257"/>
      <c r="H43" s="204"/>
    </row>
    <row r="44" spans="1:11" s="171" customFormat="1" ht="15" hidden="1">
      <c r="A44" s="352"/>
      <c r="B44" s="258">
        <f>(C6-B39)^2/B39</f>
        <v>2.2988829709510803</v>
      </c>
      <c r="C44" s="258">
        <f>(D6-C39)^2/C39</f>
        <v>0.7810662624195236</v>
      </c>
      <c r="E44" s="259"/>
      <c r="F44" s="260"/>
      <c r="I44" s="32"/>
      <c r="J44" s="32"/>
      <c r="K44" s="353"/>
    </row>
    <row r="45" spans="1:10" s="171" customFormat="1" ht="15" hidden="1">
      <c r="A45" s="352"/>
      <c r="B45" s="258">
        <f>(C7-B40)^2/B40</f>
        <v>2.3154814039543368</v>
      </c>
      <c r="C45" s="258">
        <f>(D7-C40)^2/C40</f>
        <v>0.7867057300182205</v>
      </c>
      <c r="D45" s="261"/>
      <c r="E45" s="262" t="s">
        <v>47</v>
      </c>
      <c r="F45" s="263">
        <f>B47-H39</f>
        <v>2.3406775466490375</v>
      </c>
      <c r="I45" s="32"/>
      <c r="J45" s="32"/>
    </row>
    <row r="46" spans="1:10" s="171" customFormat="1" ht="15.75" hidden="1" thickBot="1">
      <c r="A46" s="166" t="s">
        <v>49</v>
      </c>
      <c r="C46" s="264"/>
      <c r="F46" s="204" t="s">
        <v>51</v>
      </c>
      <c r="I46" s="32"/>
      <c r="J46" s="32"/>
    </row>
    <row r="47" spans="1:11" s="171" customFormat="1" ht="15.75" hidden="1" thickBot="1">
      <c r="A47" s="354" t="s">
        <v>48</v>
      </c>
      <c r="B47" s="265">
        <f>SUM(B44:C45)</f>
        <v>6.182136367343161</v>
      </c>
      <c r="C47" s="166"/>
      <c r="F47" s="204" t="s">
        <v>52</v>
      </c>
      <c r="H47" s="266"/>
      <c r="I47" s="32"/>
      <c r="J47" s="32"/>
      <c r="K47" s="355"/>
    </row>
    <row r="48" spans="1:11" s="171" customFormat="1" ht="15.75" hidden="1" thickBot="1">
      <c r="A48" s="356" t="s">
        <v>109</v>
      </c>
      <c r="B48" s="267">
        <f>CHIDIST(B47,1)</f>
        <v>0.012904637459991482</v>
      </c>
      <c r="D48" s="166"/>
      <c r="E48" s="166"/>
      <c r="F48" s="166"/>
      <c r="G48" s="268"/>
      <c r="H48" s="166"/>
      <c r="I48" s="32"/>
      <c r="J48" s="32"/>
      <c r="K48" s="166"/>
    </row>
    <row r="49" spans="4:8" s="32" customFormat="1" ht="15" hidden="1">
      <c r="D49" s="269"/>
      <c r="E49" s="269"/>
      <c r="H49" s="270"/>
    </row>
    <row r="50" spans="9:10" s="171" customFormat="1" ht="15" hidden="1">
      <c r="I50" s="32"/>
      <c r="J50" s="32"/>
    </row>
    <row r="51" spans="6:10" s="171" customFormat="1" ht="15" hidden="1">
      <c r="F51" s="233"/>
      <c r="I51" s="32"/>
      <c r="J51" s="32"/>
    </row>
    <row r="52" spans="1:10" s="171" customFormat="1" ht="15" hidden="1">
      <c r="A52" s="396" t="s">
        <v>111</v>
      </c>
      <c r="B52" s="397"/>
      <c r="C52" s="397"/>
      <c r="D52" s="398" t="s">
        <v>110</v>
      </c>
      <c r="E52" s="399"/>
      <c r="F52" s="400"/>
      <c r="G52" s="400"/>
      <c r="H52" s="401"/>
      <c r="I52" s="32"/>
      <c r="J52" s="32"/>
    </row>
    <row r="53" spans="1:10" s="171" customFormat="1" ht="15" hidden="1">
      <c r="A53" s="402" t="s">
        <v>65</v>
      </c>
      <c r="B53" s="272">
        <f>ROUND(E6,0)</f>
        <v>279</v>
      </c>
      <c r="C53" s="272">
        <f>ROUND(E7,0)</f>
        <v>277</v>
      </c>
      <c r="D53" s="273">
        <f>ROUND(F13,2)</f>
        <v>0.69</v>
      </c>
      <c r="E53" s="274">
        <f>ROUND(J13,4)</f>
        <v>0.3062</v>
      </c>
      <c r="F53" s="274">
        <f>ROUND(I25,4)</f>
        <v>0.0918</v>
      </c>
      <c r="G53" s="275">
        <f>ROUND(I26,0)</f>
        <v>11</v>
      </c>
      <c r="H53" s="403"/>
      <c r="I53" s="32"/>
      <c r="J53" s="32"/>
    </row>
    <row r="54" spans="1:10" s="171" customFormat="1" ht="15" hidden="1">
      <c r="A54" s="402" t="s">
        <v>67</v>
      </c>
      <c r="B54" s="272">
        <f>ROUND(C6,0)</f>
        <v>58</v>
      </c>
      <c r="C54" s="272">
        <f>ROUND(C7,0)</f>
        <v>83</v>
      </c>
      <c r="D54" s="273">
        <f>ROUND(G13,2)</f>
        <v>0.52</v>
      </c>
      <c r="E54" s="274">
        <f>ROUND(K13,4)</f>
        <v>0.4816</v>
      </c>
      <c r="F54" s="274">
        <f>ROUND(K25,4)</f>
        <v>0.0205</v>
      </c>
      <c r="G54" s="275">
        <f>ROUND(J26,0)</f>
        <v>6</v>
      </c>
      <c r="H54" s="403"/>
      <c r="I54" s="32"/>
      <c r="J54" s="32"/>
    </row>
    <row r="55" spans="1:10" s="249" customFormat="1" ht="15" hidden="1">
      <c r="A55" s="402" t="s">
        <v>66</v>
      </c>
      <c r="B55" s="274">
        <f>ROUND(C20,4)</f>
        <v>0.2079</v>
      </c>
      <c r="C55" s="274">
        <f>ROUND(C21,4)</f>
        <v>0.2996</v>
      </c>
      <c r="D55" s="273">
        <f>ROUND(H13,2)</f>
        <v>0.93</v>
      </c>
      <c r="E55" s="274">
        <f>ROUND(L13,4)</f>
        <v>0.0716</v>
      </c>
      <c r="F55" s="274">
        <f>ROUND(J25,4)</f>
        <v>0.1641</v>
      </c>
      <c r="G55" s="275">
        <f>ROUND(K26,0)</f>
        <v>49</v>
      </c>
      <c r="H55" s="428">
        <f>ROUND(N24,4)</f>
        <v>0.7023</v>
      </c>
      <c r="I55" s="277"/>
      <c r="J55" s="32"/>
    </row>
    <row r="56" spans="1:21" s="171" customFormat="1" ht="15" hidden="1">
      <c r="A56" s="402" t="s">
        <v>68</v>
      </c>
      <c r="B56" s="278" t="s">
        <v>78</v>
      </c>
      <c r="C56" s="278" t="s">
        <v>79</v>
      </c>
      <c r="D56" s="278" t="s">
        <v>5</v>
      </c>
      <c r="E56" s="280" t="s">
        <v>55</v>
      </c>
      <c r="F56" s="278" t="s">
        <v>75</v>
      </c>
      <c r="G56" s="279" t="s">
        <v>73</v>
      </c>
      <c r="H56" s="280" t="s">
        <v>76</v>
      </c>
      <c r="I56" s="277"/>
      <c r="J56" s="32"/>
      <c r="N56" s="249"/>
      <c r="O56" s="249"/>
      <c r="T56" s="249"/>
      <c r="U56" s="249"/>
    </row>
    <row r="57" spans="1:10" s="171" customFormat="1" ht="15" hidden="1">
      <c r="A57" s="404" t="s">
        <v>24</v>
      </c>
      <c r="B57" s="280" t="str">
        <f>CONCATENATE(B54,A58,B53," ",A53,B55*100,A56,A55)</f>
        <v>58/279 (20,79%)</v>
      </c>
      <c r="C57" s="280" t="str">
        <f>CONCATENATE(C54,A58,C53," ",A53,C55*100,A56,A55)</f>
        <v>83/277 (29,96%)</v>
      </c>
      <c r="D57" s="280" t="str">
        <f>CONCATENATE(D53," ",A53,D54,A54,D55,A55)</f>
        <v>0,69 (0,52-0,93)</v>
      </c>
      <c r="E57" s="280" t="str">
        <f>CONCATENATE(E53*100,A56," ",A53,E54*100,A56," ",A57," ",E55*100,A56,A55)</f>
        <v>30,62% (48,16% a 7,16%)</v>
      </c>
      <c r="F57" s="280" t="str">
        <f>CONCATENATE(F53*100,A56," ",A53,F54*100,A56," ",A57," ",F55*100,A56,A55)</f>
        <v>9,18% (2,05% a 16,41%)</v>
      </c>
      <c r="G57" s="280" t="str">
        <f>CONCATENATE(G53," ",A53,G54," ",A57," ",G55,A55)</f>
        <v>11 (6 a 49)</v>
      </c>
      <c r="H57" s="280" t="str">
        <f>CONCATENATE(H55*100,A56)</f>
        <v>70,23%</v>
      </c>
      <c r="I57" s="32"/>
      <c r="J57" s="32"/>
    </row>
    <row r="58" spans="1:10" s="171" customFormat="1" ht="15" hidden="1">
      <c r="A58" s="405" t="s">
        <v>74</v>
      </c>
      <c r="B58" s="406"/>
      <c r="C58" s="406"/>
      <c r="D58" s="406"/>
      <c r="E58" s="406"/>
      <c r="F58" s="406"/>
      <c r="G58" s="406"/>
      <c r="H58" s="407"/>
      <c r="I58" s="32"/>
      <c r="J58" s="32"/>
    </row>
    <row r="59" s="171" customFormat="1" ht="15"/>
    <row r="60" spans="2:10" s="171" customFormat="1" ht="26.25" customHeight="1">
      <c r="B60" s="359" t="s">
        <v>78</v>
      </c>
      <c r="C60" s="359" t="s">
        <v>79</v>
      </c>
      <c r="D60" s="360" t="s">
        <v>69</v>
      </c>
      <c r="E60" s="360" t="s">
        <v>112</v>
      </c>
      <c r="F60" s="360" t="s">
        <v>62</v>
      </c>
      <c r="G60" s="360" t="s">
        <v>63</v>
      </c>
      <c r="H60" s="360" t="s">
        <v>77</v>
      </c>
      <c r="I60" s="361"/>
      <c r="J60" s="104" t="s">
        <v>135</v>
      </c>
    </row>
    <row r="61" spans="2:10" s="171" customFormat="1" ht="27" customHeight="1">
      <c r="B61" s="358" t="str">
        <f aca="true" t="shared" si="0" ref="B61:H61">B57</f>
        <v>58/279 (20,79%)</v>
      </c>
      <c r="C61" s="358" t="str">
        <f t="shared" si="0"/>
        <v>83/277 (29,96%)</v>
      </c>
      <c r="D61" s="358" t="str">
        <f t="shared" si="0"/>
        <v>0,69 (0,52-0,93)</v>
      </c>
      <c r="E61" s="358" t="str">
        <f t="shared" si="0"/>
        <v>30,62% (48,16% a 7,16%)</v>
      </c>
      <c r="F61" s="358" t="str">
        <f t="shared" si="0"/>
        <v>9,18% (2,05% a 16,41%)</v>
      </c>
      <c r="G61" s="358" t="str">
        <f t="shared" si="0"/>
        <v>11 (6 a 49)</v>
      </c>
      <c r="H61" s="358" t="str">
        <f t="shared" si="0"/>
        <v>70,23%</v>
      </c>
      <c r="I61" s="362"/>
      <c r="J61" s="363">
        <f>B48</f>
        <v>0.012904637459991482</v>
      </c>
    </row>
    <row r="62" spans="14:21" ht="18.75">
      <c r="N62" s="13"/>
      <c r="O62" s="13"/>
      <c r="T62" s="13"/>
      <c r="U62" s="13"/>
    </row>
    <row r="63" spans="2:7" s="171" customFormat="1" ht="24.75" customHeight="1">
      <c r="B63" s="481" t="s">
        <v>89</v>
      </c>
      <c r="C63" s="482"/>
      <c r="D63" s="483"/>
      <c r="E63" s="281" t="s">
        <v>84</v>
      </c>
      <c r="F63" s="282" t="s">
        <v>0</v>
      </c>
      <c r="G63" s="282" t="s">
        <v>1</v>
      </c>
    </row>
    <row r="64" spans="1:7" s="171" customFormat="1" ht="15">
      <c r="A64" s="166"/>
      <c r="B64" s="465" t="s">
        <v>88</v>
      </c>
      <c r="C64" s="466"/>
      <c r="D64" s="467"/>
      <c r="E64" s="283">
        <f aca="true" t="shared" si="1" ref="E64:G67">I28</f>
        <v>10.898744887886053</v>
      </c>
      <c r="F64" s="283">
        <f t="shared" si="1"/>
        <v>6.093333800171584</v>
      </c>
      <c r="G64" s="283">
        <f t="shared" si="1"/>
        <v>48.67821857325627</v>
      </c>
    </row>
    <row r="65" spans="2:7" s="171" customFormat="1" ht="15">
      <c r="B65" s="474" t="s">
        <v>91</v>
      </c>
      <c r="C65" s="475"/>
      <c r="D65" s="476"/>
      <c r="E65" s="284">
        <f t="shared" si="1"/>
        <v>7.633055986461712</v>
      </c>
      <c r="F65" s="284">
        <f t="shared" si="1"/>
        <v>4.267533419614756</v>
      </c>
      <c r="G65" s="284">
        <f t="shared" si="1"/>
        <v>34.092326365385254</v>
      </c>
    </row>
    <row r="66" spans="2:7" s="171" customFormat="1" ht="18.75" customHeight="1">
      <c r="B66" s="471" t="s">
        <v>92</v>
      </c>
      <c r="C66" s="472"/>
      <c r="D66" s="473"/>
      <c r="E66" s="285">
        <f t="shared" si="1"/>
        <v>1</v>
      </c>
      <c r="F66" s="285">
        <f t="shared" si="1"/>
        <v>1</v>
      </c>
      <c r="G66" s="285">
        <f t="shared" si="1"/>
        <v>1</v>
      </c>
    </row>
    <row r="67" spans="2:7" s="171" customFormat="1" ht="15">
      <c r="B67" s="453" t="s">
        <v>94</v>
      </c>
      <c r="C67" s="454"/>
      <c r="D67" s="455"/>
      <c r="E67" s="287">
        <f t="shared" si="1"/>
        <v>2.265688901424341</v>
      </c>
      <c r="F67" s="287">
        <f t="shared" si="1"/>
        <v>0.8258003805568284</v>
      </c>
      <c r="G67" s="287">
        <f t="shared" si="1"/>
        <v>13.58589220787101</v>
      </c>
    </row>
    <row r="68" spans="2:7" s="249" customFormat="1" ht="15">
      <c r="B68" s="32"/>
      <c r="C68" s="33"/>
      <c r="D68" s="34"/>
      <c r="E68" s="35"/>
      <c r="F68" s="35"/>
      <c r="G68" s="35"/>
    </row>
    <row r="69" spans="2:7" s="171" customFormat="1" ht="34.5" customHeight="1">
      <c r="B69" s="456" t="s">
        <v>90</v>
      </c>
      <c r="C69" s="456"/>
      <c r="D69" s="456"/>
      <c r="E69" s="281" t="s">
        <v>84</v>
      </c>
      <c r="F69" s="282" t="s">
        <v>0</v>
      </c>
      <c r="G69" s="282" t="s">
        <v>1</v>
      </c>
    </row>
    <row r="70" spans="2:21" s="171" customFormat="1" ht="15">
      <c r="B70" s="457" t="s">
        <v>87</v>
      </c>
      <c r="C70" s="458"/>
      <c r="D70" s="459"/>
      <c r="E70" s="283">
        <f aca="true" t="shared" si="2" ref="E70:G73">I33</f>
        <v>10.898744887886053</v>
      </c>
      <c r="F70" s="283">
        <f t="shared" si="2"/>
        <v>48.67821857325627</v>
      </c>
      <c r="G70" s="283">
        <f t="shared" si="2"/>
        <v>6.093333800171584</v>
      </c>
      <c r="N70" s="249"/>
      <c r="O70" s="249"/>
      <c r="T70" s="249"/>
      <c r="U70" s="249"/>
    </row>
    <row r="71" spans="2:21" s="171" customFormat="1" ht="18.75" customHeight="1">
      <c r="B71" s="478" t="s">
        <v>91</v>
      </c>
      <c r="C71" s="479"/>
      <c r="D71" s="480"/>
      <c r="E71" s="284">
        <f t="shared" si="2"/>
        <v>8.633055986461713</v>
      </c>
      <c r="F71" s="284">
        <f t="shared" si="2"/>
        <v>35.092326365385254</v>
      </c>
      <c r="G71" s="284">
        <f t="shared" si="2"/>
        <v>5.267533419614756</v>
      </c>
      <c r="N71" s="249"/>
      <c r="O71" s="249"/>
      <c r="T71" s="249"/>
      <c r="U71" s="249"/>
    </row>
    <row r="72" spans="2:21" s="171" customFormat="1" ht="18.75" customHeight="1">
      <c r="B72" s="450" t="s">
        <v>93</v>
      </c>
      <c r="C72" s="451"/>
      <c r="D72" s="452"/>
      <c r="E72" s="289">
        <f t="shared" si="2"/>
        <v>1</v>
      </c>
      <c r="F72" s="289">
        <f t="shared" si="2"/>
        <v>1</v>
      </c>
      <c r="G72" s="289">
        <f t="shared" si="2"/>
        <v>1</v>
      </c>
      <c r="N72" s="249"/>
      <c r="O72" s="249"/>
      <c r="T72" s="249"/>
      <c r="U72" s="249"/>
    </row>
    <row r="73" spans="2:21" s="171" customFormat="1" ht="18.75" customHeight="1">
      <c r="B73" s="453" t="s">
        <v>94</v>
      </c>
      <c r="C73" s="454"/>
      <c r="D73" s="455"/>
      <c r="E73" s="287">
        <f t="shared" si="2"/>
        <v>3.265688901424341</v>
      </c>
      <c r="F73" s="287">
        <f t="shared" si="2"/>
        <v>14.58589220787101</v>
      </c>
      <c r="G73" s="287">
        <f t="shared" si="2"/>
        <v>1.8258003805568284</v>
      </c>
      <c r="N73" s="249"/>
      <c r="O73" s="249"/>
      <c r="T73" s="249"/>
      <c r="U73" s="249"/>
    </row>
  </sheetData>
  <sheetProtection/>
  <mergeCells count="14">
    <mergeCell ref="A2:F2"/>
    <mergeCell ref="B66:D66"/>
    <mergeCell ref="B67:D67"/>
    <mergeCell ref="B65:D65"/>
    <mergeCell ref="A3:F3"/>
    <mergeCell ref="B71:D71"/>
    <mergeCell ref="B63:D63"/>
    <mergeCell ref="B72:D72"/>
    <mergeCell ref="B73:D73"/>
    <mergeCell ref="B69:D69"/>
    <mergeCell ref="B70:D70"/>
    <mergeCell ref="L19:L26"/>
    <mergeCell ref="B43:C43"/>
    <mergeCell ref="B64:D64"/>
  </mergeCells>
  <printOptions/>
  <pageMargins left="0.17" right="0.1" top="0.21" bottom="0.12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8515625" style="39" customWidth="1"/>
    <col min="2" max="2" width="25.57421875" style="39" customWidth="1"/>
    <col min="3" max="3" width="13.28125" style="39" bestFit="1" customWidth="1"/>
    <col min="4" max="4" width="13.140625" style="39" customWidth="1"/>
    <col min="5" max="5" width="18.140625" style="39" customWidth="1"/>
    <col min="6" max="6" width="21.28125" style="39" bestFit="1" customWidth="1"/>
    <col min="7" max="7" width="17.57421875" style="39" customWidth="1"/>
    <col min="8" max="8" width="8.28125" style="39" customWidth="1"/>
    <col min="9" max="9" width="14.57421875" style="39" bestFit="1" customWidth="1"/>
    <col min="10" max="10" width="14.140625" style="41" bestFit="1" customWidth="1"/>
    <col min="11" max="11" width="11.421875" style="41" customWidth="1"/>
    <col min="12" max="12" width="13.8515625" style="39" bestFit="1" customWidth="1"/>
    <col min="13" max="13" width="11.421875" style="39" customWidth="1"/>
    <col min="14" max="14" width="13.8515625" style="39" bestFit="1" customWidth="1"/>
    <col min="15" max="15" width="11.421875" style="39" customWidth="1"/>
    <col min="16" max="17" width="11.421875" style="41" customWidth="1"/>
    <col min="18" max="16384" width="11.421875" style="39" customWidth="1"/>
  </cols>
  <sheetData>
    <row r="1" ht="3.75" customHeight="1" thickBot="1"/>
    <row r="2" spans="1:18" s="37" customFormat="1" ht="19.5" customHeight="1" thickBot="1">
      <c r="A2" s="492" t="s">
        <v>99</v>
      </c>
      <c r="B2" s="493"/>
      <c r="C2" s="493"/>
      <c r="D2" s="493"/>
      <c r="E2" s="493"/>
      <c r="F2" s="493"/>
      <c r="G2" s="494"/>
      <c r="H2" s="36"/>
      <c r="K2" s="38"/>
      <c r="L2" s="38"/>
      <c r="M2" s="38"/>
      <c r="N2" s="38"/>
      <c r="O2" s="38"/>
      <c r="P2" s="38"/>
      <c r="Q2" s="38"/>
      <c r="R2" s="38"/>
    </row>
    <row r="3" spans="1:18" s="37" customFormat="1" ht="31.5" customHeight="1">
      <c r="A3" s="491" t="s">
        <v>128</v>
      </c>
      <c r="B3" s="491"/>
      <c r="C3" s="491"/>
      <c r="D3" s="491"/>
      <c r="E3" s="491"/>
      <c r="F3" s="491"/>
      <c r="G3" s="491"/>
      <c r="H3" s="36"/>
      <c r="K3" s="38"/>
      <c r="L3" s="38"/>
      <c r="M3" s="38"/>
      <c r="N3" s="38"/>
      <c r="O3" s="38"/>
      <c r="P3" s="38"/>
      <c r="Q3" s="38"/>
      <c r="R3" s="38"/>
    </row>
    <row r="4" spans="1:9" s="41" customFormat="1" ht="8.25" customHeight="1" thickBot="1">
      <c r="A4" s="30"/>
      <c r="B4" s="39"/>
      <c r="C4" s="39"/>
      <c r="D4" s="39"/>
      <c r="E4" s="39"/>
      <c r="F4" s="39"/>
      <c r="G4" s="39"/>
      <c r="H4" s="40"/>
      <c r="I4" s="40"/>
    </row>
    <row r="5" spans="2:24" ht="15" thickBot="1">
      <c r="B5" s="419" t="s">
        <v>127</v>
      </c>
      <c r="C5" s="420">
        <v>0.57</v>
      </c>
      <c r="D5" s="421" t="s">
        <v>132</v>
      </c>
      <c r="E5" s="422" t="s">
        <v>97</v>
      </c>
      <c r="F5" s="423">
        <f>1-C5</f>
        <v>0.43000000000000005</v>
      </c>
      <c r="H5" s="44"/>
      <c r="I5" s="45"/>
      <c r="J5" s="46"/>
      <c r="K5" s="38"/>
      <c r="L5" s="38"/>
      <c r="M5" s="47"/>
      <c r="N5" s="48"/>
      <c r="O5" s="49"/>
      <c r="P5" s="49"/>
      <c r="Q5" s="49"/>
      <c r="R5" s="41"/>
      <c r="S5" s="41"/>
      <c r="T5" s="41"/>
      <c r="U5" s="41"/>
      <c r="V5" s="41"/>
      <c r="W5" s="41"/>
      <c r="X5" s="41"/>
    </row>
    <row r="6" spans="2:26" ht="13.5" thickBot="1">
      <c r="B6" s="424"/>
      <c r="H6" s="50"/>
      <c r="I6" s="48"/>
      <c r="U6" s="51"/>
      <c r="V6" s="51"/>
      <c r="W6" s="51"/>
      <c r="X6" s="51"/>
      <c r="Y6" s="51"/>
      <c r="Z6" s="51"/>
    </row>
    <row r="7" spans="2:34" ht="21" customHeight="1" thickBot="1">
      <c r="B7" s="425"/>
      <c r="D7" s="495" t="s">
        <v>71</v>
      </c>
      <c r="E7" s="496"/>
      <c r="F7" s="497"/>
      <c r="H7" s="52"/>
      <c r="I7" s="48"/>
      <c r="J7" s="53"/>
      <c r="K7" s="54"/>
      <c r="L7" s="53"/>
      <c r="M7" s="47"/>
      <c r="N7" s="48"/>
      <c r="O7" s="49"/>
      <c r="P7" s="49"/>
      <c r="Q7" s="49"/>
      <c r="R7" s="37"/>
      <c r="S7" s="37"/>
      <c r="T7" s="54"/>
      <c r="U7" s="53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spans="2:34" ht="24.75" customHeight="1" thickBot="1">
      <c r="B8" s="408"/>
      <c r="D8" s="426" t="s">
        <v>84</v>
      </c>
      <c r="E8" s="427" t="s">
        <v>133</v>
      </c>
      <c r="F8" s="426" t="s">
        <v>134</v>
      </c>
      <c r="H8" s="55"/>
      <c r="I8" s="48"/>
      <c r="J8" s="56"/>
      <c r="K8" s="37"/>
      <c r="L8" s="38"/>
      <c r="M8" s="47"/>
      <c r="N8" s="48"/>
      <c r="O8" s="49"/>
      <c r="P8" s="49"/>
      <c r="Q8" s="49"/>
      <c r="R8" s="37"/>
      <c r="S8" s="57"/>
      <c r="T8" s="37"/>
      <c r="U8" s="38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spans="2:34" ht="16.5" thickBot="1">
      <c r="B9" s="444"/>
      <c r="D9" s="409">
        <v>0.83</v>
      </c>
      <c r="E9" s="410">
        <v>0.69</v>
      </c>
      <c r="F9" s="410">
        <v>0.99</v>
      </c>
      <c r="H9" s="58"/>
      <c r="I9" s="37"/>
      <c r="J9" s="59"/>
      <c r="K9" s="37"/>
      <c r="L9" s="37"/>
      <c r="M9" s="37"/>
      <c r="N9" s="37"/>
      <c r="O9" s="37"/>
      <c r="P9" s="37"/>
      <c r="Q9" s="37"/>
      <c r="R9" s="37"/>
      <c r="S9" s="60"/>
      <c r="T9" s="53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spans="2:34" ht="16.5" customHeight="1" hidden="1" thickBot="1">
      <c r="B10" s="61" t="s">
        <v>129</v>
      </c>
      <c r="C10" s="62" t="s">
        <v>130</v>
      </c>
      <c r="D10" s="63">
        <f>F5^D9</f>
        <v>0.4963394763012907</v>
      </c>
      <c r="E10" s="64">
        <f>F5^E9</f>
        <v>0.5585901000019623</v>
      </c>
      <c r="F10" s="65">
        <f>F5^F9</f>
        <v>0.43364442861337743</v>
      </c>
      <c r="H10" s="52"/>
      <c r="I10" s="37"/>
      <c r="J10" s="66"/>
      <c r="K10" s="37"/>
      <c r="L10" s="38"/>
      <c r="M10" s="47"/>
      <c r="N10" s="48"/>
      <c r="O10" s="49"/>
      <c r="P10" s="49"/>
      <c r="Q10" s="37"/>
      <c r="R10" s="37"/>
      <c r="S10" s="67"/>
      <c r="T10" s="37"/>
      <c r="U10" s="38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spans="2:34" ht="12.75" customHeight="1" hidden="1">
      <c r="B11" s="68"/>
      <c r="C11" s="69" t="s">
        <v>72</v>
      </c>
      <c r="D11" s="70">
        <f>1-D10</f>
        <v>0.5036605236987093</v>
      </c>
      <c r="E11" s="70">
        <f>1-E10</f>
        <v>0.4414098999980377</v>
      </c>
      <c r="F11" s="70">
        <f>1-F10</f>
        <v>0.5663555713866226</v>
      </c>
      <c r="H11" s="52"/>
      <c r="I11" s="37"/>
      <c r="J11" s="36"/>
      <c r="K11" s="37"/>
      <c r="L11" s="37"/>
      <c r="M11" s="37"/>
      <c r="N11" s="37"/>
      <c r="O11" s="37"/>
      <c r="P11" s="37"/>
      <c r="Q11" s="49"/>
      <c r="R11" s="37"/>
      <c r="S11" s="57"/>
      <c r="T11" s="71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spans="3:34" ht="13.5" customHeight="1" hidden="1" thickBot="1">
      <c r="C12" s="72"/>
      <c r="H12" s="73"/>
      <c r="I12" s="37"/>
      <c r="J12" s="74"/>
      <c r="K12" s="71"/>
      <c r="L12" s="75"/>
      <c r="M12" s="37"/>
      <c r="N12" s="37"/>
      <c r="O12" s="37"/>
      <c r="P12" s="37"/>
      <c r="Q12" s="37"/>
      <c r="R12" s="37"/>
      <c r="S12" s="76"/>
      <c r="T12" s="77"/>
      <c r="U12" s="75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spans="2:34" ht="14.25" customHeight="1" hidden="1">
      <c r="B13" s="78"/>
      <c r="C13" s="79" t="s">
        <v>131</v>
      </c>
      <c r="D13" s="80" t="s">
        <v>28</v>
      </c>
      <c r="E13" s="81">
        <f>D10-F5</f>
        <v>0.06633947630129067</v>
      </c>
      <c r="F13" s="81">
        <f>F10-F5</f>
        <v>0.0036444286133773818</v>
      </c>
      <c r="G13" s="82">
        <f>E10-F5</f>
        <v>0.12859010000196225</v>
      </c>
      <c r="H13" s="52"/>
      <c r="I13" s="37"/>
      <c r="J13" s="76"/>
      <c r="K13" s="77"/>
      <c r="L13" s="37"/>
      <c r="M13" s="83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2:24" ht="13.5" customHeight="1" hidden="1" thickBot="1">
      <c r="B14" s="84"/>
      <c r="C14" s="85" t="s">
        <v>59</v>
      </c>
      <c r="D14" s="86" t="s">
        <v>29</v>
      </c>
      <c r="E14" s="87">
        <f>1/E13</f>
        <v>15.07398091987266</v>
      </c>
      <c r="F14" s="87">
        <f>1/G13</f>
        <v>7.776648435491848</v>
      </c>
      <c r="G14" s="88">
        <f>1/F13</f>
        <v>274.39143582874993</v>
      </c>
      <c r="J14" s="39"/>
      <c r="K14" s="39"/>
      <c r="P14" s="39"/>
      <c r="Q14" s="39"/>
      <c r="R14" s="41"/>
      <c r="S14" s="41"/>
      <c r="T14" s="41"/>
      <c r="U14" s="41"/>
      <c r="V14" s="41"/>
      <c r="W14" s="41"/>
      <c r="X14" s="41"/>
    </row>
    <row r="15" spans="10:17" ht="12.75" customHeight="1" hidden="1">
      <c r="J15" s="39"/>
      <c r="K15" s="39"/>
      <c r="P15" s="39"/>
      <c r="Q15" s="39"/>
    </row>
    <row r="16" spans="2:17" ht="12.75" customHeight="1" hidden="1">
      <c r="B16" s="89" t="s">
        <v>65</v>
      </c>
      <c r="C16" s="90"/>
      <c r="D16" s="90"/>
      <c r="E16" s="91">
        <f>ROUND(D9,2)</f>
        <v>0.83</v>
      </c>
      <c r="F16" s="92">
        <f>ROUND(E13,4)</f>
        <v>0.0663</v>
      </c>
      <c r="G16" s="93">
        <f>ROUND(E14,0)</f>
        <v>15</v>
      </c>
      <c r="J16" s="39"/>
      <c r="K16" s="39"/>
      <c r="P16" s="39"/>
      <c r="Q16" s="39"/>
    </row>
    <row r="17" spans="2:17" ht="12.75" customHeight="1" hidden="1">
      <c r="B17" s="94" t="s">
        <v>67</v>
      </c>
      <c r="C17" s="95">
        <f>ROUND(D11,4)</f>
        <v>0.5037</v>
      </c>
      <c r="D17" s="95">
        <f>ROUND(C5,4)</f>
        <v>0.57</v>
      </c>
      <c r="E17" s="96">
        <f>ROUND(E9,2)</f>
        <v>0.69</v>
      </c>
      <c r="F17" s="97">
        <f>ROUND(F13,4)</f>
        <v>0.0036</v>
      </c>
      <c r="G17" s="98">
        <f>ROUND(F14,0)</f>
        <v>8</v>
      </c>
      <c r="P17" s="39"/>
      <c r="Q17" s="39"/>
    </row>
    <row r="18" spans="2:17" ht="12.75" customHeight="1" hidden="1">
      <c r="B18" s="94" t="s">
        <v>66</v>
      </c>
      <c r="C18" s="99"/>
      <c r="D18" s="99"/>
      <c r="E18" s="96">
        <f>ROUND(F9,2)</f>
        <v>0.99</v>
      </c>
      <c r="F18" s="97">
        <f>ROUND(G13,4)</f>
        <v>0.1286</v>
      </c>
      <c r="G18" s="98">
        <f>ROUND(G14,0)</f>
        <v>274</v>
      </c>
      <c r="P18" s="39"/>
      <c r="Q18" s="39"/>
    </row>
    <row r="19" spans="2:17" ht="12.75" customHeight="1" hidden="1">
      <c r="B19" s="94" t="s">
        <v>68</v>
      </c>
      <c r="C19" s="100" t="s">
        <v>85</v>
      </c>
      <c r="D19" s="100" t="s">
        <v>86</v>
      </c>
      <c r="E19" s="101" t="s">
        <v>71</v>
      </c>
      <c r="F19" s="101" t="s">
        <v>70</v>
      </c>
      <c r="G19" s="101" t="s">
        <v>63</v>
      </c>
      <c r="J19" s="39"/>
      <c r="K19" s="39"/>
      <c r="P19" s="39"/>
      <c r="Q19" s="39"/>
    </row>
    <row r="20" spans="2:17" ht="12.75" customHeight="1" hidden="1">
      <c r="B20" s="102" t="s">
        <v>24</v>
      </c>
      <c r="C20" s="100" t="str">
        <f>CONCATENATE(C17*100,B19)</f>
        <v>50,37%</v>
      </c>
      <c r="D20" s="100" t="str">
        <f>CONCATENATE(D17*100,B19)</f>
        <v>57%</v>
      </c>
      <c r="E20" s="100" t="str">
        <f>CONCATENATE(E16," ",B16,E17,B17,E18,B18)</f>
        <v>0,83 (0,69-0,99)</v>
      </c>
      <c r="F20" s="100" t="str">
        <f>CONCATENATE(F16*100,B19," ",B16,F17*100,B19," ",B20," ",F18*100,B19,B18)</f>
        <v>6,63% (0,36% a 12,86%)</v>
      </c>
      <c r="G20" s="100" t="str">
        <f>CONCATENATE(G16," ",B16,G17," ",B20," ",G18,B18)</f>
        <v>15 (8 a 274)</v>
      </c>
      <c r="J20" s="39"/>
      <c r="K20" s="39"/>
      <c r="P20" s="39"/>
      <c r="Q20" s="39"/>
    </row>
    <row r="21" spans="2:7" s="41" customFormat="1" ht="12.75" customHeight="1" hidden="1">
      <c r="B21" s="37"/>
      <c r="C21" s="38"/>
      <c r="D21" s="37"/>
      <c r="E21" s="37"/>
      <c r="F21" s="37"/>
      <c r="G21" s="37"/>
    </row>
    <row r="22" spans="4:17" ht="12.75">
      <c r="D22" s="103"/>
      <c r="J22" s="39"/>
      <c r="K22" s="39"/>
      <c r="P22" s="39"/>
      <c r="Q22" s="39"/>
    </row>
    <row r="23" spans="3:7" ht="19.5" customHeight="1">
      <c r="C23" s="104" t="s">
        <v>85</v>
      </c>
      <c r="D23" s="104" t="s">
        <v>86</v>
      </c>
      <c r="E23" s="104" t="s">
        <v>71</v>
      </c>
      <c r="F23" s="104" t="s">
        <v>70</v>
      </c>
      <c r="G23" s="104" t="s">
        <v>63</v>
      </c>
    </row>
    <row r="24" spans="3:7" ht="24.75" customHeight="1">
      <c r="C24" s="105" t="str">
        <f>C20</f>
        <v>50,37%</v>
      </c>
      <c r="D24" s="105" t="str">
        <f>D20</f>
        <v>57%</v>
      </c>
      <c r="E24" s="105" t="str">
        <f>E20</f>
        <v>0,83 (0,69-0,99)</v>
      </c>
      <c r="F24" s="105" t="str">
        <f>F20</f>
        <v>6,63% (0,36% a 12,86%)</v>
      </c>
      <c r="G24" s="105" t="str">
        <f>G20</f>
        <v>15 (8 a 274)</v>
      </c>
    </row>
    <row r="26" spans="2:7" ht="32.25" customHeight="1">
      <c r="B26" s="481" t="s">
        <v>89</v>
      </c>
      <c r="C26" s="482"/>
      <c r="D26" s="483"/>
      <c r="E26" s="106" t="s">
        <v>84</v>
      </c>
      <c r="F26" s="107" t="s">
        <v>0</v>
      </c>
      <c r="G26" s="107" t="s">
        <v>1</v>
      </c>
    </row>
    <row r="27" spans="1:7" ht="17.25" customHeight="1">
      <c r="A27" s="37"/>
      <c r="B27" s="484" t="s">
        <v>88</v>
      </c>
      <c r="C27" s="485"/>
      <c r="D27" s="486"/>
      <c r="E27" s="446">
        <f>E14</f>
        <v>15.07398091987266</v>
      </c>
      <c r="F27" s="108">
        <f>F14</f>
        <v>7.776648435491848</v>
      </c>
      <c r="G27" s="109">
        <f>G14</f>
        <v>274.39143582874993</v>
      </c>
    </row>
    <row r="28" spans="1:17" s="113" customFormat="1" ht="15.75" customHeight="1">
      <c r="A28" s="110"/>
      <c r="B28" s="487" t="s">
        <v>91</v>
      </c>
      <c r="C28" s="488"/>
      <c r="D28" s="489"/>
      <c r="E28" s="447">
        <f>(1-C5)*E14</f>
        <v>6.481811795545244</v>
      </c>
      <c r="F28" s="112">
        <f>(1-C5)*F14</f>
        <v>3.343958827261495</v>
      </c>
      <c r="G28" s="112">
        <f>(1-C5)*G14</f>
        <v>117.98831740636248</v>
      </c>
      <c r="J28" s="114"/>
      <c r="K28" s="114"/>
      <c r="P28" s="114"/>
      <c r="Q28" s="114"/>
    </row>
    <row r="29" spans="1:17" s="113" customFormat="1" ht="15.75" customHeight="1">
      <c r="A29" s="110"/>
      <c r="B29" s="501" t="s">
        <v>92</v>
      </c>
      <c r="C29" s="502"/>
      <c r="D29" s="503"/>
      <c r="E29" s="448">
        <f>E14*E13</f>
        <v>1</v>
      </c>
      <c r="F29" s="115">
        <f>F14*G13</f>
        <v>1</v>
      </c>
      <c r="G29" s="115">
        <f>G14*F13</f>
        <v>1</v>
      </c>
      <c r="J29" s="114"/>
      <c r="K29" s="114"/>
      <c r="P29" s="114"/>
      <c r="Q29" s="114"/>
    </row>
    <row r="30" spans="1:17" s="113" customFormat="1" ht="15.75" customHeight="1">
      <c r="A30" s="110"/>
      <c r="B30" s="498" t="s">
        <v>94</v>
      </c>
      <c r="C30" s="499"/>
      <c r="D30" s="500"/>
      <c r="E30" s="449">
        <f>(C5-E13)*E14</f>
        <v>7.592169124327416</v>
      </c>
      <c r="F30" s="445">
        <f>(C5-G13)*F14</f>
        <v>3.4326896082303526</v>
      </c>
      <c r="G30" s="445">
        <f>(C5-F13)*G14</f>
        <v>155.40311842238745</v>
      </c>
      <c r="J30" s="114"/>
      <c r="K30" s="114"/>
      <c r="P30" s="114"/>
      <c r="Q30" s="114"/>
    </row>
    <row r="32" spans="2:7" ht="36.75" customHeight="1">
      <c r="B32" s="507" t="s">
        <v>90</v>
      </c>
      <c r="C32" s="508"/>
      <c r="D32" s="509"/>
      <c r="E32" s="106" t="s">
        <v>84</v>
      </c>
      <c r="F32" s="107" t="s">
        <v>0</v>
      </c>
      <c r="G32" s="107" t="s">
        <v>1</v>
      </c>
    </row>
    <row r="33" spans="1:7" ht="15.75">
      <c r="A33" s="37"/>
      <c r="B33" s="504" t="s">
        <v>87</v>
      </c>
      <c r="C33" s="505"/>
      <c r="D33" s="506"/>
      <c r="E33" s="73">
        <f>E14</f>
        <v>15.07398091987266</v>
      </c>
      <c r="F33" s="73">
        <f>F14</f>
        <v>7.776648435491848</v>
      </c>
      <c r="G33" s="117">
        <f>G14</f>
        <v>274.39143582874993</v>
      </c>
    </row>
    <row r="34" spans="1:17" s="113" customFormat="1" ht="15.75" customHeight="1">
      <c r="A34" s="110"/>
      <c r="B34" s="487" t="s">
        <v>91</v>
      </c>
      <c r="C34" s="488"/>
      <c r="D34" s="489"/>
      <c r="E34" s="111">
        <f>ABS((1-(C5-E13))*E14)</f>
        <v>7.481811795545244</v>
      </c>
      <c r="F34" s="112">
        <f>ABS((1-(C5-G13))*F14)</f>
        <v>4.343958827261495</v>
      </c>
      <c r="G34" s="112">
        <f>ABS((1-(C5-F13))*G14)</f>
        <v>118.98831740636247</v>
      </c>
      <c r="J34" s="114"/>
      <c r="K34" s="114"/>
      <c r="P34" s="114"/>
      <c r="Q34" s="114"/>
    </row>
    <row r="35" spans="2:17" s="113" customFormat="1" ht="15.75" customHeight="1">
      <c r="B35" s="490" t="s">
        <v>93</v>
      </c>
      <c r="C35" s="490"/>
      <c r="D35" s="490"/>
      <c r="E35" s="118">
        <f>E14*E13</f>
        <v>1</v>
      </c>
      <c r="F35" s="119">
        <f>F14*G13</f>
        <v>1</v>
      </c>
      <c r="G35" s="119">
        <f>G14*F13</f>
        <v>1</v>
      </c>
      <c r="J35" s="114"/>
      <c r="K35" s="114"/>
      <c r="P35" s="114"/>
      <c r="Q35" s="114"/>
    </row>
    <row r="36" spans="2:17" s="113" customFormat="1" ht="15.75" customHeight="1">
      <c r="B36" s="498" t="s">
        <v>94</v>
      </c>
      <c r="C36" s="499"/>
      <c r="D36" s="500"/>
      <c r="E36" s="411">
        <f>ABS(C5*E14)</f>
        <v>8.592169124327416</v>
      </c>
      <c r="F36" s="412">
        <f>ABS(C5*F14)</f>
        <v>4.432689608230353</v>
      </c>
      <c r="G36" s="412">
        <f>ABS(C5*G14)</f>
        <v>156.40311842238745</v>
      </c>
      <c r="J36" s="114"/>
      <c r="K36" s="114"/>
      <c r="P36" s="114"/>
      <c r="Q36" s="114"/>
    </row>
    <row r="53" ht="12.75" customHeight="1"/>
    <row r="54" ht="38.25" customHeight="1"/>
  </sheetData>
  <sheetProtection/>
  <mergeCells count="13">
    <mergeCell ref="B36:D36"/>
    <mergeCell ref="B29:D29"/>
    <mergeCell ref="B30:D30"/>
    <mergeCell ref="B33:D33"/>
    <mergeCell ref="B32:D32"/>
    <mergeCell ref="B27:D27"/>
    <mergeCell ref="B34:D34"/>
    <mergeCell ref="B35:D35"/>
    <mergeCell ref="A3:G3"/>
    <mergeCell ref="A2:G2"/>
    <mergeCell ref="D7:F7"/>
    <mergeCell ref="B26:D26"/>
    <mergeCell ref="B28:D28"/>
  </mergeCells>
  <printOptions/>
  <pageMargins left="0.17" right="0.17" top="0.06" bottom="0.08" header="0" footer="0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39" customWidth="1"/>
    <col min="2" max="2" width="37.28125" style="39" customWidth="1"/>
    <col min="3" max="3" width="14.7109375" style="39" customWidth="1"/>
    <col min="4" max="4" width="12.7109375" style="39" customWidth="1"/>
    <col min="5" max="5" width="16.57421875" style="39" customWidth="1"/>
    <col min="6" max="6" width="19.8515625" style="39" bestFit="1" customWidth="1"/>
    <col min="7" max="7" width="14.57421875" style="39" customWidth="1"/>
    <col min="8" max="8" width="12.28125" style="41" customWidth="1"/>
    <col min="9" max="9" width="11.421875" style="39" customWidth="1"/>
    <col min="10" max="10" width="19.00390625" style="146" customWidth="1"/>
    <col min="11" max="16384" width="11.421875" style="39" customWidth="1"/>
  </cols>
  <sheetData>
    <row r="1" ht="6" customHeight="1" thickBot="1"/>
    <row r="2" spans="1:26" ht="19.5" thickBot="1">
      <c r="A2" s="510" t="s">
        <v>98</v>
      </c>
      <c r="B2" s="511"/>
      <c r="C2" s="511"/>
      <c r="D2" s="511"/>
      <c r="E2" s="511"/>
      <c r="F2" s="511"/>
      <c r="G2" s="512"/>
      <c r="H2" s="49"/>
      <c r="I2" s="120"/>
      <c r="J2" s="38"/>
      <c r="K2" s="120"/>
      <c r="L2" s="120"/>
      <c r="M2" s="120"/>
      <c r="N2" s="120"/>
      <c r="O2" s="120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30" customHeight="1">
      <c r="A3" s="513" t="s">
        <v>101</v>
      </c>
      <c r="B3" s="513"/>
      <c r="C3" s="513"/>
      <c r="D3" s="513"/>
      <c r="E3" s="513"/>
      <c r="F3" s="513"/>
      <c r="G3" s="513"/>
      <c r="H3" s="49"/>
      <c r="I3" s="120"/>
      <c r="J3" s="38"/>
      <c r="K3" s="120"/>
      <c r="L3" s="120"/>
      <c r="M3" s="120"/>
      <c r="N3" s="120"/>
      <c r="O3" s="120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ht="15" customHeight="1" thickBot="1">
      <c r="A4" s="121"/>
      <c r="G4" s="50"/>
      <c r="H4" s="110"/>
      <c r="I4" s="110"/>
      <c r="J4" s="27"/>
      <c r="K4" s="110"/>
      <c r="L4" s="110"/>
      <c r="M4" s="122"/>
      <c r="N4" s="120"/>
      <c r="O4" s="120"/>
      <c r="P4" s="123"/>
      <c r="Q4" s="37"/>
      <c r="R4" s="37"/>
      <c r="S4" s="37"/>
      <c r="T4" s="37"/>
      <c r="U4" s="37"/>
      <c r="V4" s="37"/>
      <c r="W4" s="37"/>
      <c r="X4" s="37"/>
      <c r="Y4" s="37"/>
      <c r="Z4" s="37"/>
    </row>
    <row r="5" spans="2:26" ht="18" customHeight="1" thickBot="1">
      <c r="B5" s="42" t="s">
        <v>96</v>
      </c>
      <c r="C5" s="124">
        <v>0.06</v>
      </c>
      <c r="D5" s="496" t="s">
        <v>95</v>
      </c>
      <c r="E5" s="496"/>
      <c r="F5" s="497"/>
      <c r="G5" s="52"/>
      <c r="H5" s="110"/>
      <c r="I5" s="110"/>
      <c r="J5" s="110"/>
      <c r="K5" s="110"/>
      <c r="L5" s="110"/>
      <c r="M5" s="122"/>
      <c r="N5" s="120"/>
      <c r="O5" s="120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4:26" ht="18.75" customHeight="1" thickBot="1">
      <c r="D6" s="125" t="s">
        <v>56</v>
      </c>
      <c r="E6" s="126" t="s">
        <v>57</v>
      </c>
      <c r="F6" s="125" t="s">
        <v>58</v>
      </c>
      <c r="G6" s="52"/>
      <c r="H6" s="37"/>
      <c r="I6" s="37"/>
      <c r="J6" s="12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4:26" ht="16.5" customHeight="1" thickBot="1">
      <c r="D7" s="128">
        <v>0.6</v>
      </c>
      <c r="E7" s="129">
        <v>0.5</v>
      </c>
      <c r="F7" s="130">
        <v>0.7</v>
      </c>
      <c r="H7" s="58"/>
      <c r="I7" s="131"/>
      <c r="J7" s="132"/>
      <c r="K7" s="38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</row>
    <row r="8" spans="8:26" ht="15.75" customHeight="1" hidden="1" thickBot="1">
      <c r="H8" s="37"/>
      <c r="I8" s="37"/>
      <c r="J8" s="132"/>
      <c r="K8" s="38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2:26" ht="13.5" hidden="1" thickBot="1">
      <c r="B9" s="133" t="s">
        <v>61</v>
      </c>
      <c r="C9" s="134"/>
      <c r="D9" s="135">
        <f>C5*D7</f>
        <v>0.036</v>
      </c>
      <c r="E9" s="135">
        <f>C5*E7</f>
        <v>0.03</v>
      </c>
      <c r="F9" s="43">
        <f>C5*F7</f>
        <v>0.041999999999999996</v>
      </c>
      <c r="H9" s="49"/>
      <c r="I9" s="37"/>
      <c r="J9" s="136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</row>
    <row r="10" spans="8:26" ht="12.75" hidden="1">
      <c r="H10" s="37"/>
      <c r="I10" s="37"/>
      <c r="J10" s="137"/>
      <c r="K10" s="75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</row>
    <row r="11" spans="2:26" ht="15.75" customHeight="1" hidden="1" thickBot="1">
      <c r="B11" s="138"/>
      <c r="C11" s="139" t="s">
        <v>62</v>
      </c>
      <c r="D11" s="140">
        <f>C5-D9</f>
        <v>0.024</v>
      </c>
      <c r="E11" s="140">
        <f>C5-F9</f>
        <v>0.018000000000000002</v>
      </c>
      <c r="F11" s="140">
        <f>C5-E9</f>
        <v>0.03</v>
      </c>
      <c r="H11" s="37"/>
      <c r="I11" s="37"/>
      <c r="J11" s="38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</row>
    <row r="12" spans="2:14" ht="13.5" hidden="1" thickBot="1">
      <c r="B12" s="141"/>
      <c r="C12" s="142" t="s">
        <v>63</v>
      </c>
      <c r="D12" s="143">
        <f>1/D11</f>
        <v>41.666666666666664</v>
      </c>
      <c r="E12" s="143">
        <f>1/F11</f>
        <v>33.333333333333336</v>
      </c>
      <c r="F12" s="144">
        <f>1/E11</f>
        <v>55.55555555555555</v>
      </c>
      <c r="H12" s="39"/>
      <c r="I12" s="41"/>
      <c r="J12" s="145"/>
      <c r="K12" s="41"/>
      <c r="L12" s="41"/>
      <c r="M12" s="41"/>
      <c r="N12" s="41"/>
    </row>
    <row r="13" ht="12.75" hidden="1">
      <c r="H13" s="39"/>
    </row>
    <row r="14" spans="2:10" s="41" customFormat="1" ht="12.75" hidden="1">
      <c r="B14" s="147"/>
      <c r="C14" s="148"/>
      <c r="D14" s="149"/>
      <c r="E14" s="73"/>
      <c r="F14" s="149"/>
      <c r="J14" s="145"/>
    </row>
    <row r="15" spans="2:8" ht="12.75" hidden="1">
      <c r="B15" s="89" t="s">
        <v>65</v>
      </c>
      <c r="C15" s="150"/>
      <c r="D15" s="150"/>
      <c r="E15" s="91">
        <f>ROUND(D7,2)</f>
        <v>0.6</v>
      </c>
      <c r="F15" s="92">
        <f>ROUND(D11,4)</f>
        <v>0.024</v>
      </c>
      <c r="G15" s="93">
        <f>ROUND(D12,0)</f>
        <v>42</v>
      </c>
      <c r="H15" s="39"/>
    </row>
    <row r="16" spans="2:8" ht="12.75" hidden="1">
      <c r="B16" s="94" t="s">
        <v>67</v>
      </c>
      <c r="C16" s="151">
        <f>ROUND(D9,4)</f>
        <v>0.036</v>
      </c>
      <c r="D16" s="151">
        <f>ROUND(C5,4)</f>
        <v>0.06</v>
      </c>
      <c r="E16" s="152">
        <f>ROUND(E7,2)</f>
        <v>0.5</v>
      </c>
      <c r="F16" s="97">
        <f>ROUND(E11,4)</f>
        <v>0.018</v>
      </c>
      <c r="G16" s="98">
        <f>ROUND(E12,0)</f>
        <v>33</v>
      </c>
      <c r="H16" s="39"/>
    </row>
    <row r="17" spans="2:8" ht="12.75" hidden="1">
      <c r="B17" s="94" t="s">
        <v>66</v>
      </c>
      <c r="C17" s="96"/>
      <c r="D17" s="96"/>
      <c r="E17" s="152">
        <f>ROUND(F7,2)</f>
        <v>0.7</v>
      </c>
      <c r="F17" s="97">
        <f>ROUND(F11,4)</f>
        <v>0.03</v>
      </c>
      <c r="G17" s="98">
        <f>ROUND(F12,0)</f>
        <v>56</v>
      </c>
      <c r="H17" s="39"/>
    </row>
    <row r="18" spans="2:8" ht="12.75" hidden="1">
      <c r="B18" s="94" t="s">
        <v>68</v>
      </c>
      <c r="C18" s="100" t="s">
        <v>85</v>
      </c>
      <c r="D18" s="100" t="s">
        <v>86</v>
      </c>
      <c r="E18" s="153" t="s">
        <v>69</v>
      </c>
      <c r="F18" s="153" t="s">
        <v>70</v>
      </c>
      <c r="G18" s="100" t="s">
        <v>63</v>
      </c>
      <c r="H18" s="39"/>
    </row>
    <row r="19" spans="2:8" ht="12.75" hidden="1">
      <c r="B19" s="102" t="s">
        <v>24</v>
      </c>
      <c r="C19" s="100" t="str">
        <f>CONCATENATE(C16*100,B18)</f>
        <v>3,6%</v>
      </c>
      <c r="D19" s="100" t="str">
        <f>CONCATENATE(D16*100,B18)</f>
        <v>6%</v>
      </c>
      <c r="E19" s="100" t="str">
        <f>CONCATENATE(E15," ",B15,E16,B16,E17,B17)</f>
        <v>0,6 (0,5-0,7)</v>
      </c>
      <c r="F19" s="100" t="str">
        <f>CONCATENATE(F15*100,B18," ",B15,F16*100,B18," ",B19," ",F17*100,B18,B17)</f>
        <v>2,4% (1,8% a 3%)</v>
      </c>
      <c r="G19" s="100" t="str">
        <f>CONCATENATE(G15," ",B15,G16," ",B19," ",G17,B17)</f>
        <v>42 (33 a 56)</v>
      </c>
      <c r="H19" s="39"/>
    </row>
    <row r="20" spans="2:10" s="41" customFormat="1" ht="12.75" hidden="1">
      <c r="B20" s="37"/>
      <c r="C20" s="38"/>
      <c r="D20" s="38"/>
      <c r="E20" s="38"/>
      <c r="F20" s="38"/>
      <c r="G20" s="38"/>
      <c r="J20" s="145"/>
    </row>
    <row r="21" ht="13.5" thickBot="1">
      <c r="H21" s="39"/>
    </row>
    <row r="22" spans="3:12" ht="15.75" customHeight="1">
      <c r="C22" s="154" t="s">
        <v>85</v>
      </c>
      <c r="D22" s="155" t="s">
        <v>86</v>
      </c>
      <c r="E22" s="155" t="s">
        <v>69</v>
      </c>
      <c r="F22" s="155" t="s">
        <v>62</v>
      </c>
      <c r="G22" s="156" t="s">
        <v>63</v>
      </c>
      <c r="I22" s="41"/>
      <c r="J22" s="145"/>
      <c r="K22" s="41"/>
      <c r="L22" s="41"/>
    </row>
    <row r="23" spans="3:12" ht="18.75" customHeight="1" thickBot="1">
      <c r="C23" s="157" t="str">
        <f>C19</f>
        <v>3,6%</v>
      </c>
      <c r="D23" s="158" t="str">
        <f>D19</f>
        <v>6%</v>
      </c>
      <c r="E23" s="158" t="str">
        <f>E19</f>
        <v>0,6 (0,5-0,7)</v>
      </c>
      <c r="F23" s="158" t="str">
        <f>F19</f>
        <v>2,4% (1,8% a 3%)</v>
      </c>
      <c r="G23" s="159" t="str">
        <f>G19</f>
        <v>42 (33 a 56)</v>
      </c>
      <c r="I23" s="41"/>
      <c r="J23" s="160"/>
      <c r="K23" s="161"/>
      <c r="L23" s="41"/>
    </row>
    <row r="24" spans="6:12" ht="12.75">
      <c r="F24" s="41"/>
      <c r="G24" s="41"/>
      <c r="I24" s="41"/>
      <c r="J24" s="145"/>
      <c r="K24" s="41"/>
      <c r="L24" s="41"/>
    </row>
    <row r="25" spans="2:12" ht="45" customHeight="1">
      <c r="B25" s="523" t="s">
        <v>89</v>
      </c>
      <c r="C25" s="524"/>
      <c r="D25" s="162" t="s">
        <v>84</v>
      </c>
      <c r="E25" s="162" t="s">
        <v>0</v>
      </c>
      <c r="F25" s="162" t="s">
        <v>1</v>
      </c>
      <c r="I25" s="41"/>
      <c r="J25" s="145"/>
      <c r="K25" s="161"/>
      <c r="L25" s="41"/>
    </row>
    <row r="26" spans="2:12" ht="15.75">
      <c r="B26" s="516" t="s">
        <v>88</v>
      </c>
      <c r="C26" s="517"/>
      <c r="D26" s="31">
        <f>D12</f>
        <v>41.666666666666664</v>
      </c>
      <c r="E26" s="31">
        <f>E12</f>
        <v>33.333333333333336</v>
      </c>
      <c r="F26" s="31">
        <f>F12</f>
        <v>55.55555555555555</v>
      </c>
      <c r="G26" s="41"/>
      <c r="I26" s="41"/>
      <c r="J26" s="145"/>
      <c r="K26" s="161"/>
      <c r="L26" s="41"/>
    </row>
    <row r="27" spans="2:12" ht="15.75" customHeight="1">
      <c r="B27" s="514" t="s">
        <v>91</v>
      </c>
      <c r="C27" s="514"/>
      <c r="D27" s="112">
        <f>(1-C5)*D12</f>
        <v>39.166666666666664</v>
      </c>
      <c r="E27" s="112">
        <f>(1-C5)*E12</f>
        <v>31.333333333333332</v>
      </c>
      <c r="F27" s="112">
        <f>(1-C5)*F12</f>
        <v>52.222222222222214</v>
      </c>
      <c r="G27" s="41"/>
      <c r="I27" s="41"/>
      <c r="J27" s="145"/>
      <c r="K27" s="41"/>
      <c r="L27" s="41"/>
    </row>
    <row r="28" spans="2:8" ht="15.75" customHeight="1">
      <c r="B28" s="518" t="s">
        <v>92</v>
      </c>
      <c r="C28" s="518"/>
      <c r="D28" s="115">
        <f>D12*D11</f>
        <v>1</v>
      </c>
      <c r="E28" s="115">
        <f>E12*F11</f>
        <v>1</v>
      </c>
      <c r="F28" s="115">
        <f>F12*E11</f>
        <v>1</v>
      </c>
      <c r="H28" s="39"/>
    </row>
    <row r="29" spans="2:8" ht="15.75" customHeight="1">
      <c r="B29" s="515" t="s">
        <v>94</v>
      </c>
      <c r="C29" s="515"/>
      <c r="D29" s="116">
        <f>(C5-D11)*D12</f>
        <v>1.4999999999999998</v>
      </c>
      <c r="E29" s="116">
        <f>(C5-F11)*E12</f>
        <v>1</v>
      </c>
      <c r="F29" s="116">
        <f>(C5-E11)*F12</f>
        <v>2.333333333333333</v>
      </c>
      <c r="H29" s="39"/>
    </row>
    <row r="30" spans="2:8" ht="12.75">
      <c r="B30" s="37"/>
      <c r="C30" s="148"/>
      <c r="D30" s="73"/>
      <c r="E30" s="73"/>
      <c r="F30" s="73"/>
      <c r="H30" s="39"/>
    </row>
    <row r="31" spans="2:6" ht="42.75" customHeight="1">
      <c r="B31" s="519" t="s">
        <v>90</v>
      </c>
      <c r="C31" s="520"/>
      <c r="D31" s="106" t="s">
        <v>84</v>
      </c>
      <c r="E31" s="107" t="s">
        <v>0</v>
      </c>
      <c r="F31" s="107" t="s">
        <v>1</v>
      </c>
    </row>
    <row r="32" spans="2:6" ht="15.75">
      <c r="B32" s="521" t="s">
        <v>87</v>
      </c>
      <c r="C32" s="522"/>
      <c r="D32" s="163">
        <f>D12</f>
        <v>41.666666666666664</v>
      </c>
      <c r="E32" s="163">
        <f>E12</f>
        <v>33.333333333333336</v>
      </c>
      <c r="F32" s="164">
        <f>F12</f>
        <v>55.55555555555555</v>
      </c>
    </row>
    <row r="33" spans="2:10" s="113" customFormat="1" ht="15.75" customHeight="1">
      <c r="B33" s="514" t="s">
        <v>91</v>
      </c>
      <c r="C33" s="514"/>
      <c r="D33" s="112">
        <f>ABS((1-(C5-D11))*D12)</f>
        <v>40.166666666666664</v>
      </c>
      <c r="E33" s="112">
        <f>ABS((1-(C5-F11))*E12)</f>
        <v>32.333333333333336</v>
      </c>
      <c r="F33" s="112">
        <f>ABS((1-(C5-E11))*F12)</f>
        <v>53.222222222222214</v>
      </c>
      <c r="H33" s="114"/>
      <c r="J33" s="165"/>
    </row>
    <row r="34" spans="2:10" s="114" customFormat="1" ht="15.75" customHeight="1">
      <c r="B34" s="490" t="s">
        <v>93</v>
      </c>
      <c r="C34" s="490"/>
      <c r="D34" s="119">
        <f>D12*D11</f>
        <v>1</v>
      </c>
      <c r="E34" s="119">
        <f>E12*F11</f>
        <v>1</v>
      </c>
      <c r="F34" s="119">
        <f>F12*E11</f>
        <v>1</v>
      </c>
      <c r="G34" s="113"/>
      <c r="I34" s="113"/>
      <c r="J34" s="165"/>
    </row>
    <row r="35" spans="2:10" s="113" customFormat="1" ht="15.75" customHeight="1">
      <c r="B35" s="515" t="s">
        <v>94</v>
      </c>
      <c r="C35" s="515"/>
      <c r="D35" s="116">
        <f>ABS(C5*D12)</f>
        <v>2.4999999999999996</v>
      </c>
      <c r="E35" s="116">
        <f>ABS(C5*E12)</f>
        <v>2</v>
      </c>
      <c r="F35" s="116">
        <f>ABS(C5*F12)</f>
        <v>3.333333333333333</v>
      </c>
      <c r="H35" s="114"/>
      <c r="J35" s="165"/>
    </row>
    <row r="48" ht="12.75" customHeight="1"/>
    <row r="49" ht="24.75" customHeight="1"/>
    <row r="50" ht="27" customHeight="1"/>
    <row r="77" ht="12.75" customHeight="1"/>
    <row r="78" ht="38.25" customHeight="1"/>
  </sheetData>
  <sheetProtection/>
  <mergeCells count="13">
    <mergeCell ref="B34:C34"/>
    <mergeCell ref="B35:C35"/>
    <mergeCell ref="B31:C31"/>
    <mergeCell ref="B32:C32"/>
    <mergeCell ref="B25:C25"/>
    <mergeCell ref="D5:F5"/>
    <mergeCell ref="A2:G2"/>
    <mergeCell ref="A3:G3"/>
    <mergeCell ref="B33:C33"/>
    <mergeCell ref="B29:C29"/>
    <mergeCell ref="B26:C26"/>
    <mergeCell ref="B27:C27"/>
    <mergeCell ref="B28:C28"/>
  </mergeCells>
  <printOptions/>
  <pageMargins left="0.17" right="0.16" top="0.04" bottom="0.06" header="0" footer="0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gasanchez</dc:creator>
  <cp:keywords/>
  <dc:description/>
  <cp:lastModifiedBy>Galo</cp:lastModifiedBy>
  <cp:lastPrinted>2012-09-13T11:35:59Z</cp:lastPrinted>
  <dcterms:created xsi:type="dcterms:W3CDTF">2009-05-28T14:19:22Z</dcterms:created>
  <dcterms:modified xsi:type="dcterms:W3CDTF">2020-03-30T10:55:00Z</dcterms:modified>
  <cp:category/>
  <cp:version/>
  <cp:contentType/>
  <cp:contentStatus/>
</cp:coreProperties>
</file>