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955" tabRatio="708" activeTab="1"/>
  </bookViews>
  <sheets>
    <sheet name="CAPITA Holanda" sheetId="1" r:id="rId1"/>
    <sheet name="CAPITA España" sheetId="2" r:id="rId2"/>
    <sheet name="Buscadas" sheetId="3" r:id="rId3"/>
    <sheet name="Epidem" sheetId="4" r:id="rId4"/>
    <sheet name="Size" sheetId="5" r:id="rId5"/>
    <sheet name="Hoja Usuario" sheetId="6" r:id="rId6"/>
  </sheets>
  <definedNames>
    <definedName name="_ftn1" localSheetId="3">'Epidem'!#REF!</definedName>
    <definedName name="_ftn2" localSheetId="3">'Epidem'!#REF!</definedName>
    <definedName name="ArticleComments" localSheetId="0">'CAPITA Holanda'!#REF!</definedName>
  </definedNames>
  <calcPr fullCalcOnLoad="1"/>
</workbook>
</file>

<file path=xl/sharedStrings.xml><?xml version="1.0" encoding="utf-8"?>
<sst xmlns="http://schemas.openxmlformats.org/spreadsheetml/2006/main" count="489" uniqueCount="376">
  <si>
    <t>Límite inferior del IC</t>
  </si>
  <si>
    <t>Límite superior del IC</t>
  </si>
  <si>
    <t>Sin eventos</t>
  </si>
  <si>
    <t>Con eventos</t>
  </si>
  <si>
    <t>Nº con evento</t>
  </si>
  <si>
    <t>EE (ln RR) = Raíz [b / a(a+b)]+[d/ c(c+d)]</t>
  </si>
  <si>
    <t>RR</t>
  </si>
  <si>
    <t>Z α/2 (0,05)</t>
  </si>
  <si>
    <t>pM = proporción "media" de los eventos = nº total eventos / nº suma de ambos grupos; qM= complementario</t>
  </si>
  <si>
    <t>Los límites del intervalos de confianza son los exponentes neperianos o antilogaritmos de la ecuación [ ln RR +- Z α/2 x EE (ln RR) ]</t>
  </si>
  <si>
    <t>C= 2(n+z^2)</t>
  </si>
  <si>
    <t>IC = (A+-B)/C</t>
  </si>
  <si>
    <t>A= 2*eventos + z^2</t>
  </si>
  <si>
    <t>p (proporción) = eventos / n</t>
  </si>
  <si>
    <t>Operar</t>
  </si>
  <si>
    <t>Primero se procede haciendo los IC de ambas proporciones por el método de Wilson, y después se aplica: IC = RAR - Raíz [(p1-Ls1)^2 + (Li2-p2)^2]  hasta RAR + Raíz [(p2-Ls2)^2 + (Li1-p1)^2]</t>
  </si>
  <si>
    <t xml:space="preserve">Mét. Newcombe, 1988 </t>
  </si>
  <si>
    <t>A continuación, se aplica: IC = RAR - Raíz [(p1-Li1)^2 + (Ls2-p2)^2]  hasta RAR + Raíz [(p2-Li2)^2 + (Ls1-p1)^2], cuidando colocar arriba la proporción mayor y abajo la menor</t>
  </si>
  <si>
    <t xml:space="preserve">EE (ln RR)= error estándar del logaritmo neperiano de RR = Raíz [b/ a(a+b)]+[d / c(c+d)] </t>
  </si>
  <si>
    <t>n = nº de los que hay en cada grupo (ojo, no de la suma de ambos)</t>
  </si>
  <si>
    <t>d = diferencia de proporciones de ambos grupos o RAR</t>
  </si>
  <si>
    <t>probabliidad o riesgo de cometer un error β =&gt; probabilidad de no detectar una diferencia que sí exista.</t>
  </si>
  <si>
    <t>1 -β = potencia estadística resultante =&gt; probab de detectar una diferencia entre ambos, en caso de que exista</t>
  </si>
  <si>
    <t>Expuestos</t>
  </si>
  <si>
    <t>No expuestos</t>
  </si>
  <si>
    <t>ln de límite superior</t>
  </si>
  <si>
    <t>ln de límite inferior</t>
  </si>
  <si>
    <t>a</t>
  </si>
  <si>
    <t>Enferman</t>
  </si>
  <si>
    <t>No enferman</t>
  </si>
  <si>
    <t>Total</t>
  </si>
  <si>
    <t>RAR =</t>
  </si>
  <si>
    <t>NNT =</t>
  </si>
  <si>
    <t>ln RR</t>
  </si>
  <si>
    <t>n (de muestra)</t>
  </si>
  <si>
    <t>Estimación puntual de la proporción</t>
  </si>
  <si>
    <t>Dif Proporc de ambos grupos =  RAR</t>
  </si>
  <si>
    <t xml:space="preserve">EE (Dif Proporc) = Raíz[ pm(1-pm)/n1] + [ pm(1-pm)/n2] = </t>
  </si>
  <si>
    <t>Aunque es mejor calcularlo por ji^2 de Pearson, puede utilizarse una aproximación al cálculo de la "p de la diferencia"</t>
  </si>
  <si>
    <t>Coinciden z^2 de una distribución normal tipificada (=&gt; muestras grandes) con ji^2 con un grado de libertad (EA, pág 254)</t>
  </si>
  <si>
    <t>Cálculo del intervalo de confianza (IC) cada una de las dos proporciones (Riesgo absoluto de la intervención y Riesgo absoluto del control)</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</si>
  <si>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</si>
  <si>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</si>
  <si>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</si>
  <si>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</si>
  <si>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</si>
  <si>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</si>
  <si>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</si>
  <si>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</si>
  <si>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</si>
  <si>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</si>
  <si>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</si>
  <si>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Chi cuadrado de Pearson (un ejemplo de variable cualitativa)</t>
  </si>
  <si>
    <t>Es &lt; 0 =&gt;Acepto Ho =&gt; Homogeneidad o independencia (o tratamiento no eficaz)</t>
  </si>
  <si>
    <t>Es &gt; 0 =&gt;Rechazo Ho =&gt; Heterogenicidad o dependencia (o tratamiento eficaz)</t>
  </si>
  <si>
    <t>χ² cal= Sumat (observado i - esperado i)^2 / esperado i)</t>
  </si>
  <si>
    <t>Permanecerán sanos sin tomar el fármaco</t>
  </si>
  <si>
    <t>Enfermarán incluso tomando el fármaco</t>
  </si>
  <si>
    <t>Z α/2 = Dif Proporc / EE Dif proporc</t>
  </si>
  <si>
    <t>RRR</t>
  </si>
  <si>
    <t>---------------------------------------------&gt;</t>
  </si>
  <si>
    <t>RA intervención</t>
  </si>
  <si>
    <t>RAR (IC 95%)</t>
  </si>
  <si>
    <t>NNT (IC 95%)</t>
  </si>
  <si>
    <t>α = probab de que la diferencia detectada entre ambos sea debida al azar, en caso de que no exista (error alfa)</t>
  </si>
  <si>
    <t>(</t>
  </si>
  <si>
    <t>)</t>
  </si>
  <si>
    <t>-</t>
  </si>
  <si>
    <t>%</t>
  </si>
  <si>
    <t>RR (IC 95%)</t>
  </si>
  <si>
    <t>RAR (IC95%)</t>
  </si>
  <si>
    <t>NNT</t>
  </si>
  <si>
    <t>/</t>
  </si>
  <si>
    <t>RAR</t>
  </si>
  <si>
    <t>potencia</t>
  </si>
  <si>
    <t>Potencia</t>
  </si>
  <si>
    <t>Permanecerán sanos por tomar el fármaco</t>
  </si>
  <si>
    <t>Enfermarán por tomar el fármaco</t>
  </si>
  <si>
    <t>Enfermarán incluso sin tomar el fármaco</t>
  </si>
  <si>
    <t>APLICAR SÓLO SI EL NNT Y SUS IC SON POSITIVOS</t>
  </si>
  <si>
    <t>====&gt;  NNT</t>
  </si>
  <si>
    <t>APLICAR SÓLO SI EL NNT Y SUS IC SON NEGATIVOS</t>
  </si>
  <si>
    <t>====&gt;  NND</t>
  </si>
  <si>
    <t>Permanecerán sanos sin tomar el Mto de Intervención</t>
  </si>
  <si>
    <t>Enfermarán por tomar el Mto de Intervención</t>
  </si>
  <si>
    <t>Enfermarán incluso sin tomar el Mto de Intervención</t>
  </si>
  <si>
    <t>Permanecerán sanos por tomar el Mto de Intervención</t>
  </si>
  <si>
    <t>Enfermarán incluso tomando el Mto de Intervención</t>
  </si>
  <si>
    <t>Cálculo del IC del RAR y del NNT</t>
  </si>
  <si>
    <t>Nº event Interv (%)</t>
  </si>
  <si>
    <t>Nº event Control (%)</t>
  </si>
  <si>
    <t>% RA interv</t>
  </si>
  <si>
    <t>% RA control</t>
  </si>
  <si>
    <t>Estimación puntual</t>
  </si>
  <si>
    <t xml:space="preserve">% RA control = </t>
  </si>
  <si>
    <t>RR (IC 95%) obtenido en el metaanálisis</t>
  </si>
  <si>
    <t>Cálculo de RAR y NNT a partir del RR del metaanálisis y del % RA en el grupo control</t>
  </si>
  <si>
    <r>
      <t>p</t>
    </r>
    <r>
      <rPr>
        <sz val="10"/>
        <color indexed="12"/>
        <rFont val="Calibri"/>
        <family val="2"/>
      </rPr>
      <t xml:space="preserve"> = eventos / n</t>
    </r>
  </si>
  <si>
    <r>
      <t xml:space="preserve">B= z * Raíz [z^2 + 4*eventos (1 - </t>
    </r>
    <r>
      <rPr>
        <i/>
        <sz val="10"/>
        <color indexed="12"/>
        <rFont val="Calibri"/>
        <family val="2"/>
      </rPr>
      <t>p</t>
    </r>
    <r>
      <rPr>
        <sz val="10"/>
        <color indexed="12"/>
        <rFont val="Calibri"/>
        <family val="2"/>
      </rPr>
      <t xml:space="preserve">)] </t>
    </r>
  </si>
  <si>
    <r>
      <t>Zβ = [Raíz (nd^2 /2</t>
    </r>
    <r>
      <rPr>
        <i/>
        <sz val="10"/>
        <rFont val="Calibri"/>
        <family val="2"/>
      </rPr>
      <t>pM</t>
    </r>
    <r>
      <rPr>
        <sz val="10"/>
        <rFont val="Calibri"/>
        <family val="2"/>
      </rPr>
      <t>*</t>
    </r>
    <r>
      <rPr>
        <i/>
        <sz val="10"/>
        <rFont val="Calibri"/>
        <family val="2"/>
      </rPr>
      <t>qM</t>
    </r>
    <r>
      <rPr>
        <sz val="10"/>
        <rFont val="Calibri"/>
        <family val="2"/>
      </rPr>
      <t>)] - Z α/2 (0,05)</t>
    </r>
  </si>
  <si>
    <r>
      <t>Ls1:</t>
    </r>
    <r>
      <rPr>
        <sz val="10"/>
        <color indexed="12"/>
        <rFont val="Calibri"/>
        <family val="2"/>
      </rPr>
      <t xml:space="preserve"> límite superior del grupo 1; </t>
    </r>
    <r>
      <rPr>
        <b/>
        <sz val="10"/>
        <color indexed="12"/>
        <rFont val="Calibri"/>
        <family val="2"/>
      </rPr>
      <t xml:space="preserve">Li2: </t>
    </r>
    <r>
      <rPr>
        <sz val="10"/>
        <color indexed="12"/>
        <rFont val="Calibri"/>
        <family val="2"/>
      </rPr>
      <t>límite inferior del grupo 2</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</si>
  <si>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</si>
  <si>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</si>
  <si>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t>De 45 a 64 años</t>
  </si>
  <si>
    <t>&gt; 65 años</t>
  </si>
  <si>
    <t>De 0 a 4 años</t>
  </si>
  <si>
    <t>De 5 a 44 años</t>
  </si>
  <si>
    <t>0,03% (0% a 0,05%)</t>
  </si>
  <si>
    <t>Nº de personas con evento</t>
  </si>
  <si>
    <t>Nº personas sin evento</t>
  </si>
  <si>
    <t>Mto de Intervención</t>
  </si>
  <si>
    <t>Mto de control</t>
  </si>
  <si>
    <t>Mét.Wilson</t>
  </si>
  <si>
    <t>1-α = probabilidad dar por buena una diferencia que no existe.</t>
  </si>
  <si>
    <t xml:space="preserve">CÁLCULOS POR INCIDENCIAS ACUMULADAS EN </t>
  </si>
  <si>
    <t>AÑOS</t>
  </si>
  <si>
    <t>Efectividad = RRR (IC 95%)</t>
  </si>
  <si>
    <r>
      <t>Cálculo de la potencia estadística</t>
    </r>
    <r>
      <rPr>
        <sz val="10"/>
        <rFont val="Calibri"/>
        <family val="2"/>
      </rPr>
      <t>: Zβ = [Raíz (nd^2 /2pm*qm)] - Z α/2 (0,05)</t>
    </r>
  </si>
  <si>
    <r>
      <t xml:space="preserve">Cálculo de la </t>
    </r>
    <r>
      <rPr>
        <b/>
        <i/>
        <sz val="10"/>
        <rFont val="Calibri"/>
        <family val="2"/>
      </rPr>
      <t>p</t>
    </r>
    <r>
      <rPr>
        <b/>
        <sz val="10"/>
        <rFont val="Calibri"/>
        <family val="2"/>
      </rPr>
      <t>:</t>
    </r>
    <r>
      <rPr>
        <sz val="10"/>
        <rFont val="Calibri"/>
        <family val="2"/>
      </rPr>
      <t xml:space="preserve"> Z α/2 = Dif Proporc / EE (Difer Proporc)</t>
    </r>
  </si>
  <si>
    <t>0,52 (0,34-0,78)</t>
  </si>
  <si>
    <t>ENI de serotipos 13vPnC</t>
  </si>
  <si>
    <t>8/42237 (0,0189%)</t>
  </si>
  <si>
    <t>33/42255 (0,0781%)</t>
  </si>
  <si>
    <t>0,24 (0,11-0,52)</t>
  </si>
  <si>
    <t>0,0592% (0,0262% a 0,0882%)</t>
  </si>
  <si>
    <t>1690 (1133 a 3810)</t>
  </si>
  <si>
    <t>ENI de cualquier serotipo</t>
  </si>
  <si>
    <t>34/42237 (0,0805%)</t>
  </si>
  <si>
    <t>66/42255 (0,1562%)</t>
  </si>
  <si>
    <t>0,0757% (0,0275% a 0,1219%)</t>
  </si>
  <si>
    <t>1321 (820 a 3641)</t>
  </si>
  <si>
    <t>20150319-ECA CAPITA +65y naive, 13vPnC vs plac, -NACser -NACnoSer -ENI. Bonten</t>
  </si>
  <si>
    <t>Bonten MJ, Huijts SM, Bolkenbaas M, Webber C et al. Polysaccharide conjugate vaccine against pneumococcal pneumonia in adults. N Engl J Med. 2015 Mar 19;372(12):1114-25.</t>
  </si>
  <si>
    <t>135/42237 (0,3196%)</t>
  </si>
  <si>
    <t>174/42255 (0,4118%)</t>
  </si>
  <si>
    <t>0,78 (0,62-0,97)</t>
  </si>
  <si>
    <t>0,0922% (0,0099% a 0,1737%)</t>
  </si>
  <si>
    <t>1085 (576 a 10125)</t>
  </si>
  <si>
    <t>NAC por neumococo de cualquier serotipo totales, no bacteriémicas ni invasivas</t>
  </si>
  <si>
    <t>NAC por neumococo de cualquier serotipo, totales (bacteriémica + no bacteriémica)</t>
  </si>
  <si>
    <t>90/42237 (0,2131%)</t>
  </si>
  <si>
    <t>109/42255 (0,258%)</t>
  </si>
  <si>
    <t>0,83 (0,63-1,09)</t>
  </si>
  <si>
    <t>0,0449% (-0,0214% a 0,1106%)</t>
  </si>
  <si>
    <t>2228 (904 a -4671)</t>
  </si>
  <si>
    <t>Mort por NAC neumocócica o ENI de cualquier serotipo</t>
  </si>
  <si>
    <t>6/42237 (0,0142%)</t>
  </si>
  <si>
    <t>7/42255 (0,0166%)</t>
  </si>
  <si>
    <t>0,86 (0,29-2,55)</t>
  </si>
  <si>
    <t>0,0024% (-0,0169% a 0,0212%)</t>
  </si>
  <si>
    <t>42363 (4718 a -5926)</t>
  </si>
  <si>
    <t>45/42237 (0,1065%)</t>
  </si>
  <si>
    <t>65/42255 (0,1538%)</t>
  </si>
  <si>
    <t>0,69 (0,47-1,01)</t>
  </si>
  <si>
    <t>0,0473% (-0,0027% a 0,0962%)</t>
  </si>
  <si>
    <t>2115 (1040 a -36567)</t>
  </si>
  <si>
    <t>NAC por neumococo de cualquier serotipo totales, bacteriémicas</t>
  </si>
  <si>
    <t>Mort por NAC neumocócica o ENI de serotpos 13vPnC</t>
  </si>
  <si>
    <t>2/42237 (0,0047%)</t>
  </si>
  <si>
    <t>2/42255 (0,0047%)</t>
  </si>
  <si>
    <t>1 (0,14-7,1)</t>
  </si>
  <si>
    <t>0% (-0,013% a 0,013%)</t>
  </si>
  <si>
    <t>-49575679 (7698 a -7698)</t>
  </si>
  <si>
    <t>NAC por neumococo de serotipos 13vPnC, bacteriémicas</t>
  </si>
  <si>
    <t>NAC por neumococo de serotipos 13vPnC, no bacteriémicas ni invasivas</t>
  </si>
  <si>
    <t>66/42237 (0,1563%)</t>
  </si>
  <si>
    <t>106/42255 (0,2509%)</t>
  </si>
  <si>
    <t>0,62 (0,46-0,85)</t>
  </si>
  <si>
    <t>0,0946% (0,0324% a 0,1553%)</t>
  </si>
  <si>
    <t>1057 (644 a 3084)</t>
  </si>
  <si>
    <t>33/42237 (0,0781%)</t>
  </si>
  <si>
    <t>60/42255 (0,142%)</t>
  </si>
  <si>
    <t>0,55 (0,36-0,84)</t>
  </si>
  <si>
    <t>0,0639% (0,0173% a 0,1086%)</t>
  </si>
  <si>
    <t>1566 (921 a 5764)</t>
  </si>
  <si>
    <t>46/42255 (0,1089%)</t>
  </si>
  <si>
    <t>0,72 (0,46-1,12)</t>
  </si>
  <si>
    <t>0,0307% (-0,012% a 0,0724%)</t>
  </si>
  <si>
    <t>3254 (1381 a -8354)</t>
  </si>
  <si>
    <t>747/42237 (1,7686%)</t>
  </si>
  <si>
    <t>787/42255 (1,8625%)</t>
  </si>
  <si>
    <t>0,95 (0,86-1,05)</t>
  </si>
  <si>
    <t>0,0939% (-0,0864% a 0,2741%)</t>
  </si>
  <si>
    <t>1065 (365 a -1157)</t>
  </si>
  <si>
    <t>Límite inferior del IC 95%</t>
  </si>
  <si>
    <t>Límite superior del IC 95%</t>
  </si>
  <si>
    <t>Vacuna 13vPnC</t>
  </si>
  <si>
    <t>Placebo</t>
  </si>
  <si>
    <t>3464 (2005 a 25401)</t>
  </si>
  <si>
    <t>Muertes</t>
  </si>
  <si>
    <t>3006/42237 (7,117%)</t>
  </si>
  <si>
    <t>3005/42255 (7,1116%)</t>
  </si>
  <si>
    <t>1 (0,95-1,05)</t>
  </si>
  <si>
    <t>-0,0054% (-0,3521% a 0,3413%)</t>
  </si>
  <si>
    <t>-18524 (293 a -284)</t>
  </si>
  <si>
    <r>
      <rPr>
        <b/>
        <sz val="10"/>
        <color indexed="12"/>
        <rFont val="Calibri"/>
        <family val="2"/>
      </rPr>
      <t>(#)</t>
    </r>
    <r>
      <rPr>
        <sz val="10"/>
        <rFont val="Calibri"/>
        <family val="2"/>
      </rPr>
      <t xml:space="preserve"> Bonten MJ, Huijts SM, Bolkenbaas M, Webber C et al. Polysaccharide conjugate vaccine against pneumococcal pneumonia in adults. N Engl J Med. 2015 Mar 19;372(12):1114-25.</t>
    </r>
  </si>
  <si>
    <t>0% (0% a 0%)</t>
  </si>
  <si>
    <t>0% (-0,22% a 0,2%)</t>
  </si>
  <si>
    <t>-30929 (501 a -463)</t>
  </si>
  <si>
    <t>Tramos de edad</t>
  </si>
  <si>
    <r>
      <rPr>
        <b/>
        <sz val="9"/>
        <color indexed="12"/>
        <rFont val="Calibri"/>
        <family val="2"/>
      </rPr>
      <t xml:space="preserve">(*) </t>
    </r>
    <r>
      <rPr>
        <sz val="9"/>
        <rFont val="Calibri"/>
        <family val="2"/>
      </rPr>
      <t>Informe anual del Sistema de Información Microbiológica, 2013. Centro Nacional de Epidemiología. Instituto de Salud Carlos III.</t>
    </r>
    <r>
      <rPr>
        <b/>
        <sz val="9"/>
        <color indexed="12"/>
        <rFont val="Calibri"/>
        <family val="2"/>
      </rPr>
      <t xml:space="preserve"> </t>
    </r>
    <r>
      <rPr>
        <sz val="9"/>
        <rFont val="Calibri"/>
        <family val="2"/>
      </rPr>
      <t>Disponible en http://www.isciii.es/ISCIII/es/contenidos/fd-servicios-cientifico-tecnicos/fd-vigilancias-alertas/fd-sistema-informacion-microbiologica/informes-generales.shtml [Consultado 9-nov-2014].</t>
    </r>
  </si>
  <si>
    <r>
      <rPr>
        <b/>
        <sz val="9"/>
        <color indexed="12"/>
        <rFont val="Calibri"/>
        <family val="2"/>
      </rPr>
      <t>(**)</t>
    </r>
    <r>
      <rPr>
        <sz val="9"/>
        <rFont val="Calibri"/>
        <family val="2"/>
      </rPr>
      <t xml:space="preserve"> Hospitalizaciones y Defunciones basados en los registros poblacionales oficiales del “Conjunto Mínimo Básico de Datos (CMBD)” hospitalarios y de las “Defunciones por Causas de Muerte”, ambos del Ministerio de Sanidad, Servicios Sociales e Igualdad. Portal estadístico del Sistema Nacional de Salud. Disponible en: http://pestadistico.inteligenciadegestion.msssi.es/publicoSNS/comun/DefaultPublico.aspx [Consultado 10-junio-2015]</t>
    </r>
  </si>
  <si>
    <t>351992 (70465 a -32331)</t>
  </si>
  <si>
    <r>
      <t xml:space="preserve">0,002% </t>
    </r>
    <r>
      <rPr>
        <b/>
        <sz val="10"/>
        <color indexed="12"/>
        <rFont val="Calibri"/>
        <family val="2"/>
      </rPr>
      <t>(**)</t>
    </r>
  </si>
  <si>
    <r>
      <t xml:space="preserve">RR (IC 95%) </t>
    </r>
    <r>
      <rPr>
        <b/>
        <sz val="10"/>
        <color indexed="12"/>
        <rFont val="Calibri"/>
        <family val="2"/>
      </rPr>
      <t>(#)</t>
    </r>
  </si>
  <si>
    <t>Medidas del efecto POR AÑO calculadas a partir de los RR obtenidos en el estudio CAPITA.</t>
  </si>
  <si>
    <t>Mortalidad por cualquier causa estimada en España</t>
  </si>
  <si>
    <t xml:space="preserve">Riesgo basal </t>
  </si>
  <si>
    <t>Nº de primeros eventos (%)</t>
  </si>
  <si>
    <t>NAC por cualquier microorganismo</t>
  </si>
  <si>
    <t>327/42237 (0,7742%)</t>
  </si>
  <si>
    <t>314/42255 (0,7431%)</t>
  </si>
  <si>
    <t>1,04 (0,89-1,22)</t>
  </si>
  <si>
    <t>-3216 (1158 a -674)</t>
  </si>
  <si>
    <t>Efectos adversos graves en los 6 meses consecutivos a la vacunación</t>
  </si>
  <si>
    <t>Efectos adversos graves en los 2 meses consecutivos a la vacunación</t>
  </si>
  <si>
    <t>70/1006 (6,9583%)</t>
  </si>
  <si>
    <t>60/1005 (5,9701%)</t>
  </si>
  <si>
    <t>1,17 (0,83-1,63)</t>
  </si>
  <si>
    <t>-101 (84 a -32)</t>
  </si>
  <si>
    <r>
      <rPr>
        <b/>
        <sz val="12"/>
        <color indexed="60"/>
        <rFont val="Calibri"/>
        <family val="2"/>
      </rPr>
      <t>Tabla 2:</t>
    </r>
    <r>
      <rPr>
        <b/>
        <sz val="12"/>
        <rFont val="Calibri"/>
        <family val="2"/>
      </rPr>
      <t xml:space="preserve"> Variables de eficacia y seguridad asociadas a la vacuna neumocócica 13 valente (13vPnC) en personas mayores de 65 años [con 72,8 años (DE 5,7)] en Holanda. </t>
    </r>
  </si>
  <si>
    <t>% casos/AÑO esperables en la población &gt; 65 años de España</t>
  </si>
  <si>
    <t>¿Qué evalúa?</t>
  </si>
  <si>
    <t>Puntuación ordinal de importancia (*)</t>
  </si>
  <si>
    <t>Variables de resultados en salud buscadas al pretender prevenir con una vacuna la enfermedad neumocócica invasiva y la neumonía neumocócica</t>
  </si>
  <si>
    <t>Cuál es el porcentaje de riesgo basal por año sin tratamiento</t>
  </si>
  <si>
    <t>Cuál es el porcentaje de riesgo por año tras el tratamiento</t>
  </si>
  <si>
    <t>Disminución y aumento del riesgo basal</t>
  </si>
  <si>
    <t>Mortalidad por todas las causas</t>
  </si>
  <si>
    <t>Disminución del riesgo basal</t>
  </si>
  <si>
    <t>Mortalidad por enfermedad neumocócica invasiva</t>
  </si>
  <si>
    <t>Incidencia de enfermedad neumocócica invasiva</t>
  </si>
  <si>
    <t>Secuelas discapacitantes por enfermedad neumocócica invasiva</t>
  </si>
  <si>
    <t>Secuelas graves pero no dispacacitantes por enfermedad neumocócica invasiva</t>
  </si>
  <si>
    <t>Mortalidad por neumonía neumocócica</t>
  </si>
  <si>
    <t>Incidencia de neumonía neumocócica que necesita hospitalización</t>
  </si>
  <si>
    <t>Incidencia de neumonía neumocócica que NO necesita hospitalización</t>
  </si>
  <si>
    <t>Aumento del riesgo basal</t>
  </si>
  <si>
    <t>Shock anafiláctico</t>
  </si>
  <si>
    <t>Angioedema, cianosis, convulsiones, discinesia</t>
  </si>
  <si>
    <t>(*) Puntuación 7, 8 y 9 (riesgos graves): críticos para tomar la decisión; 4, 5 y 6 (riesgos moderados): importantes pero no críticos para tomar la decisión; 1, 2 y 3 (riesgos leves): no importantes para tomar la decisión.</t>
  </si>
  <si>
    <t>RAR (IC 95%) en 4 años</t>
  </si>
  <si>
    <t>NNT (IC 95%) en 4 años</t>
  </si>
  <si>
    <t>NNT (IC 95%) POR AÑO</t>
  </si>
  <si>
    <t>Estudio CAPITA, media de seguimiento 4 años</t>
  </si>
  <si>
    <t xml:space="preserve"> Medidas del efecto por incidencias acumuladas durante 4 años</t>
  </si>
  <si>
    <t>6760 (4532 a 15240)</t>
  </si>
  <si>
    <t>5284 (3280 a 14564</t>
  </si>
  <si>
    <t>4228 (2576 a 12336)</t>
  </si>
  <si>
    <t>6264 (3684 a 23056)</t>
  </si>
  <si>
    <t>13016(6524 a -33416)</t>
  </si>
  <si>
    <t>4340 (2304 a 40500)</t>
  </si>
  <si>
    <t>8912 (3616 a -18684)</t>
  </si>
  <si>
    <t>8640 (4160 a -146268)</t>
  </si>
  <si>
    <t>4260 (1460 a 4628)</t>
  </si>
  <si>
    <t xml:space="preserve"> -200 millón (30792 a -30792)</t>
  </si>
  <si>
    <t>169452 (18872 a 23704)</t>
  </si>
  <si>
    <t>74096 (1172 a -136)</t>
  </si>
  <si>
    <t>404 (84 a -32)</t>
  </si>
  <si>
    <t>12864 (4632 a -2696)</t>
  </si>
  <si>
    <t>866 (501 a 6350)</t>
  </si>
  <si>
    <t>87998 (17616 a -8083)</t>
  </si>
  <si>
    <t>-7732 (123 a 116)</t>
  </si>
  <si>
    <t>RAR (IC 95%) POR AÑO</t>
  </si>
  <si>
    <t>-0,98% (-3,15% a 1,18%)</t>
  </si>
  <si>
    <t>-0,03% (-0,14% a 0,08%)</t>
  </si>
  <si>
    <t>Neumonía neumocócica total (no bacteriémica ni invasiva + bacteriémica o invasiva) de los serotipos 13vPnC</t>
  </si>
  <si>
    <t>0,05% (0,02% a 0,08%)</t>
  </si>
  <si>
    <t>0,07% (0,02% a 0,12%)</t>
  </si>
  <si>
    <t>Neumonía por cualquier microorganismo</t>
  </si>
  <si>
    <t>Muerte por cualquier causa</t>
  </si>
  <si>
    <r>
      <t xml:space="preserve">Neumonía neumocócica total (no bacteriémica ni invasiva + bacteriémica o invasiva) de </t>
    </r>
    <r>
      <rPr>
        <b/>
        <sz val="11"/>
        <rFont val="Calibri"/>
        <family val="2"/>
      </rPr>
      <t>cualquier serotipo</t>
    </r>
  </si>
  <si>
    <r>
      <t xml:space="preserve">Neumonía neumocócica total (no bacteriémica ni invasiva + bacteriémica o invasiva) de los </t>
    </r>
    <r>
      <rPr>
        <b/>
        <sz val="11"/>
        <rFont val="Calibri"/>
        <family val="2"/>
      </rPr>
      <t>serotipos 13vPnC</t>
    </r>
  </si>
  <si>
    <r>
      <t xml:space="preserve">Enfermedad neucomócica invasiva de </t>
    </r>
    <r>
      <rPr>
        <b/>
        <sz val="11"/>
        <rFont val="Calibri"/>
        <family val="2"/>
      </rPr>
      <t>cualquier serotipo</t>
    </r>
  </si>
  <si>
    <r>
      <t xml:space="preserve">Enfermedad neumocócica invasiva de </t>
    </r>
    <r>
      <rPr>
        <b/>
        <sz val="11"/>
        <rFont val="Calibri"/>
        <family val="2"/>
      </rPr>
      <t>serotipos 13vPnC</t>
    </r>
  </si>
  <si>
    <t>0,002% (-0,01% a 0,02%)</t>
  </si>
  <si>
    <t>-0,005% (-0,35 a 0,34%)</t>
  </si>
  <si>
    <t>Aplicación del estudio CAPITA a los riesgos basales por año de España, extrapolable a 4 años</t>
  </si>
  <si>
    <t>Mortalidad por enfermedad neumocócica invasiva y por neumonía neumocócica de cualquier serotipo estimada en España</t>
  </si>
  <si>
    <t>Hospitalización por enfermedad neumocócica invasiva de cualquier serotipo en mayores de 65 años estimada en España</t>
  </si>
  <si>
    <t>Hospitalización por neumonía neumocócica de cualquier serotipo en mayores de 65 años estimada en España</t>
  </si>
  <si>
    <r>
      <t xml:space="preserve">4,25% </t>
    </r>
    <r>
      <rPr>
        <b/>
        <sz val="10"/>
        <color indexed="12"/>
        <rFont val="Calibri"/>
        <family val="2"/>
      </rPr>
      <t>(**)</t>
    </r>
  </si>
  <si>
    <r>
      <t xml:space="preserve">0,13% </t>
    </r>
    <r>
      <rPr>
        <b/>
        <sz val="10"/>
        <color indexed="12"/>
        <rFont val="Calibri"/>
        <family val="2"/>
      </rPr>
      <t>(**)</t>
    </r>
  </si>
  <si>
    <r>
      <t xml:space="preserve">0,012% </t>
    </r>
    <r>
      <rPr>
        <b/>
        <sz val="10"/>
        <color indexed="12"/>
        <rFont val="Calibri"/>
        <family val="2"/>
      </rPr>
      <t>(*)</t>
    </r>
  </si>
  <si>
    <t>0,09% (-0,08% a 0,27%)</t>
  </si>
  <si>
    <t>0,09% (0,03% a 0,15%)</t>
  </si>
  <si>
    <t>0,09% (0,01% a 0,17%)</t>
  </si>
  <si>
    <t>Cálculo del tamaño necesario de la muestra</t>
  </si>
  <si>
    <t>Para un error alfa</t>
  </si>
  <si>
    <t>=&gt; z α/2 =</t>
  </si>
  <si>
    <t>Para un error beta</t>
  </si>
  <si>
    <t>=&gt; zβ =</t>
  </si>
  <si>
    <t>n (cada grupo) =</t>
  </si>
  <si>
    <t>2n (total) =</t>
  </si>
  <si>
    <t>DETERMINACIÓN DEL TAMAÑO DE MUESTRA EN CADA GRUPO DE ESTUDIO PARA LA COMPARACIÓN DE DOS PROPORCIONES.</t>
  </si>
  <si>
    <t xml:space="preserve">Siguendo en mismo razonamiento que antes: </t>
  </si>
  <si>
    <t xml:space="preserve">n = 2pq^2 (z α/2 + zβ)^2 / (pa - pb)^2 </t>
  </si>
  <si>
    <t>La proporción que debe usarse no es ni pA ni pB, sino la llamada porporción media (pM) = pA+pB/2, y así=&gt;</t>
  </si>
  <si>
    <t xml:space="preserve">n = 2pM*qM^2 (z α/2 + zβ)^2 / (pA - pB)^2 </t>
  </si>
  <si>
    <t>CÁLCULO DEL TAMAÑO DE MUESTRA PARA UNA DIFERENCIA DE DOS PROPORCIONES</t>
  </si>
  <si>
    <t>qA</t>
  </si>
  <si>
    <t>% Riesgo esperado en el grupo de control = % Eventos/año x nº años</t>
  </si>
  <si>
    <t>% RA intervención</t>
  </si>
  <si>
    <t>qB</t>
  </si>
  <si>
    <t>% Riesgo esperado en el grupo de intervención = RAi= RAc x RR</t>
  </si>
  <si>
    <t>pM (=proporción Media)</t>
  </si>
  <si>
    <t>qM</t>
  </si>
  <si>
    <t>Según estos cálculos ¿cuándo debería pararse el estudio?</t>
  </si>
  <si>
    <t>Nº eventos esperados en el grupo control</t>
  </si>
  <si>
    <t>Numerador</t>
  </si>
  <si>
    <t>Denominador</t>
  </si>
  <si>
    <t>Suma de los eventos</t>
  </si>
  <si>
    <t>años</t>
  </si>
  <si>
    <t>Seguimiento proyectado mínimo 2 años</t>
  </si>
  <si>
    <t>Nº eventos esperados en el grupo intervención</t>
  </si>
  <si>
    <t>0,0059% (0,0027% a 0,008%)</t>
  </si>
  <si>
    <t>16969 (12476 a 37264)</t>
  </si>
  <si>
    <t>4242 (3118 a 9316)</t>
  </si>
  <si>
    <r>
      <rPr>
        <b/>
        <sz val="13"/>
        <color indexed="60"/>
        <rFont val="Calibri"/>
        <family val="2"/>
      </rPr>
      <t>Tabla 2:</t>
    </r>
    <r>
      <rPr>
        <b/>
        <sz val="13"/>
        <color indexed="60"/>
        <rFont val="Calibri"/>
        <family val="2"/>
      </rPr>
      <t xml:space="preserve"> </t>
    </r>
    <r>
      <rPr>
        <b/>
        <sz val="13"/>
        <rFont val="Calibri"/>
        <family val="2"/>
      </rPr>
      <t>Variables de resultados en salud que importan al usuario informado, en relación con la vacuna neumocócica 13 valente (13vPnC)</t>
    </r>
  </si>
  <si>
    <r>
      <rPr>
        <b/>
        <sz val="12"/>
        <color indexed="60"/>
        <rFont val="Calibri"/>
        <family val="2"/>
      </rPr>
      <t>T</t>
    </r>
    <r>
      <rPr>
        <b/>
        <sz val="12"/>
        <color indexed="60"/>
        <rFont val="Calibri"/>
        <family val="2"/>
      </rPr>
      <t>abla 3:</t>
    </r>
    <r>
      <rPr>
        <b/>
        <sz val="12"/>
        <rFont val="Calibri"/>
        <family val="2"/>
      </rPr>
      <t xml:space="preserve"> Variables de eficacia y seguridad asociadas a la vacuna neumocócica 13 valente (13vPnC) en personas mayores de 65 años [con 72,8 años (DE 5,7)] en Holanda. </t>
    </r>
  </si>
  <si>
    <r>
      <rPr>
        <b/>
        <sz val="11"/>
        <color indexed="60"/>
        <rFont val="Calibri"/>
        <family val="2"/>
      </rPr>
      <t>Tabla 4:</t>
    </r>
    <r>
      <rPr>
        <b/>
        <sz val="11"/>
        <color indexed="60"/>
        <rFont val="Calibri"/>
        <family val="2"/>
      </rPr>
      <t xml:space="preserve"> </t>
    </r>
    <r>
      <rPr>
        <b/>
        <sz val="11"/>
        <rFont val="Calibri"/>
        <family val="2"/>
      </rPr>
      <t xml:space="preserve">Efectividad de la vacuna neumocócica 13 valente (13vPnC) esperable en la población mayor de 65 años de España, según sus riesgos basales, aplicando los Riesgos Relativos obtenidos desde el estudio CAPITA </t>
    </r>
    <r>
      <rPr>
        <b/>
        <sz val="11"/>
        <color indexed="12"/>
        <rFont val="Calibri"/>
        <family val="2"/>
      </rPr>
      <t>(#)</t>
    </r>
    <r>
      <rPr>
        <b/>
        <sz val="11"/>
        <rFont val="Calibri"/>
        <family val="2"/>
      </rPr>
      <t>.</t>
    </r>
  </si>
  <si>
    <t>Nº de muertes por ENI en 4 años</t>
  </si>
  <si>
    <t>Nº de muertes por Neumonía neumocócica en 4 años</t>
  </si>
  <si>
    <t>Nº de muertes por todas las causas en 4 años</t>
  </si>
  <si>
    <t>Nº de hospitalizaciones por ENI en 4 años</t>
  </si>
  <si>
    <t>Nº de hospitalizaciones por Neumonía neumocócica en 4 años</t>
  </si>
  <si>
    <r>
      <rPr>
        <b/>
        <sz val="9"/>
        <color indexed="12"/>
        <rFont val="Calibri"/>
        <family val="2"/>
      </rPr>
      <t>(**)</t>
    </r>
    <r>
      <rPr>
        <sz val="9"/>
        <rFont val="Calibri"/>
        <family val="2"/>
      </rPr>
      <t xml:space="preserve"> Hospitalizaciones y Defunciones basados en los registros poblacionales oficiales del “Conjunto Mínimo Básico de Datos (CMBD)” hospitalarios y de las “Defunciones por Causas de Muerte”, ambos del Ministerio de Sanidad, Servicios Sociales e Igualdad. Portal estadístico del Sistema Nacional de Salud. Disponible en: http://pestadistico.inteligenciadegestion.msssi.es/publicoSNS/comun/DefaultPublico.aspx [Consultado 10-junio-2015]</t>
    </r>
  </si>
  <si>
    <t>Hospitalización por neumonía por cualquier causa en mayores de 65 años estimada en España</t>
  </si>
  <si>
    <t>Nº de hospitalizaciones por Neumonía por cualquier causa en 4 años</t>
  </si>
  <si>
    <t>2567 a 2702</t>
  </si>
  <si>
    <t>0,6215%</t>
  </si>
  <si>
    <t>0,92 (0,86-1,05)</t>
  </si>
  <si>
    <t>0,054% (-0,0338% a 0,0946%)</t>
  </si>
  <si>
    <t>1850 (1057 a -2960)</t>
  </si>
  <si>
    <r>
      <t xml:space="preserve">0,6756% </t>
    </r>
    <r>
      <rPr>
        <b/>
        <sz val="10"/>
        <color indexed="12"/>
        <rFont val="Calibri"/>
        <family val="2"/>
      </rPr>
      <t>(**)</t>
    </r>
  </si>
  <si>
    <t>463 (264 a -740)</t>
  </si>
  <si>
    <r>
      <t>Muerte por enfermedad neumocócica invasiva y neumonía neumocócica de</t>
    </r>
    <r>
      <rPr>
        <b/>
        <sz val="11"/>
        <rFont val="Calibri"/>
        <family val="2"/>
      </rPr>
      <t xml:space="preserve"> los serotipos 13vPnC</t>
    </r>
  </si>
  <si>
    <t>Nº efectos adversos graves, pero no mortales, en los 6 meses consecutivos a la vacunación</t>
  </si>
  <si>
    <t>100.000 mayores de 65 años SIN 13vPnC</t>
  </si>
  <si>
    <t>100.000 mayores de 65 años CON 13vPnC</t>
  </si>
  <si>
    <t>Hoja de información con los resultados de la vacuna neumocócica de 13 polisacáridos conjugados (13vPnC), administrada a adultos mayores de 65 años</t>
  </si>
  <si>
    <r>
      <rPr>
        <b/>
        <sz val="12"/>
        <color indexed="60"/>
        <rFont val="Calibri"/>
        <family val="2"/>
      </rPr>
      <t>Tabla 1.</t>
    </r>
    <r>
      <rPr>
        <b/>
        <sz val="12"/>
        <rFont val="Calibri"/>
        <family val="2"/>
      </rPr>
      <t xml:space="preserve"> Tasas anuales por 100.000 en España, período 1999-13, de: a) Hospitalización y defunciones por enfermedad neumocócica invasiva; b) Hospitalización y defunciones por neumonía neumocócica; c) Hospitalización y defunciones por neumonía por todas las causas;  y d) Mortalidad por todas las causas.</t>
    </r>
  </si>
  <si>
    <r>
      <rPr>
        <b/>
        <sz val="9"/>
        <rFont val="Calibri"/>
        <family val="2"/>
      </rPr>
      <t>a) defunciones por enfermedad neumocócica invasiva</t>
    </r>
    <r>
      <rPr>
        <sz val="9"/>
        <rFont val="Calibri"/>
        <family val="2"/>
      </rPr>
      <t xml:space="preserve"> (calidad baja hasta el año 2012, y moderada después), suma de los dos códigos CIE 10: G00.1 + A40.3 más los cuatro CIE 9: 567.1 + [421.x + 041.2] + [711.0 + 041.2] + [730.0x + 041.2 ó 730.2x + 041.2];</t>
    </r>
    <r>
      <rPr>
        <b/>
        <sz val="9"/>
        <rFont val="Calibri"/>
        <family val="2"/>
      </rPr>
      <t xml:space="preserve"> b) defunciones por neumonía neumocócica</t>
    </r>
    <r>
      <rPr>
        <sz val="9"/>
        <rFont val="Calibri"/>
        <family val="2"/>
      </rPr>
      <t xml:space="preserve"> adquirida en la comunidad (calidad moderada), códigos CIE 9: 481, o bien CIE 10: J13;</t>
    </r>
    <r>
      <rPr>
        <b/>
        <sz val="9"/>
        <rFont val="Calibri"/>
        <family val="2"/>
      </rPr>
      <t xml:space="preserve"> c) hospitalización y defunciones por neumonía adquirida en la comunidad por todas las siete causas</t>
    </r>
    <r>
      <rPr>
        <sz val="9"/>
        <rFont val="Calibri"/>
        <family val="2"/>
      </rPr>
      <t xml:space="preserve"> (calidad baja-moderada), códigos CIE 9: 480-486, o bien CIE 10: J12-J18; y </t>
    </r>
    <r>
      <rPr>
        <b/>
        <sz val="9"/>
        <rFont val="Calibri"/>
        <family val="2"/>
      </rPr>
      <t xml:space="preserve">d) mortalidad por todas las causas </t>
    </r>
    <r>
      <rPr>
        <sz val="9"/>
        <rFont val="Calibri"/>
        <family val="2"/>
      </rPr>
      <t>(calidad alta).</t>
    </r>
  </si>
  <si>
    <r>
      <rPr>
        <b/>
        <sz val="9"/>
        <color indexed="12"/>
        <rFont val="Calibri"/>
        <family val="2"/>
      </rPr>
      <t>(*)</t>
    </r>
    <r>
      <rPr>
        <sz val="9"/>
        <rFont val="Calibri"/>
        <family val="2"/>
      </rPr>
      <t xml:space="preserve"> Tasa anual de casos por 100.000 de Enfermedad neumocócica invasiva en las 11 CCAA de la Red de Vigilancia Microbiológica, 2013. Informe anual del Sistema de Información Microbiológica, 2013. Centro Nacional de Epidemiología. Instituto de Salud Carlos III. Disponible en http://www.isciii.es/ISCIII/es/contenidos/fd-servicios-cientifico-tecnicos/fd-vigilancias-alertas/fd-sistema-informacion-microbiologica/informes-generales.shtml [Consultado 9-nov-2014].</t>
    </r>
  </si>
  <si>
    <r>
      <t>Tasa de casos de Enfermedad neumocócica invasiva en las 11 CCAA, 2013</t>
    </r>
    <r>
      <rPr>
        <b/>
        <sz val="11"/>
        <color indexed="12"/>
        <rFont val="Calibri"/>
        <family val="2"/>
      </rPr>
      <t xml:space="preserve"> (*)</t>
    </r>
  </si>
  <si>
    <r>
      <t>Tasa de Defunciones por Enfermedad neumocócica invasiva en España, 1999-13</t>
    </r>
    <r>
      <rPr>
        <b/>
        <sz val="11"/>
        <color indexed="12"/>
        <rFont val="Calibri"/>
        <family val="2"/>
      </rPr>
      <t xml:space="preserve"> (**)</t>
    </r>
  </si>
  <si>
    <r>
      <t xml:space="preserve">Tasa de Hospitalización por neumonia por todas las (7) causas en España 1999-2013 </t>
    </r>
    <r>
      <rPr>
        <b/>
        <sz val="11"/>
        <color indexed="12"/>
        <rFont val="Calibri"/>
        <family val="2"/>
      </rPr>
      <t>(**)</t>
    </r>
  </si>
  <si>
    <r>
      <t xml:space="preserve">Tasa de Defunciones por neumonia por todas las (7) causas en España 1999-2013 </t>
    </r>
    <r>
      <rPr>
        <b/>
        <sz val="11"/>
        <color indexed="12"/>
        <rFont val="Calibri"/>
        <family val="2"/>
      </rPr>
      <t>(**)</t>
    </r>
  </si>
  <si>
    <r>
      <t xml:space="preserve">Tasa de Mortalidad por todas las causas en España, 1999-2013 </t>
    </r>
    <r>
      <rPr>
        <b/>
        <sz val="11"/>
        <color indexed="12"/>
        <rFont val="Calibri"/>
        <family val="2"/>
      </rPr>
      <t>(**)</t>
    </r>
  </si>
  <si>
    <r>
      <t xml:space="preserve">Tasa de Defunciones por Neumonia neumocócica en España 1999-2013 </t>
    </r>
    <r>
      <rPr>
        <b/>
        <sz val="11"/>
        <color indexed="12"/>
        <rFont val="Calibri"/>
        <family val="2"/>
      </rPr>
      <t>(**)</t>
    </r>
  </si>
  <si>
    <r>
      <t xml:space="preserve">Tasa de Hospitalización por Neumonia neumocócica en España 1999-2013 </t>
    </r>
    <r>
      <rPr>
        <b/>
        <sz val="11"/>
        <color indexed="12"/>
        <rFont val="Calibri"/>
        <family val="2"/>
      </rPr>
      <t>(**)</t>
    </r>
  </si>
  <si>
    <r>
      <t>Muerte por enfermedad neumocócica invasiva y neumonía neumocócica de</t>
    </r>
    <r>
      <rPr>
        <b/>
        <sz val="11"/>
        <rFont val="Calibri"/>
        <family val="2"/>
      </rPr>
      <t xml:space="preserve"> cualquier serotip</t>
    </r>
    <r>
      <rPr>
        <sz val="11"/>
        <rFont val="Calibri"/>
        <family val="2"/>
      </rPr>
      <t>o</t>
    </r>
  </si>
  <si>
    <t>Número de eventos esperables en adultos mayores de 65 años en España (con los riesgos basales de la población española 1999-2013), en 4 años de seguimiento.</t>
  </si>
  <si>
    <r>
      <t>Abreviaturas</t>
    </r>
    <r>
      <rPr>
        <sz val="10"/>
        <rFont val="Calibri"/>
        <family val="2"/>
      </rPr>
      <t xml:space="preserve">: </t>
    </r>
    <r>
      <rPr>
        <b/>
        <sz val="10"/>
        <rFont val="Calibri"/>
        <family val="2"/>
      </rPr>
      <t>RA</t>
    </r>
    <r>
      <rPr>
        <sz val="10"/>
        <rFont val="Calibri"/>
        <family val="2"/>
      </rPr>
      <t xml:space="preserve">: Riesgo Absoluto; </t>
    </r>
    <r>
      <rPr>
        <b/>
        <sz val="10"/>
        <rFont val="Calibri"/>
        <family val="2"/>
      </rPr>
      <t>Error alfa</t>
    </r>
    <r>
      <rPr>
        <sz val="10"/>
        <rFont val="Calibri"/>
        <family val="2"/>
      </rPr>
      <t xml:space="preserve">: significación estadística; </t>
    </r>
    <r>
      <rPr>
        <b/>
        <sz val="10"/>
        <rFont val="Calibri"/>
        <family val="2"/>
      </rPr>
      <t>Potencia estadística</t>
    </r>
    <r>
      <rPr>
        <sz val="10"/>
        <rFont val="Calibri"/>
        <family val="2"/>
      </rPr>
      <t xml:space="preserve"> = 1 - Error beta; </t>
    </r>
    <r>
      <rPr>
        <b/>
        <sz val="10"/>
        <rFont val="Calibri"/>
        <family val="2"/>
      </rPr>
      <t>n</t>
    </r>
    <r>
      <rPr>
        <sz val="10"/>
        <rFont val="Calibri"/>
        <family val="2"/>
      </rPr>
      <t>: número de pacientes necesario de cada uno de los grupos</t>
    </r>
  </si>
  <si>
    <t xml:space="preserve">RR = RAi / RAc =&gt; </t>
  </si>
  <si>
    <t>RAi = RR x RAc</t>
  </si>
  <si>
    <t>si se espera un RAc/año =</t>
  </si>
  <si>
    <t>durante</t>
  </si>
  <si>
    <t xml:space="preserve"> ==&gt; que se espera un RAc =</t>
  </si>
  <si>
    <t>y se espera un  RR =</t>
  </si>
  <si>
    <t>entonces RAi = RAc x RR =</t>
  </si>
  <si>
    <t>Significación estadística = 5%</t>
  </si>
  <si>
    <t>Si potencia estadística = 90% =&gt; error beta = 100% - 90% = 10%</t>
  </si>
  <si>
    <t xml:space="preserve">Si espero pérdidas del </t>
  </si>
  <si>
    <t>=&gt; Total =</t>
  </si>
  <si>
    <t>Daños</t>
  </si>
  <si>
    <t>Coste únicamente del fármaco</t>
  </si>
  <si>
    <t>-----</t>
  </si>
  <si>
    <t>Beneficios</t>
  </si>
  <si>
    <t>7,5 ó 4,84 Millones euros</t>
  </si>
  <si>
    <t>A PVP 75 euros/dosis, o a PVL 48,4 euros/dosis (si no se obtienen rebajas adicionales)</t>
  </si>
  <si>
    <r>
      <t>Abreviaturas</t>
    </r>
    <r>
      <rPr>
        <sz val="9"/>
        <rFont val="Calibri"/>
        <family val="2"/>
      </rPr>
      <t xml:space="preserve">: </t>
    </r>
    <r>
      <rPr>
        <b/>
        <sz val="9"/>
        <rFont val="Calibri"/>
        <family val="2"/>
      </rPr>
      <t>RA</t>
    </r>
    <r>
      <rPr>
        <sz val="9"/>
        <rFont val="Calibri"/>
        <family val="2"/>
      </rPr>
      <t xml:space="preserve">: Riesgo Absoluto; </t>
    </r>
    <r>
      <rPr>
        <b/>
        <sz val="9"/>
        <rFont val="Calibri"/>
        <family val="2"/>
      </rPr>
      <t>RR</t>
    </r>
    <r>
      <rPr>
        <sz val="9"/>
        <rFont val="Calibri"/>
        <family val="2"/>
      </rPr>
      <t xml:space="preserve">: Riesgo Relativo; </t>
    </r>
    <r>
      <rPr>
        <b/>
        <sz val="9"/>
        <rFont val="Calibri"/>
        <family val="2"/>
      </rPr>
      <t>RAR</t>
    </r>
    <r>
      <rPr>
        <sz val="9"/>
        <rFont val="Calibri"/>
        <family val="2"/>
      </rPr>
      <t xml:space="preserve">: Reducción Absoluta del Riesgo; </t>
    </r>
    <r>
      <rPr>
        <b/>
        <sz val="9"/>
        <rFont val="Calibri"/>
        <family val="2"/>
      </rPr>
      <t>NNT</t>
    </r>
    <r>
      <rPr>
        <sz val="9"/>
        <rFont val="Calibri"/>
        <family val="2"/>
      </rPr>
      <t xml:space="preserve">: Número Necesario a Tratar para evitar un evento; </t>
    </r>
    <r>
      <rPr>
        <b/>
        <sz val="9"/>
        <rFont val="Calibri"/>
        <family val="2"/>
      </rPr>
      <t>IC 95%</t>
    </r>
    <r>
      <rPr>
        <sz val="9"/>
        <rFont val="Calibri"/>
        <family val="2"/>
      </rPr>
      <t>:intervalo de confianza al 95%</t>
    </r>
  </si>
  <si>
    <r>
      <t>Abreviaturas</t>
    </r>
    <r>
      <rPr>
        <sz val="9"/>
        <rFont val="Calibri"/>
        <family val="2"/>
      </rPr>
      <t xml:space="preserve">: </t>
    </r>
    <r>
      <rPr>
        <b/>
        <sz val="9"/>
        <rFont val="Calibri"/>
        <family val="2"/>
      </rPr>
      <t>RA</t>
    </r>
    <r>
      <rPr>
        <sz val="9"/>
        <rFont val="Calibri"/>
        <family val="2"/>
      </rPr>
      <t>: Riesgo Absoluto; R</t>
    </r>
    <r>
      <rPr>
        <b/>
        <sz val="9"/>
        <rFont val="Calibri"/>
        <family val="2"/>
      </rPr>
      <t>R</t>
    </r>
    <r>
      <rPr>
        <sz val="9"/>
        <rFont val="Calibri"/>
        <family val="2"/>
      </rPr>
      <t xml:space="preserve">: Riesgo Relativo; </t>
    </r>
    <r>
      <rPr>
        <b/>
        <sz val="9"/>
        <rFont val="Calibri"/>
        <family val="2"/>
      </rPr>
      <t>RAR</t>
    </r>
    <r>
      <rPr>
        <sz val="9"/>
        <rFont val="Calibri"/>
        <family val="2"/>
      </rPr>
      <t xml:space="preserve">: Reducción Absoluta del Riesgo; </t>
    </r>
    <r>
      <rPr>
        <b/>
        <sz val="9"/>
        <rFont val="Calibri"/>
        <family val="2"/>
      </rPr>
      <t>NNT</t>
    </r>
    <r>
      <rPr>
        <sz val="9"/>
        <rFont val="Calibri"/>
        <family val="2"/>
      </rPr>
      <t xml:space="preserve">: Número Necesario a Tratar para evitar un evento; </t>
    </r>
    <r>
      <rPr>
        <b/>
        <sz val="9"/>
        <rFont val="Calibri"/>
        <family val="2"/>
      </rPr>
      <t>NND:</t>
    </r>
    <r>
      <rPr>
        <sz val="9"/>
        <rFont val="Calibri"/>
        <family val="2"/>
      </rPr>
      <t xml:space="preserve"> Número Necesario para Dañar a un paciente más que con el control; </t>
    </r>
    <r>
      <rPr>
        <b/>
        <sz val="9"/>
        <rFont val="Calibri"/>
        <family val="2"/>
      </rPr>
      <t>IC 95%</t>
    </r>
    <r>
      <rPr>
        <sz val="9"/>
        <rFont val="Calibri"/>
        <family val="2"/>
      </rPr>
      <t>:intervalo de confianza al 95%.</t>
    </r>
  </si>
  <si>
    <r>
      <t xml:space="preserve">Cálculo por incidencias acumuladas de RR, RAR, NNT con sus IC 95%, potencia estadística y valor de </t>
    </r>
    <r>
      <rPr>
        <b/>
        <i/>
        <sz val="12"/>
        <rFont val="Calibri"/>
        <family val="2"/>
      </rPr>
      <t>p</t>
    </r>
  </si>
  <si>
    <t>SUPLEMENTO 1: HOJA DE INFORMACIÓN AL USUARIO O SU REPRESENTANTE</t>
  </si>
  <si>
    <t>Aplicación de los riegos basales de España al 20150319-ECA CAPITA +65y naive, 13vPnC vs plac, -NACser -NACnoSer -ENI. Bonten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</si>
</sst>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0\ _€_-;\-* #,##0.000\ _€_-;_-* &quot;-&quot;??\ _€_-;_-@_-"/>
    <numFmt numFmtId="166" formatCode="_-* #,##0.0000\ _€_-;\-* #,##0.0000\ _€_-;_-* &quot;-&quot;??\ _€_-;_-@_-"/>
    <numFmt numFmtId="167" formatCode="0.0%"/>
    <numFmt numFmtId="168" formatCode="_-* #,##0.00000\ _€_-;\-* #,##0.00000\ _€_-;_-* &quot;-&quot;??\ _€_-;_-@_-"/>
    <numFmt numFmtId="169" formatCode="_-* #,##0.000000\ _€_-;\-* #,##0.000000\ _€_-;_-* &quot;-&quot;??\ _€_-;_-@_-"/>
    <numFmt numFmtId="170" formatCode="_-* #,##0.000\ _€_-;\-* #,##0.000\ _€_-;_-* &quot;-&quot;???\ _€_-;_-@_-"/>
    <numFmt numFmtId="171" formatCode="_-* #,##0.0\ _€_-;\-* #,##0.0\ _€_-;_-* &quot;-&quot;??\ _€_-;_-@_-"/>
    <numFmt numFmtId="172" formatCode="0.0"/>
    <numFmt numFmtId="173" formatCode="_-* #,##0.0\ _€_-;\-* #,##0.0\ _€_-;_-* &quot;-&quot;?\ _€_-;_-@_-"/>
    <numFmt numFmtId="174" formatCode="0.0000%"/>
    <numFmt numFmtId="175" formatCode="0.00000%"/>
    <numFmt numFmtId="176" formatCode="_-* #,##0\ _€_-;\-* #,##0\ _€_-;_-* &quot;-&quot;???\ _€_-;_-@_-"/>
    <numFmt numFmtId="177" formatCode="_-* #,##0.0000\ _€_-;\-* #,##0.0000\ _€_-;_-* &quot;-&quot;?\ _€_-;_-@_-"/>
    <numFmt numFmtId="178" formatCode="_-* #,##0.00\ _P_t_s_-;\-* #,##0.00\ _P_t_s_-;_-* &quot;-&quot;??\ _P_t_s_-;_-@_-"/>
    <numFmt numFmtId="179" formatCode="_-* #,##0.0000\ _P_t_s_-;\-* #,##0.0000\ _P_t_s_-;_-* &quot;-&quot;??\ _P_t_s_-;_-@_-"/>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00"/>
    <numFmt numFmtId="186" formatCode="00000"/>
    <numFmt numFmtId="187" formatCode="0.0000000"/>
    <numFmt numFmtId="188" formatCode="0.000000"/>
    <numFmt numFmtId="189" formatCode="0.00000"/>
    <numFmt numFmtId="190" formatCode="0.0000"/>
    <numFmt numFmtId="191" formatCode="0.000000%"/>
    <numFmt numFmtId="192" formatCode="0.0000000%"/>
    <numFmt numFmtId="193" formatCode="0.00000000"/>
    <numFmt numFmtId="194" formatCode="_-* #,##0.0000\ _€_-;\-* #,##0.0000\ _€_-;_-* &quot;-&quot;????\ _€_-;_-@_-"/>
    <numFmt numFmtId="195" formatCode="_-* #,##0.00\ _€_-;\-* #,##0.00\ _€_-;_-* \-??\ _€_-;_-@_-"/>
    <numFmt numFmtId="196" formatCode="_-* #,##0\ _€_-;\-* #,##0\ _€_-;_-* &quot;-&quot;?\ _€_-;_-@_-"/>
    <numFmt numFmtId="197" formatCode="_-[$€-2]\ * #,##0.00_-;\-[$€-2]\ * #,##0.00_-;_-[$€-2]\ * &quot;-&quot;??_-;_-@_-"/>
    <numFmt numFmtId="198" formatCode="_-* #,##0.0\ &quot;€&quot;_-;\-* #,##0.0\ &quot;€&quot;_-;_-* &quot;-&quot;??\ &quot;€&quot;_-;_-@_-"/>
    <numFmt numFmtId="199" formatCode="_-* #,##0\ &quot;€&quot;_-;\-* #,##0\ &quot;€&quot;_-;_-* &quot;-&quot;??\ &quot;€&quot;_-;_-@_-"/>
    <numFmt numFmtId="200" formatCode="0.0000000000"/>
    <numFmt numFmtId="201" formatCode="[$-10C0A]#,##0.00"/>
    <numFmt numFmtId="202" formatCode="_-* #,##0.0000000\ _€_-;\-* #,##0.0000000\ _€_-;_-* &quot;-&quot;??\ _€_-;_-@_-"/>
    <numFmt numFmtId="203" formatCode="_-* #,##0.000\ _€_-;\-* #,##0.000\ _€_-;_-* &quot;-&quot;????\ _€_-;_-@_-"/>
    <numFmt numFmtId="204" formatCode="_-* #,##0.00\ _€_-;\-* #,##0.00\ _€_-;_-* &quot;-&quot;????\ _€_-;_-@_-"/>
    <numFmt numFmtId="205" formatCode="_-* #,##0.0\ _€_-;\-* #,##0.0\ _€_-;_-* &quot;-&quot;????\ _€_-;_-@_-"/>
    <numFmt numFmtId="206" formatCode="[$-C0A]dddd\,\ dd&quot; de &quot;mmmm&quot; de &quot;yyyy"/>
    <numFmt numFmtId="207" formatCode="#,##0\ &quot;€&quot;"/>
  </numFmts>
  <fonts count="114">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b/>
      <i/>
      <sz val="10"/>
      <name val="Calibri"/>
      <family val="2"/>
    </font>
    <font>
      <sz val="10"/>
      <name val="Calibri"/>
      <family val="2"/>
    </font>
    <font>
      <sz val="10"/>
      <color indexed="12"/>
      <name val="Calibri"/>
      <family val="2"/>
    </font>
    <font>
      <b/>
      <sz val="10"/>
      <color indexed="12"/>
      <name val="Calibri"/>
      <family val="2"/>
    </font>
    <font>
      <i/>
      <sz val="10"/>
      <color indexed="12"/>
      <name val="Calibri"/>
      <family val="2"/>
    </font>
    <font>
      <i/>
      <sz val="10"/>
      <name val="Calibri"/>
      <family val="2"/>
    </font>
    <font>
      <b/>
      <sz val="11"/>
      <name val="Calibri"/>
      <family val="2"/>
    </font>
    <font>
      <sz val="9"/>
      <name val="Calibri"/>
      <family val="2"/>
    </font>
    <font>
      <b/>
      <sz val="14"/>
      <name val="Calibri"/>
      <family val="2"/>
    </font>
    <font>
      <sz val="11"/>
      <name val="Calibri"/>
      <family val="2"/>
    </font>
    <font>
      <b/>
      <sz val="12"/>
      <name val="Calibri"/>
      <family val="2"/>
    </font>
    <font>
      <b/>
      <sz val="11"/>
      <color indexed="12"/>
      <name val="Calibri"/>
      <family val="2"/>
    </font>
    <font>
      <b/>
      <sz val="20"/>
      <name val="Calibri"/>
      <family val="2"/>
    </font>
    <font>
      <sz val="20"/>
      <name val="Calibri"/>
      <family val="2"/>
    </font>
    <font>
      <b/>
      <sz val="9"/>
      <color indexed="12"/>
      <name val="Calibri"/>
      <family val="2"/>
    </font>
    <font>
      <sz val="12"/>
      <name val="Calibri"/>
      <family val="2"/>
    </font>
    <font>
      <b/>
      <sz val="11"/>
      <color indexed="60"/>
      <name val="Calibri"/>
      <family val="2"/>
    </font>
    <font>
      <b/>
      <sz val="12"/>
      <color indexed="60"/>
      <name val="Calibri"/>
      <family val="2"/>
    </font>
    <font>
      <b/>
      <sz val="13"/>
      <name val="Calibri"/>
      <family val="2"/>
    </font>
    <font>
      <b/>
      <sz val="13"/>
      <color indexed="60"/>
      <name val="Calibri"/>
      <family val="2"/>
    </font>
    <font>
      <sz val="1.5"/>
      <color indexed="8"/>
      <name val="Arial"/>
      <family val="2"/>
    </font>
    <font>
      <sz val="1.1"/>
      <color indexed="8"/>
      <name val="Arial"/>
      <family val="2"/>
    </font>
    <font>
      <b/>
      <i/>
      <sz val="14"/>
      <name val="Calibri"/>
      <family val="2"/>
    </font>
    <font>
      <b/>
      <i/>
      <sz val="20"/>
      <name val="Calibri"/>
      <family val="2"/>
    </font>
    <font>
      <b/>
      <sz val="9"/>
      <name val="Calibri"/>
      <family val="2"/>
    </font>
    <font>
      <sz val="12"/>
      <color indexed="12"/>
      <name val="Trebuchet MS"/>
      <family val="2"/>
    </font>
    <font>
      <sz val="11"/>
      <name val="Arial"/>
      <family val="2"/>
    </font>
    <font>
      <sz val="11"/>
      <name val="Times New Roman"/>
      <family val="1"/>
    </font>
    <font>
      <b/>
      <sz val="11"/>
      <name val="Times New Roman"/>
      <family val="1"/>
    </font>
    <font>
      <b/>
      <u val="single"/>
      <sz val="11"/>
      <name val="Times New Roman"/>
      <family val="1"/>
    </font>
    <font>
      <sz val="10"/>
      <name val="Times New Roman"/>
      <family val="1"/>
    </font>
    <font>
      <sz val="9"/>
      <name val="Times New Roman"/>
      <family val="1"/>
    </font>
    <font>
      <i/>
      <sz val="10"/>
      <name val="Times New Roman"/>
      <family val="1"/>
    </font>
    <font>
      <sz val="16"/>
      <name val="Calibri"/>
      <family val="2"/>
    </font>
    <font>
      <b/>
      <i/>
      <sz val="12"/>
      <name val="Calibri"/>
      <family val="2"/>
    </font>
    <font>
      <sz val="11"/>
      <color indexed="8"/>
      <name val="Courier"/>
      <family val="2"/>
    </font>
    <font>
      <sz val="11"/>
      <color indexed="9"/>
      <name val="Courier"/>
      <family val="2"/>
    </font>
    <font>
      <sz val="11"/>
      <color indexed="17"/>
      <name val="Courier"/>
      <family val="2"/>
    </font>
    <font>
      <b/>
      <sz val="11"/>
      <color indexed="52"/>
      <name val="Courier"/>
      <family val="2"/>
    </font>
    <font>
      <b/>
      <sz val="11"/>
      <color indexed="9"/>
      <name val="Courier"/>
      <family val="2"/>
    </font>
    <font>
      <sz val="11"/>
      <color indexed="52"/>
      <name val="Courier"/>
      <family val="2"/>
    </font>
    <font>
      <b/>
      <sz val="15"/>
      <color indexed="56"/>
      <name val="Courier"/>
      <family val="2"/>
    </font>
    <font>
      <b/>
      <sz val="11"/>
      <color indexed="56"/>
      <name val="Courier"/>
      <family val="2"/>
    </font>
    <font>
      <sz val="11"/>
      <color indexed="62"/>
      <name val="Courier"/>
      <family val="2"/>
    </font>
    <font>
      <sz val="11"/>
      <color indexed="20"/>
      <name val="Courier"/>
      <family val="2"/>
    </font>
    <font>
      <sz val="11"/>
      <color indexed="60"/>
      <name val="Courier"/>
      <family val="2"/>
    </font>
    <font>
      <b/>
      <sz val="11"/>
      <color indexed="63"/>
      <name val="Courier"/>
      <family val="2"/>
    </font>
    <font>
      <sz val="11"/>
      <color indexed="10"/>
      <name val="Courier"/>
      <family val="2"/>
    </font>
    <font>
      <i/>
      <sz val="11"/>
      <color indexed="23"/>
      <name val="Courier"/>
      <family val="2"/>
    </font>
    <font>
      <b/>
      <sz val="18"/>
      <color indexed="56"/>
      <name val="Cambria"/>
      <family val="2"/>
    </font>
    <font>
      <b/>
      <sz val="13"/>
      <color indexed="56"/>
      <name val="Courier"/>
      <family val="2"/>
    </font>
    <font>
      <b/>
      <sz val="11"/>
      <color indexed="8"/>
      <name val="Courier"/>
      <family val="2"/>
    </font>
    <font>
      <sz val="10"/>
      <color indexed="52"/>
      <name val="Calibri"/>
      <family val="2"/>
    </font>
    <font>
      <b/>
      <sz val="10"/>
      <color indexed="57"/>
      <name val="Calibri"/>
      <family val="2"/>
    </font>
    <font>
      <sz val="10"/>
      <color indexed="63"/>
      <name val="Calibri"/>
      <family val="2"/>
    </font>
    <font>
      <sz val="10"/>
      <color indexed="20"/>
      <name val="Calibri"/>
      <family val="2"/>
    </font>
    <font>
      <i/>
      <sz val="10"/>
      <color indexed="20"/>
      <name val="Calibri"/>
      <family val="2"/>
    </font>
    <font>
      <b/>
      <sz val="10"/>
      <color indexed="14"/>
      <name val="Calibri"/>
      <family val="2"/>
    </font>
    <font>
      <sz val="10"/>
      <color indexed="14"/>
      <name val="Calibri"/>
      <family val="2"/>
    </font>
    <font>
      <sz val="8"/>
      <name val="Calibri"/>
      <family val="2"/>
    </font>
    <font>
      <b/>
      <i/>
      <sz val="10"/>
      <color indexed="12"/>
      <name val="Calibri"/>
      <family val="2"/>
    </font>
    <font>
      <sz val="10"/>
      <color indexed="61"/>
      <name val="Calibri"/>
      <family val="2"/>
    </font>
    <font>
      <sz val="10"/>
      <color indexed="10"/>
      <name val="Calibri"/>
      <family val="2"/>
    </font>
    <font>
      <b/>
      <u val="single"/>
      <sz val="10"/>
      <name val="Calibri"/>
      <family val="2"/>
    </font>
    <font>
      <i/>
      <sz val="12"/>
      <name val="Calibri"/>
      <family val="2"/>
    </font>
    <font>
      <b/>
      <sz val="10"/>
      <color indexed="8"/>
      <name val="Calibri"/>
      <family val="2"/>
    </font>
    <font>
      <i/>
      <sz val="10"/>
      <color indexed="60"/>
      <name val="Calibri"/>
      <family val="2"/>
    </font>
    <font>
      <sz val="10"/>
      <color indexed="17"/>
      <name val="Calibri"/>
      <family val="2"/>
    </font>
    <font>
      <sz val="11"/>
      <color indexed="17"/>
      <name val="Calibri"/>
      <family val="2"/>
    </font>
    <font>
      <sz val="11"/>
      <color indexed="53"/>
      <name val="Calibri"/>
      <family val="2"/>
    </font>
    <font>
      <sz val="10"/>
      <color indexed="51"/>
      <name val="Calibri"/>
      <family val="2"/>
    </font>
    <font>
      <i/>
      <sz val="8"/>
      <color indexed="51"/>
      <name val="Calibri"/>
      <family val="2"/>
    </font>
    <font>
      <sz val="12"/>
      <color indexed="16"/>
      <name val="Calibri"/>
      <family val="2"/>
    </font>
    <font>
      <sz val="12"/>
      <color indexed="12"/>
      <name val="Calibri"/>
      <family val="2"/>
    </font>
    <font>
      <b/>
      <sz val="12"/>
      <color indexed="12"/>
      <name val="Calibri"/>
      <family val="2"/>
    </font>
    <font>
      <sz val="14"/>
      <name val="Calibri"/>
      <family val="2"/>
    </font>
    <font>
      <sz val="14"/>
      <color indexed="53"/>
      <name val="Calibri"/>
      <family val="2"/>
    </font>
    <font>
      <sz val="14"/>
      <color indexed="10"/>
      <name val="Calibri"/>
      <family val="2"/>
    </font>
    <font>
      <sz val="11"/>
      <color indexed="12"/>
      <name val="Calibri"/>
      <family val="2"/>
    </font>
    <font>
      <sz val="9"/>
      <color indexed="12"/>
      <name val="Calibri"/>
      <family val="2"/>
    </font>
    <font>
      <b/>
      <sz val="11"/>
      <color indexed="36"/>
      <name val="Calibri"/>
      <family val="2"/>
    </font>
    <font>
      <sz val="11"/>
      <color theme="1"/>
      <name val="Courier"/>
      <family val="2"/>
    </font>
    <font>
      <sz val="11"/>
      <color theme="0"/>
      <name val="Courier"/>
      <family val="2"/>
    </font>
    <font>
      <sz val="11"/>
      <color rgb="FF006100"/>
      <name val="Courier"/>
      <family val="2"/>
    </font>
    <font>
      <b/>
      <sz val="11"/>
      <color rgb="FFFA7D00"/>
      <name val="Courier"/>
      <family val="2"/>
    </font>
    <font>
      <b/>
      <sz val="11"/>
      <color theme="0"/>
      <name val="Courier"/>
      <family val="2"/>
    </font>
    <font>
      <sz val="11"/>
      <color rgb="FFFA7D00"/>
      <name val="Courier"/>
      <family val="2"/>
    </font>
    <font>
      <b/>
      <sz val="15"/>
      <color theme="3"/>
      <name val="Courier"/>
      <family val="2"/>
    </font>
    <font>
      <b/>
      <sz val="11"/>
      <color theme="3"/>
      <name val="Courier"/>
      <family val="2"/>
    </font>
    <font>
      <sz val="11"/>
      <color rgb="FF3F3F76"/>
      <name val="Courier"/>
      <family val="2"/>
    </font>
    <font>
      <sz val="11"/>
      <color rgb="FF9C0006"/>
      <name val="Courier"/>
      <family val="2"/>
    </font>
    <font>
      <sz val="11"/>
      <color rgb="FF9C6500"/>
      <name val="Courier"/>
      <family val="2"/>
    </font>
    <font>
      <b/>
      <sz val="11"/>
      <color rgb="FF3F3F3F"/>
      <name val="Courier"/>
      <family val="2"/>
    </font>
    <font>
      <sz val="11"/>
      <color rgb="FFFF0000"/>
      <name val="Courier"/>
      <family val="2"/>
    </font>
    <font>
      <i/>
      <sz val="11"/>
      <color rgb="FF7F7F7F"/>
      <name val="Courier"/>
      <family val="2"/>
    </font>
    <font>
      <b/>
      <sz val="18"/>
      <color theme="3"/>
      <name val="Cambria"/>
      <family val="2"/>
    </font>
    <font>
      <b/>
      <sz val="13"/>
      <color theme="3"/>
      <name val="Courier"/>
      <family val="2"/>
    </font>
    <font>
      <b/>
      <sz val="11"/>
      <color theme="1"/>
      <name val="Courier"/>
      <family val="2"/>
    </font>
    <font>
      <b/>
      <sz val="10"/>
      <color rgb="FF0000FF"/>
      <name val="Calibri"/>
      <family val="2"/>
    </font>
    <font>
      <sz val="10"/>
      <color rgb="FF0000FF"/>
      <name val="Calibri"/>
      <family val="2"/>
    </font>
    <font>
      <i/>
      <sz val="10"/>
      <color rgb="FFC00000"/>
      <name val="Calibri"/>
      <family val="2"/>
    </font>
    <font>
      <sz val="10"/>
      <color rgb="FF009900"/>
      <name val="Calibri"/>
      <family val="2"/>
    </font>
    <font>
      <sz val="11"/>
      <color rgb="FF009900"/>
      <name val="Calibri"/>
      <family val="2"/>
    </font>
    <font>
      <sz val="11"/>
      <color theme="9" tint="-0.24997000396251678"/>
      <name val="Calibri"/>
      <family val="2"/>
    </font>
    <font>
      <sz val="10"/>
      <color rgb="FFFFC000"/>
      <name val="Calibri"/>
      <family val="2"/>
    </font>
    <font>
      <i/>
      <sz val="8"/>
      <color rgb="FFCC9900"/>
      <name val="Calibri"/>
      <family val="2"/>
    </font>
    <font>
      <sz val="14"/>
      <color rgb="FFFF6600"/>
      <name val="Calibri"/>
      <family val="2"/>
    </font>
    <font>
      <sz val="14"/>
      <color rgb="FFFF0000"/>
      <name val="Calibri"/>
      <family val="2"/>
    </font>
    <font>
      <b/>
      <sz val="11"/>
      <color rgb="FF7030A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medium"/>
      <bottom style="medium"/>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medium"/>
      <right style="thin"/>
      <top style="medium"/>
      <bottom style="mediu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medium"/>
      <top style="thin"/>
      <bottom style="thin"/>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style="mediu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style="medium"/>
      <top/>
      <bottom style="thin"/>
    </border>
    <border>
      <left style="medium"/>
      <right style="medium"/>
      <top style="thin"/>
      <bottom/>
    </border>
    <border>
      <left style="thin"/>
      <right style="thin"/>
      <top/>
      <bottom style="medium"/>
    </border>
    <border>
      <left style="medium"/>
      <right style="thin"/>
      <top>
        <color indexed="63"/>
      </top>
      <bottom style="thin"/>
    </border>
    <border>
      <left style="thin"/>
      <right style="medium"/>
      <top/>
      <bottom style="thin"/>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4" applyNumberFormat="0" applyFill="0" applyAlignment="0" applyProtection="0"/>
    <xf numFmtId="0" fontId="93"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9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7" fillId="21"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93" fillId="0" borderId="8" applyNumberFormat="0" applyFill="0" applyAlignment="0" applyProtection="0"/>
    <xf numFmtId="0" fontId="102" fillId="0" borderId="9" applyNumberFormat="0" applyFill="0" applyAlignment="0" applyProtection="0"/>
  </cellStyleXfs>
  <cellXfs count="729">
    <xf numFmtId="0" fontId="0" fillId="0" borderId="0" xfId="0" applyAlignment="1">
      <alignment/>
    </xf>
    <xf numFmtId="0" fontId="6" fillId="0" borderId="0" xfId="0" applyFont="1" applyAlignment="1">
      <alignment/>
    </xf>
    <xf numFmtId="10" fontId="7" fillId="0" borderId="0" xfId="56" applyNumberFormat="1" applyFont="1" applyBorder="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xf>
    <xf numFmtId="10" fontId="6" fillId="0" borderId="0" xfId="0" applyNumberFormat="1" applyFont="1" applyFill="1" applyBorder="1" applyAlignment="1">
      <alignment horizontal="center"/>
    </xf>
    <xf numFmtId="0" fontId="57" fillId="0" borderId="0" xfId="0" applyFont="1" applyFill="1" applyBorder="1" applyAlignment="1">
      <alignment horizontal="right"/>
    </xf>
    <xf numFmtId="0" fontId="6" fillId="0" borderId="0" xfId="0" applyFont="1" applyFill="1" applyBorder="1" applyAlignment="1">
      <alignment/>
    </xf>
    <xf numFmtId="10" fontId="6" fillId="0" borderId="0" xfId="56" applyNumberFormat="1" applyFont="1" applyBorder="1" applyAlignment="1">
      <alignment horizontal="center"/>
    </xf>
    <xf numFmtId="0" fontId="6" fillId="0" borderId="0" xfId="0" applyFont="1" applyFill="1" applyAlignment="1">
      <alignment horizontal="center"/>
    </xf>
    <xf numFmtId="10" fontId="6" fillId="0" borderId="0" xfId="0" applyNumberFormat="1" applyFont="1" applyFill="1" applyAlignment="1">
      <alignment horizontal="center"/>
    </xf>
    <xf numFmtId="0" fontId="6" fillId="0" borderId="0" xfId="0" applyFont="1" applyFill="1" applyAlignment="1">
      <alignment/>
    </xf>
    <xf numFmtId="18" fontId="6" fillId="0" borderId="0" xfId="49" applyNumberFormat="1" applyFont="1" applyBorder="1" applyAlignment="1">
      <alignment horizontal="center"/>
    </xf>
    <xf numFmtId="43" fontId="6" fillId="0" borderId="0" xfId="0" applyNumberFormat="1" applyFont="1" applyAlignment="1">
      <alignment/>
    </xf>
    <xf numFmtId="43" fontId="6" fillId="0" borderId="0" xfId="49" applyFont="1" applyFill="1" applyAlignment="1">
      <alignment/>
    </xf>
    <xf numFmtId="0" fontId="58" fillId="0" borderId="0" xfId="0" applyFont="1" applyFill="1" applyAlignment="1">
      <alignment/>
    </xf>
    <xf numFmtId="165" fontId="6" fillId="0" borderId="0" xfId="0" applyNumberFormat="1" applyFont="1" applyBorder="1" applyAlignment="1">
      <alignment horizontal="center"/>
    </xf>
    <xf numFmtId="0" fontId="6" fillId="0" borderId="0" xfId="0" applyFont="1" applyBorder="1" applyAlignment="1">
      <alignment/>
    </xf>
    <xf numFmtId="0" fontId="7" fillId="0" borderId="0" xfId="0" applyFont="1" applyBorder="1" applyAlignment="1">
      <alignment horizontal="center"/>
    </xf>
    <xf numFmtId="43" fontId="6" fillId="0" borderId="0" xfId="49" applyFont="1" applyFill="1" applyBorder="1" applyAlignment="1">
      <alignment/>
    </xf>
    <xf numFmtId="0" fontId="6" fillId="0" borderId="0" xfId="0" applyFont="1" applyBorder="1" applyAlignment="1">
      <alignment horizontal="right"/>
    </xf>
    <xf numFmtId="10" fontId="6" fillId="0" borderId="0" xfId="56" applyNumberFormat="1" applyFont="1" applyFill="1" applyAlignment="1">
      <alignment/>
    </xf>
    <xf numFmtId="10" fontId="6" fillId="0" borderId="0" xfId="0" applyNumberFormat="1" applyFont="1" applyFill="1" applyAlignment="1">
      <alignment/>
    </xf>
    <xf numFmtId="0" fontId="59" fillId="0" borderId="0" xfId="0" applyFont="1" applyAlignment="1">
      <alignment horizontal="right"/>
    </xf>
    <xf numFmtId="1" fontId="6" fillId="0" borderId="0" xfId="0" applyNumberFormat="1" applyFont="1" applyBorder="1" applyAlignment="1">
      <alignment horizontal="right"/>
    </xf>
    <xf numFmtId="0" fontId="6" fillId="0" borderId="0" xfId="0" applyFont="1" applyAlignment="1">
      <alignment horizontal="right"/>
    </xf>
    <xf numFmtId="0" fontId="4" fillId="0" borderId="0" xfId="0" applyFont="1" applyAlignment="1">
      <alignment/>
    </xf>
    <xf numFmtId="0" fontId="4" fillId="0" borderId="0" xfId="0" applyFont="1" applyFill="1" applyBorder="1" applyAlignment="1">
      <alignment horizontal="center"/>
    </xf>
    <xf numFmtId="0" fontId="6" fillId="0" borderId="0" xfId="0" applyFont="1" applyFill="1" applyBorder="1" applyAlignment="1">
      <alignment horizontal="right"/>
    </xf>
    <xf numFmtId="43" fontId="6" fillId="0" borderId="0" xfId="0" applyNumberFormat="1" applyFont="1" applyFill="1" applyBorder="1" applyAlignment="1">
      <alignment/>
    </xf>
    <xf numFmtId="43" fontId="6" fillId="0" borderId="0" xfId="0" applyNumberFormat="1" applyFont="1" applyFill="1" applyBorder="1" applyAlignment="1">
      <alignment horizontal="center"/>
    </xf>
    <xf numFmtId="10" fontId="6" fillId="0" borderId="0" xfId="56" applyNumberFormat="1" applyFont="1" applyFill="1" applyBorder="1" applyAlignment="1">
      <alignment horizontal="center"/>
    </xf>
    <xf numFmtId="10" fontId="6" fillId="0" borderId="0" xfId="56" applyNumberFormat="1" applyFont="1" applyFill="1" applyBorder="1" applyAlignment="1">
      <alignment/>
    </xf>
    <xf numFmtId="0" fontId="4" fillId="0" borderId="10" xfId="0" applyFont="1" applyFill="1" applyBorder="1" applyAlignment="1">
      <alignment horizontal="center" vertical="distributed"/>
    </xf>
    <xf numFmtId="0" fontId="4" fillId="0" borderId="11" xfId="0" applyFont="1" applyFill="1" applyBorder="1" applyAlignment="1">
      <alignment horizontal="center" vertical="distributed"/>
    </xf>
    <xf numFmtId="0" fontId="4" fillId="0" borderId="11" xfId="0" applyFont="1" applyBorder="1" applyAlignment="1">
      <alignment horizontal="center" vertical="distributed"/>
    </xf>
    <xf numFmtId="43" fontId="4" fillId="0" borderId="11" xfId="49" applyFont="1" applyFill="1" applyBorder="1" applyAlignment="1">
      <alignment horizontal="center" vertical="distributed"/>
    </xf>
    <xf numFmtId="43" fontId="4" fillId="0" borderId="11" xfId="49" applyFont="1" applyBorder="1" applyAlignment="1">
      <alignment horizontal="center" vertical="distributed"/>
    </xf>
    <xf numFmtId="43" fontId="6" fillId="0" borderId="10" xfId="49" applyFont="1" applyBorder="1" applyAlignment="1">
      <alignment/>
    </xf>
    <xf numFmtId="43" fontId="6" fillId="0" borderId="10" xfId="49" applyFont="1" applyFill="1" applyBorder="1" applyAlignment="1">
      <alignment horizontal="center"/>
    </xf>
    <xf numFmtId="43" fontId="6" fillId="0" borderId="12" xfId="49" applyFont="1" applyFill="1" applyBorder="1" applyAlignment="1">
      <alignment/>
    </xf>
    <xf numFmtId="2" fontId="4" fillId="33" borderId="10" xfId="0" applyNumberFormat="1" applyFont="1" applyFill="1" applyBorder="1" applyAlignment="1">
      <alignment horizontal="center"/>
    </xf>
    <xf numFmtId="2" fontId="4" fillId="34" borderId="10" xfId="0" applyNumberFormat="1" applyFont="1" applyFill="1" applyBorder="1" applyAlignment="1">
      <alignment horizontal="center"/>
    </xf>
    <xf numFmtId="2" fontId="4" fillId="35" borderId="10" xfId="0" applyNumberFormat="1" applyFont="1" applyFill="1" applyBorder="1" applyAlignment="1">
      <alignment horizontal="center"/>
    </xf>
    <xf numFmtId="2" fontId="4" fillId="0" borderId="10" xfId="0" applyNumberFormat="1" applyFont="1" applyFill="1" applyBorder="1" applyAlignment="1">
      <alignment horizontal="center"/>
    </xf>
    <xf numFmtId="43" fontId="4" fillId="0" borderId="0" xfId="0" applyNumberFormat="1" applyFont="1" applyFill="1" applyBorder="1" applyAlignment="1">
      <alignment/>
    </xf>
    <xf numFmtId="0" fontId="60" fillId="0" borderId="0" xfId="0" applyFont="1" applyFill="1" applyBorder="1" applyAlignment="1">
      <alignment horizontal="right"/>
    </xf>
    <xf numFmtId="43" fontId="60" fillId="0" borderId="0" xfId="0" applyNumberFormat="1" applyFont="1" applyFill="1" applyBorder="1" applyAlignment="1">
      <alignment horizontal="center"/>
    </xf>
    <xf numFmtId="43" fontId="60" fillId="0" borderId="0" xfId="49" applyFont="1" applyFill="1" applyBorder="1" applyAlignment="1">
      <alignment/>
    </xf>
    <xf numFmtId="165" fontId="60" fillId="0" borderId="0" xfId="0" applyNumberFormat="1" applyFont="1" applyFill="1" applyBorder="1" applyAlignment="1">
      <alignment horizontal="right"/>
    </xf>
    <xf numFmtId="0" fontId="4" fillId="0" borderId="0" xfId="0" applyFont="1" applyFill="1" applyAlignment="1">
      <alignment horizontal="center"/>
    </xf>
    <xf numFmtId="0" fontId="60" fillId="0" borderId="0" xfId="0" applyFont="1" applyFill="1" applyBorder="1" applyAlignment="1">
      <alignment/>
    </xf>
    <xf numFmtId="166" fontId="60" fillId="0" borderId="0" xfId="0" applyNumberFormat="1" applyFont="1" applyFill="1" applyBorder="1" applyAlignment="1">
      <alignment/>
    </xf>
    <xf numFmtId="171" fontId="60" fillId="0" borderId="0" xfId="0" applyNumberFormat="1" applyFont="1" applyFill="1" applyBorder="1" applyAlignment="1">
      <alignment horizontal="left"/>
    </xf>
    <xf numFmtId="171" fontId="6" fillId="0" borderId="0" xfId="0" applyNumberFormat="1" applyFont="1" applyFill="1" applyBorder="1" applyAlignment="1">
      <alignment/>
    </xf>
    <xf numFmtId="173" fontId="6" fillId="0" borderId="0" xfId="0" applyNumberFormat="1" applyFont="1" applyFill="1" applyAlignment="1">
      <alignment/>
    </xf>
    <xf numFmtId="0" fontId="4" fillId="0" borderId="0" xfId="0" applyFont="1" applyAlignment="1">
      <alignment horizontal="center"/>
    </xf>
    <xf numFmtId="164" fontId="6" fillId="0" borderId="0" xfId="0" applyNumberFormat="1" applyFont="1" applyFill="1" applyAlignment="1">
      <alignment horizontal="right"/>
    </xf>
    <xf numFmtId="0" fontId="4" fillId="0" borderId="0" xfId="0" applyFont="1" applyBorder="1" applyAlignment="1">
      <alignment/>
    </xf>
    <xf numFmtId="171" fontId="6" fillId="0" borderId="0" xfId="0" applyNumberFormat="1" applyFont="1" applyFill="1" applyBorder="1" applyAlignment="1">
      <alignment horizontal="center"/>
    </xf>
    <xf numFmtId="0" fontId="4" fillId="0" borderId="0" xfId="0" applyFont="1" applyFill="1" applyBorder="1" applyAlignment="1">
      <alignment horizontal="left"/>
    </xf>
    <xf numFmtId="43" fontId="6" fillId="0" borderId="0" xfId="49" applyFont="1" applyFill="1" applyBorder="1" applyAlignment="1">
      <alignment horizontal="center"/>
    </xf>
    <xf numFmtId="169" fontId="6" fillId="0" borderId="0" xfId="49" applyNumberFormat="1" applyFont="1" applyFill="1" applyBorder="1" applyAlignment="1">
      <alignment horizontal="center"/>
    </xf>
    <xf numFmtId="43" fontId="4" fillId="0" borderId="0" xfId="49" applyFont="1" applyFill="1" applyBorder="1" applyAlignment="1">
      <alignment/>
    </xf>
    <xf numFmtId="0" fontId="8" fillId="0" borderId="0" xfId="0" applyFont="1" applyFill="1" applyAlignment="1">
      <alignment/>
    </xf>
    <xf numFmtId="0" fontId="8" fillId="0" borderId="0" xfId="0" applyFont="1" applyAlignment="1">
      <alignment horizontal="left"/>
    </xf>
    <xf numFmtId="0" fontId="7" fillId="0" borderId="0" xfId="0" applyFont="1" applyAlignment="1">
      <alignment horizontal="right"/>
    </xf>
    <xf numFmtId="0" fontId="8" fillId="0" borderId="0" xfId="0" applyFont="1" applyBorder="1" applyAlignment="1">
      <alignment/>
    </xf>
    <xf numFmtId="171" fontId="7" fillId="0" borderId="0" xfId="0" applyNumberFormat="1" applyFont="1" applyFill="1" applyBorder="1" applyAlignment="1">
      <alignment/>
    </xf>
    <xf numFmtId="171" fontId="7" fillId="0" borderId="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left"/>
    </xf>
    <xf numFmtId="0" fontId="7" fillId="0" borderId="0" xfId="0" applyFont="1" applyFill="1" applyBorder="1" applyAlignment="1">
      <alignment horizontal="center"/>
    </xf>
    <xf numFmtId="0" fontId="9" fillId="0" borderId="0" xfId="0" applyFont="1" applyAlignment="1">
      <alignment/>
    </xf>
    <xf numFmtId="0" fontId="7" fillId="0" borderId="0" xfId="0" applyFont="1" applyAlignment="1">
      <alignment/>
    </xf>
    <xf numFmtId="0" fontId="7" fillId="0" borderId="0" xfId="0" applyFont="1" applyFill="1" applyBorder="1" applyAlignment="1">
      <alignment/>
    </xf>
    <xf numFmtId="43" fontId="8" fillId="0" borderId="0" xfId="49" applyFont="1" applyFill="1" applyBorder="1" applyAlignment="1">
      <alignment/>
    </xf>
    <xf numFmtId="0" fontId="57" fillId="0" borderId="0" xfId="0" applyFont="1" applyFill="1" applyAlignment="1">
      <alignment/>
    </xf>
    <xf numFmtId="0" fontId="8" fillId="0" borderId="10" xfId="0" applyFont="1" applyFill="1" applyBorder="1" applyAlignment="1">
      <alignment horizontal="center" vertical="distributed"/>
    </xf>
    <xf numFmtId="0" fontId="8" fillId="0" borderId="10" xfId="0" applyFont="1" applyBorder="1" applyAlignment="1">
      <alignment horizontal="center" vertical="distributed"/>
    </xf>
    <xf numFmtId="0" fontId="8" fillId="0" borderId="11" xfId="0" applyFont="1" applyFill="1" applyBorder="1" applyAlignment="1">
      <alignment horizontal="center" vertical="distributed"/>
    </xf>
    <xf numFmtId="0" fontId="8" fillId="0" borderId="11" xfId="0" applyFont="1" applyBorder="1" applyAlignment="1">
      <alignment horizontal="center" vertical="distributed"/>
    </xf>
    <xf numFmtId="0" fontId="7" fillId="0" borderId="0" xfId="0" applyFont="1" applyFill="1" applyBorder="1" applyAlignment="1">
      <alignment vertical="center" textRotation="90"/>
    </xf>
    <xf numFmtId="0" fontId="6" fillId="0" borderId="13" xfId="0" applyFont="1" applyBorder="1" applyAlignment="1">
      <alignment/>
    </xf>
    <xf numFmtId="0" fontId="6" fillId="0" borderId="14" xfId="0" applyFont="1" applyBorder="1" applyAlignment="1">
      <alignment/>
    </xf>
    <xf numFmtId="164" fontId="7" fillId="0" borderId="10" xfId="0" applyNumberFormat="1" applyFont="1" applyFill="1" applyBorder="1" applyAlignment="1">
      <alignment horizontal="center"/>
    </xf>
    <xf numFmtId="10" fontId="7" fillId="33" borderId="10" xfId="56" applyNumberFormat="1" applyFont="1" applyFill="1" applyBorder="1" applyAlignment="1">
      <alignment horizontal="center"/>
    </xf>
    <xf numFmtId="43" fontId="7" fillId="0" borderId="10" xfId="49" applyFont="1" applyBorder="1" applyAlignment="1">
      <alignment horizontal="center"/>
    </xf>
    <xf numFmtId="164" fontId="7" fillId="0" borderId="10" xfId="0" applyNumberFormat="1" applyFont="1" applyBorder="1" applyAlignment="1">
      <alignment horizontal="center"/>
    </xf>
    <xf numFmtId="0" fontId="7" fillId="0" borderId="10" xfId="0" applyFont="1" applyBorder="1" applyAlignment="1">
      <alignment horizontal="center"/>
    </xf>
    <xf numFmtId="43" fontId="7" fillId="0" borderId="12" xfId="49" applyFont="1" applyFill="1" applyBorder="1" applyAlignment="1">
      <alignment horizontal="center"/>
    </xf>
    <xf numFmtId="10" fontId="8" fillId="33" borderId="10" xfId="56" applyNumberFormat="1" applyFont="1" applyFill="1" applyBorder="1" applyAlignment="1">
      <alignment horizontal="center"/>
    </xf>
    <xf numFmtId="10" fontId="8" fillId="34" borderId="10" xfId="56" applyNumberFormat="1" applyFont="1" applyFill="1" applyBorder="1" applyAlignment="1">
      <alignment horizontal="center"/>
    </xf>
    <xf numFmtId="164" fontId="6" fillId="0" borderId="15" xfId="0" applyNumberFormat="1" applyFont="1" applyFill="1" applyBorder="1" applyAlignment="1">
      <alignment/>
    </xf>
    <xf numFmtId="43" fontId="4" fillId="0" borderId="16" xfId="49" applyFont="1" applyFill="1" applyBorder="1" applyAlignment="1">
      <alignment/>
    </xf>
    <xf numFmtId="166" fontId="6" fillId="0" borderId="15" xfId="49" applyNumberFormat="1" applyFont="1" applyFill="1" applyBorder="1" applyAlignment="1">
      <alignment/>
    </xf>
    <xf numFmtId="0" fontId="6" fillId="0" borderId="16" xfId="0" applyFont="1" applyBorder="1" applyAlignment="1">
      <alignment/>
    </xf>
    <xf numFmtId="167" fontId="6" fillId="0" borderId="15" xfId="56" applyNumberFormat="1" applyFont="1" applyFill="1" applyBorder="1" applyAlignment="1">
      <alignment/>
    </xf>
    <xf numFmtId="0" fontId="6" fillId="0" borderId="16" xfId="0" applyFont="1" applyFill="1" applyBorder="1" applyAlignment="1">
      <alignment/>
    </xf>
    <xf numFmtId="177" fontId="6" fillId="0" borderId="15" xfId="0" applyNumberFormat="1" applyFont="1" applyBorder="1" applyAlignment="1">
      <alignment/>
    </xf>
    <xf numFmtId="0" fontId="6" fillId="0" borderId="0" xfId="0" applyFont="1" applyFill="1" applyBorder="1" applyAlignment="1">
      <alignment horizontal="left"/>
    </xf>
    <xf numFmtId="164" fontId="61" fillId="0" borderId="10" xfId="0" applyNumberFormat="1" applyFont="1" applyFill="1" applyBorder="1" applyAlignment="1">
      <alignment horizontal="center"/>
    </xf>
    <xf numFmtId="43" fontId="7" fillId="0" borderId="0" xfId="49" applyFont="1" applyBorder="1" applyAlignment="1">
      <alignment horizontal="center"/>
    </xf>
    <xf numFmtId="43" fontId="7" fillId="0" borderId="0" xfId="0" applyNumberFormat="1" applyFont="1" applyBorder="1" applyAlignment="1">
      <alignment horizontal="center"/>
    </xf>
    <xf numFmtId="43" fontId="7" fillId="0" borderId="0" xfId="49" applyFont="1" applyFill="1" applyBorder="1" applyAlignment="1">
      <alignment horizontal="center"/>
    </xf>
    <xf numFmtId="10" fontId="8" fillId="0" borderId="0" xfId="56" applyNumberFormat="1" applyFont="1" applyFill="1" applyBorder="1" applyAlignment="1">
      <alignment/>
    </xf>
    <xf numFmtId="167" fontId="4" fillId="0" borderId="15" xfId="56" applyNumberFormat="1" applyFont="1" applyFill="1" applyBorder="1" applyAlignment="1">
      <alignment/>
    </xf>
    <xf numFmtId="165" fontId="4" fillId="0" borderId="15" xfId="49" applyNumberFormat="1" applyFont="1" applyFill="1" applyBorder="1" applyAlignment="1">
      <alignment/>
    </xf>
    <xf numFmtId="43" fontId="6" fillId="0" borderId="17" xfId="0" applyNumberFormat="1" applyFont="1" applyBorder="1" applyAlignment="1">
      <alignment/>
    </xf>
    <xf numFmtId="166" fontId="6" fillId="33" borderId="15" xfId="49" applyNumberFormat="1" applyFont="1" applyFill="1" applyBorder="1" applyAlignment="1">
      <alignment/>
    </xf>
    <xf numFmtId="167" fontId="6" fillId="0" borderId="0" xfId="56" applyNumberFormat="1" applyFont="1" applyAlignment="1">
      <alignment/>
    </xf>
    <xf numFmtId="10" fontId="4" fillId="33" borderId="17" xfId="56" applyNumberFormat="1" applyFont="1" applyFill="1" applyBorder="1" applyAlignment="1">
      <alignment/>
    </xf>
    <xf numFmtId="169" fontId="6" fillId="0" borderId="0" xfId="0" applyNumberFormat="1" applyFont="1" applyBorder="1" applyAlignment="1">
      <alignment/>
    </xf>
    <xf numFmtId="10" fontId="62" fillId="0" borderId="15" xfId="0" applyNumberFormat="1" applyFont="1" applyBorder="1" applyAlignment="1">
      <alignment/>
    </xf>
    <xf numFmtId="0" fontId="63" fillId="0" borderId="0" xfId="0" applyFont="1" applyBorder="1" applyAlignment="1">
      <alignment/>
    </xf>
    <xf numFmtId="0" fontId="8" fillId="0" borderId="0" xfId="0" applyFont="1" applyAlignment="1">
      <alignment horizontal="center"/>
    </xf>
    <xf numFmtId="0" fontId="4" fillId="0" borderId="18" xfId="0" applyFont="1" applyBorder="1" applyAlignment="1">
      <alignment/>
    </xf>
    <xf numFmtId="10" fontId="62" fillId="0" borderId="19" xfId="0" applyNumberFormat="1" applyFont="1" applyBorder="1" applyAlignment="1">
      <alignment/>
    </xf>
    <xf numFmtId="0" fontId="63" fillId="0" borderId="20" xfId="0" applyFont="1" applyBorder="1" applyAlignment="1">
      <alignment/>
    </xf>
    <xf numFmtId="0" fontId="6" fillId="0" borderId="20" xfId="0" applyFont="1" applyBorder="1" applyAlignment="1">
      <alignment/>
    </xf>
    <xf numFmtId="170" fontId="6" fillId="0" borderId="20" xfId="0" applyNumberFormat="1" applyFont="1" applyBorder="1" applyAlignment="1">
      <alignment/>
    </xf>
    <xf numFmtId="0" fontId="6" fillId="0" borderId="21" xfId="0" applyFont="1" applyBorder="1" applyAlignment="1">
      <alignment/>
    </xf>
    <xf numFmtId="0" fontId="6" fillId="0"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10" fontId="6" fillId="0" borderId="0" xfId="56" applyNumberFormat="1" applyFont="1" applyAlignment="1">
      <alignment/>
    </xf>
    <xf numFmtId="10" fontId="6" fillId="0" borderId="0" xfId="0" applyNumberFormat="1" applyFont="1" applyAlignment="1">
      <alignment/>
    </xf>
    <xf numFmtId="0" fontId="4" fillId="0" borderId="23" xfId="0" applyFont="1" applyBorder="1" applyAlignment="1">
      <alignment/>
    </xf>
    <xf numFmtId="1" fontId="4" fillId="33" borderId="18" xfId="0" applyNumberFormat="1" applyFont="1" applyFill="1" applyBorder="1" applyAlignment="1">
      <alignment horizontal="center"/>
    </xf>
    <xf numFmtId="1" fontId="4" fillId="35" borderId="18" xfId="0" applyNumberFormat="1" applyFont="1" applyFill="1" applyBorder="1" applyAlignment="1">
      <alignment horizontal="center"/>
    </xf>
    <xf numFmtId="10" fontId="6" fillId="0" borderId="0" xfId="0" applyNumberFormat="1" applyFont="1" applyFill="1" applyBorder="1" applyAlignment="1">
      <alignment/>
    </xf>
    <xf numFmtId="10" fontId="6" fillId="0" borderId="0" xfId="49" applyNumberFormat="1" applyFont="1" applyFill="1" applyBorder="1" applyAlignment="1">
      <alignment/>
    </xf>
    <xf numFmtId="164" fontId="6" fillId="0" borderId="0" xfId="49" applyNumberFormat="1" applyFont="1" applyAlignment="1">
      <alignment/>
    </xf>
    <xf numFmtId="1" fontId="6" fillId="0" borderId="0" xfId="0" applyNumberFormat="1" applyFont="1" applyAlignment="1">
      <alignment/>
    </xf>
    <xf numFmtId="10" fontId="57" fillId="0" borderId="12" xfId="56" applyNumberFormat="1" applyFont="1" applyFill="1" applyBorder="1" applyAlignment="1">
      <alignment/>
    </xf>
    <xf numFmtId="0" fontId="6" fillId="0" borderId="24" xfId="0" applyFont="1" applyBorder="1" applyAlignment="1">
      <alignment/>
    </xf>
    <xf numFmtId="0" fontId="4" fillId="0" borderId="10" xfId="0" applyFont="1" applyBorder="1" applyAlignment="1">
      <alignment horizontal="right"/>
    </xf>
    <xf numFmtId="165" fontId="6" fillId="0" borderId="0" xfId="49" applyNumberFormat="1" applyFont="1" applyFill="1" applyBorder="1" applyAlignment="1">
      <alignment/>
    </xf>
    <xf numFmtId="10" fontId="57" fillId="0" borderId="0" xfId="56" applyNumberFormat="1" applyFont="1" applyFill="1" applyBorder="1" applyAlignment="1">
      <alignment horizontal="center"/>
    </xf>
    <xf numFmtId="0" fontId="4" fillId="36" borderId="24" xfId="0" applyFont="1" applyFill="1" applyBorder="1" applyAlignment="1">
      <alignment horizontal="right"/>
    </xf>
    <xf numFmtId="164" fontId="57" fillId="0" borderId="0" xfId="49" applyNumberFormat="1" applyFont="1" applyFill="1" applyBorder="1" applyAlignment="1">
      <alignment horizontal="center"/>
    </xf>
    <xf numFmtId="0" fontId="57" fillId="37" borderId="10" xfId="0" applyFont="1" applyFill="1" applyBorder="1" applyAlignment="1">
      <alignment horizontal="center"/>
    </xf>
    <xf numFmtId="0" fontId="6" fillId="37" borderId="10" xfId="0" applyFont="1" applyFill="1" applyBorder="1" applyAlignment="1">
      <alignment/>
    </xf>
    <xf numFmtId="0" fontId="4" fillId="37" borderId="10" xfId="0" applyFont="1" applyFill="1" applyBorder="1" applyAlignment="1">
      <alignment horizontal="right"/>
    </xf>
    <xf numFmtId="1" fontId="4" fillId="37" borderId="10" xfId="0" applyNumberFormat="1" applyFont="1" applyFill="1" applyBorder="1" applyAlignment="1">
      <alignment horizontal="center" vertical="distributed"/>
    </xf>
    <xf numFmtId="165" fontId="6" fillId="0" borderId="0" xfId="0" applyNumberFormat="1" applyFont="1" applyFill="1" applyBorder="1" applyAlignment="1">
      <alignment/>
    </xf>
    <xf numFmtId="164" fontId="57" fillId="38" borderId="12" xfId="0" applyNumberFormat="1" applyFont="1" applyFill="1" applyBorder="1" applyAlignment="1">
      <alignment horizontal="center"/>
    </xf>
    <xf numFmtId="43" fontId="4" fillId="38" borderId="24" xfId="49" applyFont="1" applyFill="1" applyBorder="1" applyAlignment="1">
      <alignment horizontal="right"/>
    </xf>
    <xf numFmtId="1" fontId="4" fillId="38" borderId="10" xfId="0" applyNumberFormat="1" applyFont="1" applyFill="1" applyBorder="1" applyAlignment="1">
      <alignment horizontal="center" vertical="distributed"/>
    </xf>
    <xf numFmtId="49" fontId="6" fillId="0" borderId="0" xfId="0" applyNumberFormat="1" applyFont="1" applyFill="1" applyBorder="1" applyAlignment="1">
      <alignment/>
    </xf>
    <xf numFmtId="1" fontId="6" fillId="0" borderId="0" xfId="0" applyNumberFormat="1" applyFont="1" applyAlignment="1">
      <alignment horizontal="center"/>
    </xf>
    <xf numFmtId="0" fontId="6" fillId="0" borderId="12" xfId="0" applyFont="1" applyFill="1" applyBorder="1" applyAlignment="1">
      <alignment/>
    </xf>
    <xf numFmtId="0" fontId="6" fillId="0" borderId="24" xfId="0" applyFont="1" applyFill="1" applyBorder="1" applyAlignment="1">
      <alignment/>
    </xf>
    <xf numFmtId="164" fontId="4" fillId="0" borderId="0" xfId="0" applyNumberFormat="1" applyFont="1" applyFill="1" applyBorder="1" applyAlignment="1">
      <alignment/>
    </xf>
    <xf numFmtId="164" fontId="4" fillId="0" borderId="0" xfId="0" applyNumberFormat="1" applyFont="1" applyFill="1" applyBorder="1" applyAlignment="1">
      <alignment horizontal="center"/>
    </xf>
    <xf numFmtId="164" fontId="10" fillId="0" borderId="0" xfId="0" applyNumberFormat="1" applyFont="1" applyFill="1" applyBorder="1" applyAlignment="1">
      <alignment/>
    </xf>
    <xf numFmtId="49" fontId="7" fillId="0" borderId="0" xfId="0" applyNumberFormat="1" applyFont="1" applyAlignment="1">
      <alignment/>
    </xf>
    <xf numFmtId="0" fontId="57" fillId="34" borderId="12" xfId="0" applyFont="1" applyFill="1" applyBorder="1" applyAlignment="1">
      <alignment horizontal="center"/>
    </xf>
    <xf numFmtId="0" fontId="6" fillId="34" borderId="24" xfId="0" applyFont="1" applyFill="1" applyBorder="1" applyAlignment="1">
      <alignment/>
    </xf>
    <xf numFmtId="0" fontId="4" fillId="34" borderId="25" xfId="0" applyFont="1" applyFill="1" applyBorder="1" applyAlignment="1">
      <alignment horizontal="right"/>
    </xf>
    <xf numFmtId="1" fontId="4" fillId="34" borderId="25" xfId="0" applyNumberFormat="1" applyFont="1" applyFill="1" applyBorder="1" applyAlignment="1">
      <alignment horizontal="center" vertical="distributed"/>
    </xf>
    <xf numFmtId="1" fontId="4" fillId="34" borderId="10" xfId="0" applyNumberFormat="1" applyFont="1" applyFill="1" applyBorder="1" applyAlignment="1">
      <alignment horizontal="center" vertical="distributed"/>
    </xf>
    <xf numFmtId="164" fontId="57" fillId="38" borderId="26" xfId="0" applyNumberFormat="1" applyFont="1" applyFill="1" applyBorder="1" applyAlignment="1">
      <alignment horizontal="center"/>
    </xf>
    <xf numFmtId="43" fontId="4" fillId="38" borderId="0" xfId="49" applyFont="1" applyFill="1" applyBorder="1" applyAlignment="1">
      <alignment horizontal="right"/>
    </xf>
    <xf numFmtId="0" fontId="6" fillId="0" borderId="27" xfId="0" applyFont="1" applyBorder="1" applyAlignment="1">
      <alignment horizontal="center"/>
    </xf>
    <xf numFmtId="0" fontId="6" fillId="0" borderId="11" xfId="0" applyFont="1" applyBorder="1" applyAlignment="1">
      <alignment horizontal="center"/>
    </xf>
    <xf numFmtId="43" fontId="64" fillId="0" borderId="0" xfId="49" applyFont="1" applyFill="1" applyBorder="1" applyAlignment="1">
      <alignment/>
    </xf>
    <xf numFmtId="43" fontId="4" fillId="0" borderId="0" xfId="49" applyFont="1" applyFill="1" applyBorder="1" applyAlignment="1">
      <alignment horizontal="right"/>
    </xf>
    <xf numFmtId="2" fontId="4" fillId="0" borderId="0" xfId="0" applyNumberFormat="1" applyFont="1" applyFill="1" applyBorder="1" applyAlignment="1">
      <alignment horizontal="center"/>
    </xf>
    <xf numFmtId="0" fontId="8" fillId="0" borderId="0" xfId="0" applyFont="1" applyAlignment="1">
      <alignment horizontal="right"/>
    </xf>
    <xf numFmtId="0" fontId="6" fillId="0" borderId="26" xfId="0" applyFont="1" applyBorder="1" applyAlignment="1">
      <alignment horizontal="center"/>
    </xf>
    <xf numFmtId="0" fontId="6" fillId="0" borderId="28" xfId="0" applyFont="1" applyBorder="1" applyAlignment="1">
      <alignment horizontal="center"/>
    </xf>
    <xf numFmtId="0" fontId="6" fillId="0" borderId="0" xfId="0" applyFont="1" applyAlignment="1">
      <alignment horizontal="center"/>
    </xf>
    <xf numFmtId="0" fontId="7" fillId="0" borderId="10" xfId="0" applyFont="1" applyBorder="1" applyAlignment="1">
      <alignment horizontal="right"/>
    </xf>
    <xf numFmtId="164" fontId="7" fillId="0" borderId="10" xfId="49" applyNumberFormat="1" applyFont="1" applyFill="1" applyBorder="1" applyAlignment="1">
      <alignment/>
    </xf>
    <xf numFmtId="0" fontId="7" fillId="0" borderId="10" xfId="0" applyFont="1" applyFill="1" applyBorder="1" applyAlignment="1">
      <alignment/>
    </xf>
    <xf numFmtId="0" fontId="65" fillId="0" borderId="10" xfId="0" applyFont="1" applyFill="1" applyBorder="1" applyAlignment="1">
      <alignment horizontal="right"/>
    </xf>
    <xf numFmtId="43" fontId="6" fillId="0" borderId="10" xfId="49" applyFont="1" applyFill="1" applyBorder="1" applyAlignment="1">
      <alignment/>
    </xf>
    <xf numFmtId="0" fontId="60" fillId="0" borderId="10" xfId="0" applyFont="1" applyBorder="1" applyAlignment="1">
      <alignment horizontal="right"/>
    </xf>
    <xf numFmtId="0" fontId="7" fillId="0" borderId="12" xfId="0" applyFont="1" applyBorder="1" applyAlignment="1">
      <alignment/>
    </xf>
    <xf numFmtId="0" fontId="7" fillId="0" borderId="25" xfId="0" applyFont="1" applyBorder="1" applyAlignment="1">
      <alignment horizontal="right"/>
    </xf>
    <xf numFmtId="164" fontId="8" fillId="0" borderId="10" xfId="0" applyNumberFormat="1" applyFont="1" applyBorder="1" applyAlignment="1">
      <alignment horizontal="center"/>
    </xf>
    <xf numFmtId="164" fontId="8" fillId="0" borderId="10" xfId="49" applyNumberFormat="1" applyFont="1" applyFill="1" applyBorder="1" applyAlignment="1">
      <alignment/>
    </xf>
    <xf numFmtId="0" fontId="4" fillId="0" borderId="0" xfId="0" applyFont="1" applyBorder="1" applyAlignment="1">
      <alignment horizontal="right"/>
    </xf>
    <xf numFmtId="164" fontId="7" fillId="0" borderId="0" xfId="49" applyNumberFormat="1" applyFont="1" applyFill="1" applyBorder="1" applyAlignment="1">
      <alignment/>
    </xf>
    <xf numFmtId="164" fontId="8" fillId="0" borderId="0" xfId="49" applyNumberFormat="1" applyFont="1" applyFill="1" applyBorder="1" applyAlignment="1">
      <alignment/>
    </xf>
    <xf numFmtId="0" fontId="66" fillId="0" borderId="15" xfId="0" applyFont="1" applyBorder="1" applyAlignment="1">
      <alignment/>
    </xf>
    <xf numFmtId="164" fontId="7" fillId="0" borderId="0" xfId="49" applyNumberFormat="1" applyFont="1" applyAlignment="1">
      <alignment/>
    </xf>
    <xf numFmtId="43" fontId="66" fillId="0" borderId="10" xfId="49" applyFont="1" applyBorder="1" applyAlignment="1">
      <alignment/>
    </xf>
    <xf numFmtId="43" fontId="8" fillId="0" borderId="0" xfId="49" applyFont="1" applyAlignment="1">
      <alignment/>
    </xf>
    <xf numFmtId="164" fontId="6" fillId="0" borderId="0" xfId="0" applyNumberFormat="1" applyFont="1" applyAlignment="1">
      <alignment/>
    </xf>
    <xf numFmtId="0" fontId="8" fillId="0" borderId="0" xfId="0" applyFont="1" applyBorder="1" applyAlignment="1">
      <alignment horizontal="right"/>
    </xf>
    <xf numFmtId="43" fontId="7" fillId="39" borderId="0" xfId="0" applyNumberFormat="1" applyFont="1" applyFill="1" applyAlignment="1">
      <alignment/>
    </xf>
    <xf numFmtId="43" fontId="6" fillId="0" borderId="0" xfId="49" applyFont="1" applyBorder="1" applyAlignment="1">
      <alignment/>
    </xf>
    <xf numFmtId="0" fontId="4" fillId="0" borderId="20" xfId="0" applyFont="1" applyBorder="1" applyAlignment="1">
      <alignment horizontal="right"/>
    </xf>
    <xf numFmtId="43" fontId="4" fillId="0" borderId="23" xfId="0" applyNumberFormat="1" applyFont="1" applyBorder="1" applyAlignment="1">
      <alignment/>
    </xf>
    <xf numFmtId="43" fontId="7" fillId="0" borderId="0" xfId="0" applyNumberFormat="1" applyFont="1" applyAlignment="1">
      <alignment/>
    </xf>
    <xf numFmtId="171" fontId="6" fillId="0" borderId="0" xfId="0" applyNumberFormat="1" applyFont="1" applyAlignment="1">
      <alignment/>
    </xf>
    <xf numFmtId="0" fontId="6" fillId="0" borderId="22" xfId="0" applyFont="1" applyFill="1" applyBorder="1" applyAlignment="1">
      <alignment horizontal="right"/>
    </xf>
    <xf numFmtId="165" fontId="4" fillId="39" borderId="29" xfId="49" applyNumberFormat="1" applyFont="1" applyFill="1" applyBorder="1" applyAlignment="1">
      <alignment/>
    </xf>
    <xf numFmtId="169" fontId="7" fillId="0" borderId="0" xfId="0" applyNumberFormat="1" applyFont="1" applyFill="1" applyBorder="1" applyAlignment="1">
      <alignment/>
    </xf>
    <xf numFmtId="0" fontId="4" fillId="0" borderId="0" xfId="0" applyFont="1" applyBorder="1" applyAlignment="1">
      <alignment horizontal="center"/>
    </xf>
    <xf numFmtId="9" fontId="6" fillId="0" borderId="0" xfId="56" applyFont="1" applyFill="1" applyBorder="1" applyAlignment="1">
      <alignment/>
    </xf>
    <xf numFmtId="164" fontId="6" fillId="40" borderId="0" xfId="0" applyNumberFormat="1" applyFont="1" applyFill="1" applyBorder="1" applyAlignment="1">
      <alignment/>
    </xf>
    <xf numFmtId="2" fontId="6" fillId="40" borderId="0" xfId="0" applyNumberFormat="1" applyFont="1" applyFill="1" applyBorder="1" applyAlignment="1">
      <alignment/>
    </xf>
    <xf numFmtId="10" fontId="6" fillId="40" borderId="0" xfId="0" applyNumberFormat="1" applyFont="1" applyFill="1" applyBorder="1" applyAlignment="1">
      <alignment/>
    </xf>
    <xf numFmtId="1" fontId="6" fillId="40" borderId="0" xfId="0" applyNumberFormat="1" applyFont="1" applyFill="1" applyBorder="1" applyAlignment="1">
      <alignment horizontal="center"/>
    </xf>
    <xf numFmtId="0" fontId="67" fillId="0" borderId="0" xfId="0" applyFont="1" applyFill="1" applyBorder="1" applyAlignment="1">
      <alignment/>
    </xf>
    <xf numFmtId="49" fontId="6" fillId="40" borderId="10" xfId="0" applyNumberFormat="1" applyFont="1" applyFill="1" applyBorder="1" applyAlignment="1">
      <alignment horizontal="center"/>
    </xf>
    <xf numFmtId="49" fontId="6" fillId="40" borderId="12" xfId="0" applyNumberFormat="1" applyFont="1" applyFill="1" applyBorder="1" applyAlignment="1">
      <alignment horizontal="center"/>
    </xf>
    <xf numFmtId="0" fontId="6" fillId="40" borderId="10" xfId="0" applyFont="1" applyFill="1" applyBorder="1" applyAlignment="1">
      <alignment horizontal="center"/>
    </xf>
    <xf numFmtId="49" fontId="4" fillId="40" borderId="10" xfId="0" applyNumberFormat="1" applyFont="1" applyFill="1" applyBorder="1" applyAlignment="1">
      <alignment horizontal="center" vertical="distributed"/>
    </xf>
    <xf numFmtId="0" fontId="4" fillId="40" borderId="10" xfId="0" applyFont="1" applyFill="1" applyBorder="1" applyAlignment="1">
      <alignment horizontal="center" vertical="distributed"/>
    </xf>
    <xf numFmtId="0" fontId="6" fillId="0" borderId="0" xfId="0" applyFont="1" applyAlignment="1">
      <alignment vertical="distributed"/>
    </xf>
    <xf numFmtId="0" fontId="6" fillId="0" borderId="10" xfId="0" applyFont="1" applyBorder="1" applyAlignment="1">
      <alignment horizontal="center" vertical="distributed"/>
    </xf>
    <xf numFmtId="0" fontId="103" fillId="0" borderId="0" xfId="0" applyFont="1" applyAlignment="1">
      <alignment/>
    </xf>
    <xf numFmtId="0" fontId="104" fillId="0" borderId="0" xfId="0" applyFont="1" applyAlignment="1">
      <alignment/>
    </xf>
    <xf numFmtId="0" fontId="68" fillId="0" borderId="0" xfId="0" applyFont="1" applyAlignment="1">
      <alignment/>
    </xf>
    <xf numFmtId="0" fontId="6" fillId="0" borderId="0" xfId="0" applyFont="1" applyFill="1" applyBorder="1" applyAlignment="1">
      <alignment/>
    </xf>
    <xf numFmtId="167" fontId="4" fillId="0" borderId="0" xfId="56" applyNumberFormat="1" applyFont="1" applyFill="1" applyBorder="1" applyAlignment="1">
      <alignment/>
    </xf>
    <xf numFmtId="0" fontId="57" fillId="0" borderId="0" xfId="0" applyFont="1" applyFill="1" applyBorder="1" applyAlignment="1">
      <alignment/>
    </xf>
    <xf numFmtId="0" fontId="6" fillId="0" borderId="18" xfId="0" applyFont="1" applyBorder="1" applyAlignment="1">
      <alignment horizontal="right" vertical="distributed"/>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165" fontId="4" fillId="0" borderId="0" xfId="49" applyNumberFormat="1" applyFont="1" applyFill="1" applyBorder="1" applyAlignment="1">
      <alignment horizontal="center"/>
    </xf>
    <xf numFmtId="0" fontId="6" fillId="0" borderId="18" xfId="0" applyFont="1" applyBorder="1" applyAlignment="1">
      <alignment horizontal="center"/>
    </xf>
    <xf numFmtId="49" fontId="6" fillId="0" borderId="30" xfId="0" applyNumberFormat="1" applyFont="1" applyBorder="1" applyAlignment="1">
      <alignment/>
    </xf>
    <xf numFmtId="10" fontId="6" fillId="0" borderId="23" xfId="56" applyNumberFormat="1" applyFont="1" applyBorder="1" applyAlignment="1">
      <alignment horizontal="center"/>
    </xf>
    <xf numFmtId="10" fontId="6" fillId="0" borderId="31" xfId="56" applyNumberFormat="1" applyFont="1" applyBorder="1" applyAlignment="1">
      <alignment horizontal="center"/>
    </xf>
    <xf numFmtId="166" fontId="6" fillId="0" borderId="0" xfId="49" applyNumberFormat="1" applyFont="1" applyFill="1" applyBorder="1" applyAlignment="1">
      <alignment horizontal="center"/>
    </xf>
    <xf numFmtId="10" fontId="62" fillId="0" borderId="0" xfId="0" applyNumberFormat="1" applyFont="1" applyFill="1" applyBorder="1" applyAlignment="1">
      <alignment horizontal="center"/>
    </xf>
    <xf numFmtId="0" fontId="6" fillId="40" borderId="18" xfId="0" applyFont="1" applyFill="1" applyBorder="1" applyAlignment="1">
      <alignment/>
    </xf>
    <xf numFmtId="0" fontId="6" fillId="40" borderId="31" xfId="0" applyFont="1" applyFill="1" applyBorder="1" applyAlignment="1">
      <alignment horizontal="right"/>
    </xf>
    <xf numFmtId="10" fontId="4" fillId="35" borderId="23" xfId="0" applyNumberFormat="1" applyFont="1" applyFill="1" applyBorder="1" applyAlignment="1">
      <alignment horizontal="center"/>
    </xf>
    <xf numFmtId="0" fontId="6" fillId="40" borderId="22" xfId="0" applyFont="1" applyFill="1" applyBorder="1" applyAlignment="1">
      <alignment/>
    </xf>
    <xf numFmtId="0" fontId="6" fillId="40" borderId="21" xfId="0" applyFont="1" applyFill="1" applyBorder="1" applyAlignment="1">
      <alignment horizontal="right"/>
    </xf>
    <xf numFmtId="1" fontId="4" fillId="34" borderId="18" xfId="0" applyNumberFormat="1" applyFont="1" applyFill="1" applyBorder="1" applyAlignment="1">
      <alignment horizontal="center"/>
    </xf>
    <xf numFmtId="1" fontId="4" fillId="35" borderId="23" xfId="0" applyNumberFormat="1" applyFont="1" applyFill="1" applyBorder="1" applyAlignment="1">
      <alignment horizontal="center"/>
    </xf>
    <xf numFmtId="49" fontId="20" fillId="0" borderId="10" xfId="49" applyNumberFormat="1" applyFont="1" applyBorder="1" applyAlignment="1">
      <alignment horizontal="right"/>
    </xf>
    <xf numFmtId="1" fontId="69" fillId="0" borderId="0" xfId="0" applyNumberFormat="1" applyFont="1" applyFill="1" applyBorder="1" applyAlignment="1">
      <alignment horizontal="center"/>
    </xf>
    <xf numFmtId="0" fontId="6" fillId="36" borderId="28" xfId="0" applyFont="1" applyFill="1" applyBorder="1" applyAlignment="1">
      <alignment/>
    </xf>
    <xf numFmtId="0" fontId="4" fillId="36" borderId="10" xfId="0" applyFont="1" applyFill="1" applyBorder="1" applyAlignment="1">
      <alignment horizontal="right"/>
    </xf>
    <xf numFmtId="1" fontId="4" fillId="36" borderId="10" xfId="0" applyNumberFormat="1" applyFont="1" applyFill="1" applyBorder="1" applyAlignment="1">
      <alignment horizontal="center"/>
    </xf>
    <xf numFmtId="1" fontId="4" fillId="37" borderId="10" xfId="0" applyNumberFormat="1" applyFont="1" applyFill="1" applyBorder="1" applyAlignment="1">
      <alignment horizontal="center"/>
    </xf>
    <xf numFmtId="0" fontId="6" fillId="38" borderId="10" xfId="0" applyFont="1" applyFill="1" applyBorder="1" applyAlignment="1">
      <alignment/>
    </xf>
    <xf numFmtId="43" fontId="4" fillId="38" borderId="10" xfId="49" applyFont="1" applyFill="1" applyBorder="1" applyAlignment="1">
      <alignment horizontal="right"/>
    </xf>
    <xf numFmtId="1" fontId="4" fillId="38" borderId="10" xfId="0" applyNumberFormat="1" applyFont="1" applyFill="1" applyBorder="1" applyAlignment="1">
      <alignment horizontal="center"/>
    </xf>
    <xf numFmtId="2" fontId="6" fillId="0" borderId="0" xfId="0" applyNumberFormat="1" applyFont="1" applyFill="1" applyBorder="1" applyAlignment="1">
      <alignment/>
    </xf>
    <xf numFmtId="0" fontId="6" fillId="34" borderId="10" xfId="0" applyFont="1" applyFill="1" applyBorder="1" applyAlignment="1">
      <alignment/>
    </xf>
    <xf numFmtId="0" fontId="4" fillId="34" borderId="10" xfId="0" applyFont="1" applyFill="1" applyBorder="1" applyAlignment="1">
      <alignment horizontal="right"/>
    </xf>
    <xf numFmtId="1" fontId="4" fillId="34" borderId="10" xfId="0" applyNumberFormat="1" applyFont="1" applyFill="1" applyBorder="1" applyAlignment="1">
      <alignment horizontal="center"/>
    </xf>
    <xf numFmtId="43" fontId="64" fillId="38" borderId="10" xfId="49" applyFont="1" applyFill="1" applyBorder="1" applyAlignment="1">
      <alignment/>
    </xf>
    <xf numFmtId="1" fontId="4" fillId="0" borderId="0" xfId="0" applyNumberFormat="1" applyFont="1" applyFill="1" applyBorder="1" applyAlignment="1">
      <alignment horizontal="center"/>
    </xf>
    <xf numFmtId="0" fontId="6" fillId="40" borderId="27" xfId="0" applyFont="1" applyFill="1" applyBorder="1" applyAlignment="1">
      <alignment/>
    </xf>
    <xf numFmtId="0" fontId="6" fillId="40" borderId="32" xfId="0" applyFont="1" applyFill="1" applyBorder="1" applyAlignment="1">
      <alignment horizontal="center"/>
    </xf>
    <xf numFmtId="2" fontId="6" fillId="40" borderId="32" xfId="0" applyNumberFormat="1" applyFont="1" applyFill="1" applyBorder="1" applyAlignment="1">
      <alignment horizontal="center"/>
    </xf>
    <xf numFmtId="10" fontId="6" fillId="40" borderId="32" xfId="56" applyNumberFormat="1" applyFont="1" applyFill="1" applyBorder="1" applyAlignment="1">
      <alignment horizontal="center"/>
    </xf>
    <xf numFmtId="1" fontId="6" fillId="40" borderId="33" xfId="0" applyNumberFormat="1" applyFont="1" applyFill="1" applyBorder="1" applyAlignment="1">
      <alignment horizontal="center"/>
    </xf>
    <xf numFmtId="0" fontId="6" fillId="40" borderId="34" xfId="0" applyFont="1" applyFill="1" applyBorder="1" applyAlignment="1">
      <alignment/>
    </xf>
    <xf numFmtId="10" fontId="6" fillId="40" borderId="0" xfId="0" applyNumberFormat="1" applyFont="1" applyFill="1" applyBorder="1" applyAlignment="1">
      <alignment horizontal="center"/>
    </xf>
    <xf numFmtId="2" fontId="6" fillId="40" borderId="0" xfId="0" applyNumberFormat="1" applyFont="1" applyFill="1" applyBorder="1" applyAlignment="1">
      <alignment horizontal="center"/>
    </xf>
    <xf numFmtId="10" fontId="6" fillId="40" borderId="0" xfId="56" applyNumberFormat="1" applyFont="1" applyFill="1" applyBorder="1" applyAlignment="1">
      <alignment horizontal="center"/>
    </xf>
    <xf numFmtId="1" fontId="6" fillId="40" borderId="35" xfId="0" applyNumberFormat="1" applyFont="1" applyFill="1" applyBorder="1" applyAlignment="1">
      <alignment horizontal="center"/>
    </xf>
    <xf numFmtId="0" fontId="6" fillId="40" borderId="0" xfId="0" applyFont="1" applyFill="1" applyBorder="1" applyAlignment="1">
      <alignment horizontal="center"/>
    </xf>
    <xf numFmtId="0" fontId="6" fillId="40" borderId="10" xfId="0" applyFont="1" applyFill="1" applyBorder="1" applyAlignment="1">
      <alignment horizontal="center" vertical="distributed"/>
    </xf>
    <xf numFmtId="0" fontId="6" fillId="40" borderId="26" xfId="0" applyFont="1" applyFill="1" applyBorder="1" applyAlignment="1">
      <alignment/>
    </xf>
    <xf numFmtId="0" fontId="4" fillId="0" borderId="0" xfId="0" applyFont="1" applyFill="1" applyAlignment="1">
      <alignment/>
    </xf>
    <xf numFmtId="167" fontId="6" fillId="0" borderId="0" xfId="56" applyNumberFormat="1" applyFont="1" applyFill="1" applyBorder="1" applyAlignment="1">
      <alignment/>
    </xf>
    <xf numFmtId="43" fontId="4" fillId="0" borderId="13" xfId="49" applyFont="1" applyFill="1" applyBorder="1" applyAlignment="1">
      <alignment horizontal="right"/>
    </xf>
    <xf numFmtId="49" fontId="4" fillId="0" borderId="0" xfId="0" applyNumberFormat="1" applyFont="1" applyAlignment="1">
      <alignment/>
    </xf>
    <xf numFmtId="49" fontId="4" fillId="0" borderId="10" xfId="49" applyNumberFormat="1" applyFont="1" applyBorder="1" applyAlignment="1">
      <alignment horizontal="right"/>
    </xf>
    <xf numFmtId="1" fontId="5" fillId="0" borderId="0" xfId="0" applyNumberFormat="1" applyFont="1" applyFill="1" applyBorder="1" applyAlignment="1">
      <alignment horizontal="center"/>
    </xf>
    <xf numFmtId="43" fontId="6" fillId="38" borderId="24" xfId="49" applyFont="1" applyFill="1" applyBorder="1" applyAlignment="1">
      <alignment/>
    </xf>
    <xf numFmtId="0" fontId="68" fillId="0" borderId="0" xfId="0" applyFont="1" applyFill="1" applyAlignment="1">
      <alignment/>
    </xf>
    <xf numFmtId="43" fontId="6" fillId="38" borderId="0" xfId="49" applyFont="1" applyFill="1" applyBorder="1" applyAlignment="1">
      <alignment/>
    </xf>
    <xf numFmtId="43" fontId="70" fillId="0" borderId="0" xfId="49" applyFont="1" applyFill="1" applyBorder="1" applyAlignment="1">
      <alignment horizontal="center" vertical="distributed" wrapText="1"/>
    </xf>
    <xf numFmtId="43" fontId="4" fillId="0" borderId="0" xfId="49" applyFont="1" applyFill="1" applyBorder="1" applyAlignment="1">
      <alignment horizontal="right" vertical="distributed"/>
    </xf>
    <xf numFmtId="43" fontId="4" fillId="0" borderId="0" xfId="0" applyNumberFormat="1" applyFont="1" applyFill="1" applyBorder="1" applyAlignment="1">
      <alignment horizontal="right" vertical="distributed"/>
    </xf>
    <xf numFmtId="10" fontId="8" fillId="0" borderId="0" xfId="0" applyNumberFormat="1" applyFont="1" applyAlignment="1">
      <alignment/>
    </xf>
    <xf numFmtId="10" fontId="57" fillId="0" borderId="0" xfId="0" applyNumberFormat="1" applyFont="1" applyFill="1" applyBorder="1" applyAlignment="1">
      <alignment horizontal="right"/>
    </xf>
    <xf numFmtId="49" fontId="4" fillId="0" borderId="0" xfId="49" applyNumberFormat="1" applyFont="1" applyFill="1" applyBorder="1" applyAlignment="1">
      <alignment horizontal="center" vertical="distributed"/>
    </xf>
    <xf numFmtId="167" fontId="6" fillId="0" borderId="0" xfId="56" applyNumberFormat="1" applyFont="1" applyFill="1" applyAlignment="1">
      <alignment horizontal="center"/>
    </xf>
    <xf numFmtId="164" fontId="6" fillId="0" borderId="0" xfId="0" applyNumberFormat="1" applyFont="1" applyFill="1" applyBorder="1" applyAlignment="1">
      <alignment/>
    </xf>
    <xf numFmtId="9" fontId="6" fillId="0" borderId="0" xfId="0" applyNumberFormat="1" applyFont="1" applyFill="1" applyBorder="1" applyAlignment="1">
      <alignment/>
    </xf>
    <xf numFmtId="171" fontId="6" fillId="0" borderId="36" xfId="49" applyNumberFormat="1" applyFont="1" applyBorder="1" applyAlignment="1">
      <alignment horizontal="center" vertical="center"/>
    </xf>
    <xf numFmtId="0" fontId="6" fillId="0" borderId="3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left" vertical="center"/>
    </xf>
    <xf numFmtId="164" fontId="6" fillId="41" borderId="23" xfId="0" applyNumberFormat="1" applyFont="1" applyFill="1" applyBorder="1" applyAlignment="1">
      <alignment vertical="center"/>
    </xf>
    <xf numFmtId="164" fontId="6" fillId="0" borderId="30" xfId="0" applyNumberFormat="1" applyFont="1" applyBorder="1" applyAlignment="1">
      <alignment vertical="center"/>
    </xf>
    <xf numFmtId="164" fontId="6" fillId="41" borderId="23" xfId="49" applyNumberFormat="1" applyFont="1" applyFill="1" applyBorder="1" applyAlignment="1">
      <alignment vertical="center"/>
    </xf>
    <xf numFmtId="0" fontId="59" fillId="0" borderId="22" xfId="0" applyFont="1" applyBorder="1" applyAlignment="1">
      <alignment horizontal="left" vertical="center"/>
    </xf>
    <xf numFmtId="164" fontId="6" fillId="0" borderId="29" xfId="49" applyNumberFormat="1" applyFont="1" applyBorder="1" applyAlignment="1">
      <alignment vertical="center"/>
    </xf>
    <xf numFmtId="164" fontId="6" fillId="0" borderId="20" xfId="49" applyNumberFormat="1" applyFont="1" applyBorder="1" applyAlignment="1">
      <alignment vertical="center"/>
    </xf>
    <xf numFmtId="0" fontId="60" fillId="0" borderId="0" xfId="0" applyFont="1" applyFill="1" applyBorder="1" applyAlignment="1">
      <alignment horizontal="center"/>
    </xf>
    <xf numFmtId="164" fontId="60" fillId="0" borderId="0" xfId="0" applyNumberFormat="1" applyFont="1" applyFill="1" applyAlignment="1">
      <alignment horizontal="right"/>
    </xf>
    <xf numFmtId="171" fontId="60" fillId="0" borderId="0" xfId="0" applyNumberFormat="1" applyFont="1" applyFill="1" applyBorder="1" applyAlignment="1">
      <alignment horizontal="right"/>
    </xf>
    <xf numFmtId="168" fontId="60" fillId="0" borderId="0" xfId="49" applyNumberFormat="1" applyFont="1" applyFill="1" applyBorder="1" applyAlignment="1">
      <alignment/>
    </xf>
    <xf numFmtId="0" fontId="8" fillId="0" borderId="27" xfId="0" applyFont="1" applyBorder="1" applyAlignment="1">
      <alignment horizontal="center" vertical="distributed"/>
    </xf>
    <xf numFmtId="43" fontId="4" fillId="0" borderId="36" xfId="49" applyFont="1" applyFill="1" applyBorder="1" applyAlignment="1">
      <alignment/>
    </xf>
    <xf numFmtId="43" fontId="6" fillId="0" borderId="13" xfId="49" applyFont="1" applyFill="1" applyBorder="1" applyAlignment="1">
      <alignment/>
    </xf>
    <xf numFmtId="43" fontId="6" fillId="0" borderId="14" xfId="49" applyFont="1" applyFill="1" applyBorder="1" applyAlignment="1">
      <alignment/>
    </xf>
    <xf numFmtId="0" fontId="4" fillId="0" borderId="36" xfId="0" applyFont="1" applyFill="1" applyBorder="1" applyAlignment="1">
      <alignment/>
    </xf>
    <xf numFmtId="0" fontId="4" fillId="0" borderId="13" xfId="0" applyFont="1" applyFill="1" applyBorder="1" applyAlignment="1">
      <alignment horizontal="left"/>
    </xf>
    <xf numFmtId="10" fontId="8" fillId="35" borderId="12" xfId="56" applyNumberFormat="1" applyFont="1" applyFill="1" applyBorder="1" applyAlignment="1">
      <alignment horizontal="center"/>
    </xf>
    <xf numFmtId="174" fontId="61" fillId="0" borderId="10" xfId="56" applyNumberFormat="1" applyFont="1" applyFill="1" applyBorder="1" applyAlignment="1">
      <alignment horizontal="center"/>
    </xf>
    <xf numFmtId="180" fontId="4" fillId="33" borderId="18" xfId="56" applyNumberFormat="1" applyFont="1" applyFill="1" applyBorder="1" applyAlignment="1">
      <alignment horizontal="center"/>
    </xf>
    <xf numFmtId="174" fontId="4" fillId="35" borderId="18" xfId="56" applyNumberFormat="1" applyFont="1" applyFill="1" applyBorder="1" applyAlignment="1">
      <alignment horizontal="center"/>
    </xf>
    <xf numFmtId="174" fontId="4" fillId="34" borderId="18" xfId="56" applyNumberFormat="1" applyFont="1" applyFill="1" applyBorder="1" applyAlignment="1">
      <alignment horizontal="center"/>
    </xf>
    <xf numFmtId="0" fontId="57" fillId="42" borderId="26" xfId="0" applyFont="1" applyFill="1" applyBorder="1" applyAlignment="1">
      <alignment/>
    </xf>
    <xf numFmtId="0" fontId="6" fillId="42" borderId="38" xfId="0" applyFont="1" applyFill="1" applyBorder="1" applyAlignment="1">
      <alignment/>
    </xf>
    <xf numFmtId="0" fontId="4" fillId="42" borderId="24" xfId="0" applyFont="1" applyFill="1" applyBorder="1" applyAlignment="1">
      <alignment horizontal="right"/>
    </xf>
    <xf numFmtId="1" fontId="4" fillId="42" borderId="10" xfId="0" applyNumberFormat="1" applyFont="1" applyFill="1" applyBorder="1" applyAlignment="1">
      <alignment horizontal="center" vertical="distributed"/>
    </xf>
    <xf numFmtId="1" fontId="4" fillId="42" borderId="12" xfId="0" applyNumberFormat="1" applyFont="1" applyFill="1" applyBorder="1" applyAlignment="1">
      <alignment horizontal="center" vertical="distributed"/>
    </xf>
    <xf numFmtId="1" fontId="4" fillId="37" borderId="12" xfId="0" applyNumberFormat="1" applyFont="1" applyFill="1" applyBorder="1" applyAlignment="1">
      <alignment horizontal="center" vertical="distributed"/>
    </xf>
    <xf numFmtId="1" fontId="4" fillId="38" borderId="12" xfId="0" applyNumberFormat="1" applyFont="1" applyFill="1" applyBorder="1" applyAlignment="1">
      <alignment horizontal="center" vertical="distributed"/>
    </xf>
    <xf numFmtId="0" fontId="57" fillId="42" borderId="34" xfId="0" applyFont="1" applyFill="1" applyBorder="1" applyAlignment="1">
      <alignment/>
    </xf>
    <xf numFmtId="0" fontId="6" fillId="42" borderId="0" xfId="0" applyFont="1" applyFill="1" applyBorder="1" applyAlignment="1">
      <alignment/>
    </xf>
    <xf numFmtId="0" fontId="4" fillId="42" borderId="32" xfId="0" applyFont="1" applyFill="1" applyBorder="1" applyAlignment="1">
      <alignment horizontal="right"/>
    </xf>
    <xf numFmtId="1" fontId="4" fillId="34" borderId="12" xfId="0" applyNumberFormat="1" applyFont="1" applyFill="1" applyBorder="1" applyAlignment="1">
      <alignment horizontal="center" vertical="distributed"/>
    </xf>
    <xf numFmtId="49" fontId="6" fillId="40" borderId="12" xfId="0" applyNumberFormat="1" applyFont="1" applyFill="1" applyBorder="1" applyAlignment="1">
      <alignment/>
    </xf>
    <xf numFmtId="49" fontId="6" fillId="40" borderId="10" xfId="0" applyNumberFormat="1" applyFont="1" applyFill="1" applyBorder="1" applyAlignment="1">
      <alignment/>
    </xf>
    <xf numFmtId="49" fontId="6" fillId="40" borderId="10" xfId="0" applyNumberFormat="1" applyFont="1" applyFill="1" applyBorder="1" applyAlignment="1">
      <alignment horizontal="left"/>
    </xf>
    <xf numFmtId="49" fontId="6" fillId="40" borderId="32" xfId="0" applyNumberFormat="1" applyFont="1" applyFill="1" applyBorder="1" applyAlignment="1">
      <alignment horizontal="right"/>
    </xf>
    <xf numFmtId="49" fontId="6" fillId="40" borderId="32" xfId="0" applyNumberFormat="1" applyFont="1" applyFill="1" applyBorder="1" applyAlignment="1">
      <alignment horizontal="left"/>
    </xf>
    <xf numFmtId="49" fontId="6" fillId="40" borderId="33" xfId="0" applyNumberFormat="1" applyFont="1" applyFill="1" applyBorder="1" applyAlignment="1">
      <alignment horizontal="left"/>
    </xf>
    <xf numFmtId="49" fontId="6" fillId="40" borderId="34" xfId="0" applyNumberFormat="1" applyFont="1" applyFill="1" applyBorder="1" applyAlignment="1">
      <alignment/>
    </xf>
    <xf numFmtId="49" fontId="6" fillId="40" borderId="35" xfId="0" applyNumberFormat="1" applyFont="1" applyFill="1" applyBorder="1" applyAlignment="1">
      <alignment horizontal="left"/>
    </xf>
    <xf numFmtId="10" fontId="6" fillId="40" borderId="35" xfId="0" applyNumberFormat="1" applyFont="1" applyFill="1" applyBorder="1" applyAlignment="1">
      <alignment horizontal="center"/>
    </xf>
    <xf numFmtId="49" fontId="6" fillId="40" borderId="26" xfId="0" applyNumberFormat="1" applyFont="1" applyFill="1" applyBorder="1" applyAlignment="1">
      <alignment/>
    </xf>
    <xf numFmtId="0" fontId="6" fillId="40" borderId="38" xfId="0" applyFont="1" applyFill="1" applyBorder="1" applyAlignment="1">
      <alignment/>
    </xf>
    <xf numFmtId="0" fontId="6" fillId="40" borderId="39" xfId="0" applyFont="1" applyFill="1" applyBorder="1" applyAlignment="1">
      <alignment/>
    </xf>
    <xf numFmtId="165" fontId="6" fillId="0" borderId="0" xfId="0" applyNumberFormat="1" applyFont="1" applyAlignment="1">
      <alignment vertical="distributed"/>
    </xf>
    <xf numFmtId="166" fontId="6" fillId="0" borderId="10" xfId="0" applyNumberFormat="1" applyFont="1" applyBorder="1" applyAlignment="1">
      <alignment vertical="distributed"/>
    </xf>
    <xf numFmtId="2" fontId="6" fillId="41" borderId="18" xfId="0" applyNumberFormat="1" applyFont="1" applyFill="1" applyBorder="1" applyAlignment="1">
      <alignment horizontal="center" vertical="center"/>
    </xf>
    <xf numFmtId="2" fontId="6" fillId="41" borderId="23" xfId="0" applyNumberFormat="1" applyFont="1" applyFill="1" applyBorder="1" applyAlignment="1">
      <alignment horizontal="center" vertical="center"/>
    </xf>
    <xf numFmtId="2" fontId="6" fillId="41" borderId="31" xfId="0" applyNumberFormat="1" applyFont="1" applyFill="1" applyBorder="1" applyAlignment="1">
      <alignment horizontal="center" vertical="center"/>
    </xf>
    <xf numFmtId="0" fontId="6" fillId="0" borderId="0" xfId="0" applyFont="1" applyBorder="1" applyAlignment="1">
      <alignment horizontal="center" vertical="distributed"/>
    </xf>
    <xf numFmtId="166" fontId="6" fillId="0" borderId="0" xfId="0" applyNumberFormat="1" applyFont="1" applyBorder="1" applyAlignment="1">
      <alignment vertical="distributed"/>
    </xf>
    <xf numFmtId="175" fontId="6" fillId="0" borderId="23" xfId="56" applyNumberFormat="1" applyFont="1" applyBorder="1" applyAlignment="1">
      <alignment horizontal="center"/>
    </xf>
    <xf numFmtId="0" fontId="103" fillId="0" borderId="0" xfId="0" applyFont="1" applyAlignment="1">
      <alignment vertical="center"/>
    </xf>
    <xf numFmtId="0" fontId="104" fillId="0" borderId="0" xfId="0" applyFont="1" applyFill="1" applyAlignment="1">
      <alignment vertical="center"/>
    </xf>
    <xf numFmtId="0" fontId="6" fillId="0" borderId="0" xfId="0" applyFont="1" applyAlignment="1">
      <alignment horizontal="center" vertical="center"/>
    </xf>
    <xf numFmtId="10" fontId="105" fillId="0" borderId="0" xfId="56" applyNumberFormat="1" applyFont="1" applyAlignment="1">
      <alignment horizontal="center"/>
    </xf>
    <xf numFmtId="175" fontId="6" fillId="41" borderId="31" xfId="56" applyNumberFormat="1" applyFont="1" applyFill="1" applyBorder="1" applyAlignment="1">
      <alignment horizontal="center" vertical="distributed"/>
    </xf>
    <xf numFmtId="0" fontId="11" fillId="0" borderId="0" xfId="0" applyFont="1" applyAlignment="1">
      <alignment/>
    </xf>
    <xf numFmtId="0" fontId="11" fillId="0" borderId="0" xfId="0" applyFont="1" applyFill="1" applyAlignment="1">
      <alignment/>
    </xf>
    <xf numFmtId="0" fontId="15" fillId="0" borderId="23" xfId="0" applyFont="1" applyFill="1" applyBorder="1" applyAlignment="1">
      <alignment horizontal="left" vertical="center" wrapText="1"/>
    </xf>
    <xf numFmtId="174" fontId="6" fillId="40" borderId="0" xfId="0" applyNumberFormat="1" applyFont="1" applyFill="1" applyBorder="1" applyAlignment="1">
      <alignment/>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106" fillId="42" borderId="4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41" xfId="0" applyFont="1" applyBorder="1" applyAlignment="1">
      <alignment horizontal="center" vertical="center" wrapText="1"/>
    </xf>
    <xf numFmtId="0" fontId="14" fillId="0" borderId="44" xfId="0" applyFont="1" applyBorder="1" applyAlignment="1">
      <alignment horizontal="left" vertical="center" wrapText="1"/>
    </xf>
    <xf numFmtId="0" fontId="14" fillId="0" borderId="17" xfId="0" applyFont="1" applyBorder="1" applyAlignment="1">
      <alignment horizontal="left" vertical="center" wrapText="1"/>
    </xf>
    <xf numFmtId="0" fontId="11" fillId="0" borderId="19" xfId="0" applyFont="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4" fillId="0" borderId="45" xfId="0" applyFont="1" applyBorder="1" applyAlignment="1">
      <alignment horizontal="center" vertical="center"/>
    </xf>
    <xf numFmtId="0" fontId="11" fillId="0" borderId="0" xfId="0" applyFont="1" applyAlignment="1">
      <alignment vertical="center"/>
    </xf>
    <xf numFmtId="0" fontId="14" fillId="0" borderId="0" xfId="0" applyFont="1" applyBorder="1" applyAlignment="1">
      <alignment horizontal="center" vertical="center"/>
    </xf>
    <xf numFmtId="0" fontId="107" fillId="0" borderId="0" xfId="0" applyFont="1" applyFill="1" applyBorder="1" applyAlignment="1">
      <alignment horizontal="center" vertical="center"/>
    </xf>
    <xf numFmtId="10" fontId="14" fillId="0" borderId="0" xfId="0" applyNumberFormat="1" applyFont="1" applyBorder="1" applyAlignment="1">
      <alignment horizontal="center" vertical="center"/>
    </xf>
    <xf numFmtId="0" fontId="14" fillId="0" borderId="42"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vertical="center"/>
    </xf>
    <xf numFmtId="0" fontId="108" fillId="0" borderId="0" xfId="0" applyFont="1" applyBorder="1" applyAlignment="1">
      <alignment horizontal="center" vertical="center"/>
    </xf>
    <xf numFmtId="0" fontId="109" fillId="0" borderId="0" xfId="0" applyFont="1" applyFill="1" applyBorder="1" applyAlignment="1">
      <alignment/>
    </xf>
    <xf numFmtId="0" fontId="109" fillId="0" borderId="0" xfId="0" applyFont="1" applyFill="1" applyAlignment="1">
      <alignment/>
    </xf>
    <xf numFmtId="0" fontId="109" fillId="0" borderId="0" xfId="0" applyFont="1" applyAlignment="1">
      <alignment/>
    </xf>
    <xf numFmtId="0" fontId="6" fillId="0" borderId="0" xfId="0" applyFont="1" applyFill="1" applyAlignment="1">
      <alignment horizontal="center" vertical="center"/>
    </xf>
    <xf numFmtId="0" fontId="110" fillId="0" borderId="0" xfId="0" applyFont="1" applyFill="1" applyBorder="1" applyAlignment="1">
      <alignment horizontal="center" vertical="center" wrapText="1"/>
    </xf>
    <xf numFmtId="0" fontId="110" fillId="0" borderId="0" xfId="0" applyFont="1" applyFill="1" applyBorder="1" applyAlignment="1">
      <alignment/>
    </xf>
    <xf numFmtId="0" fontId="110" fillId="0" borderId="0" xfId="0" applyFont="1" applyFill="1" applyAlignment="1">
      <alignment/>
    </xf>
    <xf numFmtId="0" fontId="110" fillId="0" borderId="0" xfId="0" applyFont="1" applyAlignment="1">
      <alignment/>
    </xf>
    <xf numFmtId="0" fontId="14" fillId="0" borderId="19" xfId="0" applyFont="1" applyBorder="1" applyAlignment="1">
      <alignment horizontal="left" vertical="center" wrapText="1"/>
    </xf>
    <xf numFmtId="0" fontId="14" fillId="0" borderId="40" xfId="0" applyFont="1" applyBorder="1" applyAlignment="1">
      <alignment horizontal="center" vertical="center"/>
    </xf>
    <xf numFmtId="0" fontId="14" fillId="0" borderId="4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0" xfId="0" applyFont="1" applyFill="1" applyBorder="1" applyAlignment="1">
      <alignment horizontal="center" vertical="center"/>
    </xf>
    <xf numFmtId="0" fontId="108" fillId="0" borderId="0" xfId="0" applyFont="1" applyFill="1" applyBorder="1" applyAlignment="1">
      <alignment horizontal="center" vertical="center"/>
    </xf>
    <xf numFmtId="0" fontId="14" fillId="0" borderId="46" xfId="0" applyFont="1" applyBorder="1" applyAlignment="1">
      <alignment vertical="center"/>
    </xf>
    <xf numFmtId="0" fontId="11" fillId="0" borderId="47" xfId="0" applyFont="1" applyBorder="1" applyAlignment="1">
      <alignment horizontal="center" vertical="center" wrapText="1"/>
    </xf>
    <xf numFmtId="0" fontId="20" fillId="0" borderId="0" xfId="0" applyFont="1" applyFill="1" applyBorder="1" applyAlignment="1">
      <alignment/>
    </xf>
    <xf numFmtId="0" fontId="20" fillId="0" borderId="0" xfId="0" applyFont="1" applyAlignment="1">
      <alignment/>
    </xf>
    <xf numFmtId="0" fontId="20" fillId="0" borderId="0" xfId="0" applyFont="1" applyAlignment="1">
      <alignment horizontal="center"/>
    </xf>
    <xf numFmtId="0" fontId="20" fillId="0" borderId="0" xfId="0" applyFont="1" applyFill="1" applyAlignment="1">
      <alignment/>
    </xf>
    <xf numFmtId="0" fontId="15" fillId="0" borderId="0" xfId="0" applyFont="1" applyBorder="1" applyAlignment="1">
      <alignment horizontal="center" vertical="distributed"/>
    </xf>
    <xf numFmtId="0" fontId="15" fillId="0" borderId="29" xfId="0" applyFont="1" applyBorder="1" applyAlignment="1">
      <alignment horizontal="center" vertical="center"/>
    </xf>
    <xf numFmtId="0" fontId="11" fillId="0" borderId="29"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xf>
    <xf numFmtId="0" fontId="15" fillId="0" borderId="23" xfId="0" applyFont="1" applyBorder="1" applyAlignment="1">
      <alignment horizontal="center" vertical="center" wrapText="1"/>
    </xf>
    <xf numFmtId="0" fontId="15" fillId="0" borderId="31" xfId="0" applyFont="1" applyBorder="1" applyAlignment="1">
      <alignment horizontal="center" vertical="center"/>
    </xf>
    <xf numFmtId="0" fontId="15" fillId="0" borderId="23" xfId="0" applyFont="1" applyBorder="1" applyAlignment="1">
      <alignment horizontal="left" vertical="center"/>
    </xf>
    <xf numFmtId="0" fontId="20" fillId="0" borderId="18" xfId="0" applyFont="1" applyBorder="1" applyAlignment="1">
      <alignment/>
    </xf>
    <xf numFmtId="0" fontId="15" fillId="0" borderId="23" xfId="0" applyFont="1" applyBorder="1" applyAlignment="1">
      <alignment horizontal="center"/>
    </xf>
    <xf numFmtId="0" fontId="15" fillId="0" borderId="23" xfId="0" applyFont="1" applyBorder="1" applyAlignment="1">
      <alignment horizontal="center" vertical="center"/>
    </xf>
    <xf numFmtId="0" fontId="20" fillId="0" borderId="36" xfId="0" applyFont="1" applyBorder="1" applyAlignment="1">
      <alignment/>
    </xf>
    <xf numFmtId="0" fontId="20" fillId="0" borderId="37" xfId="0" applyFont="1" applyBorder="1" applyAlignment="1">
      <alignment/>
    </xf>
    <xf numFmtId="0" fontId="15" fillId="0" borderId="29" xfId="0" applyFont="1" applyBorder="1" applyAlignment="1">
      <alignment horizontal="left" vertical="center"/>
    </xf>
    <xf numFmtId="0" fontId="20" fillId="0" borderId="23" xfId="0" applyFont="1" applyBorder="1" applyAlignment="1">
      <alignment/>
    </xf>
    <xf numFmtId="0" fontId="15" fillId="0" borderId="29" xfId="0" applyFont="1" applyBorder="1" applyAlignment="1">
      <alignment horizontal="left" vertical="center" wrapText="1"/>
    </xf>
    <xf numFmtId="49" fontId="15" fillId="0" borderId="23" xfId="0" applyNumberFormat="1"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20" fillId="0" borderId="0" xfId="0" applyFont="1" applyBorder="1" applyAlignment="1">
      <alignment/>
    </xf>
    <xf numFmtId="0" fontId="15" fillId="0" borderId="23" xfId="0" applyFont="1" applyBorder="1" applyAlignment="1">
      <alignment horizontal="left" vertical="center" wrapText="1"/>
    </xf>
    <xf numFmtId="0" fontId="15" fillId="0" borderId="31" xfId="0" applyFont="1" applyFill="1" applyBorder="1" applyAlignment="1">
      <alignment horizontal="center" vertical="center"/>
    </xf>
    <xf numFmtId="0" fontId="15" fillId="0" borderId="37" xfId="0" applyFont="1" applyBorder="1" applyAlignment="1">
      <alignment horizontal="center" vertical="distributed"/>
    </xf>
    <xf numFmtId="0" fontId="15" fillId="0" borderId="0" xfId="0" applyFont="1" applyFill="1" applyBorder="1" applyAlignment="1">
      <alignment horizontal="center" vertical="distributed"/>
    </xf>
    <xf numFmtId="49" fontId="15" fillId="0" borderId="31" xfId="0" applyNumberFormat="1" applyFont="1" applyFill="1" applyBorder="1" applyAlignment="1">
      <alignment horizontal="center" vertical="center"/>
    </xf>
    <xf numFmtId="0" fontId="15" fillId="0" borderId="23" xfId="0" applyFont="1" applyBorder="1" applyAlignment="1">
      <alignment horizontal="center" vertical="distributed"/>
    </xf>
    <xf numFmtId="0" fontId="20" fillId="0" borderId="0" xfId="0" applyFont="1" applyAlignment="1">
      <alignment vertical="center" wrapText="1"/>
    </xf>
    <xf numFmtId="0" fontId="11" fillId="0" borderId="0" xfId="0" applyFont="1" applyBorder="1" applyAlignment="1">
      <alignment vertical="center"/>
    </xf>
    <xf numFmtId="0" fontId="11" fillId="0" borderId="13" xfId="0" applyFont="1" applyBorder="1" applyAlignment="1">
      <alignment vertical="center"/>
    </xf>
    <xf numFmtId="164" fontId="6" fillId="0" borderId="0" xfId="49" applyNumberFormat="1" applyFont="1" applyAlignment="1">
      <alignment vertical="distributed"/>
    </xf>
    <xf numFmtId="164" fontId="4" fillId="0" borderId="0" xfId="0" applyNumberFormat="1" applyFont="1" applyAlignment="1">
      <alignment/>
    </xf>
    <xf numFmtId="10" fontId="14" fillId="0" borderId="23" xfId="0" applyNumberFormat="1" applyFont="1" applyBorder="1" applyAlignment="1">
      <alignment horizontal="center" vertical="center"/>
    </xf>
    <xf numFmtId="10" fontId="14" fillId="0" borderId="48" xfId="0" applyNumberFormat="1" applyFont="1" applyBorder="1" applyAlignment="1">
      <alignment horizontal="center" vertical="center"/>
    </xf>
    <xf numFmtId="10" fontId="14" fillId="0" borderId="49" xfId="0" applyNumberFormat="1" applyFont="1" applyBorder="1" applyAlignment="1">
      <alignment horizontal="center" vertical="center"/>
    </xf>
    <xf numFmtId="10" fontId="14" fillId="0" borderId="50"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40" xfId="0" applyNumberFormat="1" applyFont="1" applyBorder="1" applyAlignment="1">
      <alignment horizontal="center" vertical="center"/>
    </xf>
    <xf numFmtId="0" fontId="107" fillId="42" borderId="43" xfId="0" applyFont="1" applyFill="1" applyBorder="1" applyAlignment="1">
      <alignment horizontal="center" vertical="center"/>
    </xf>
    <xf numFmtId="0" fontId="107" fillId="42" borderId="41" xfId="0" applyFont="1" applyFill="1" applyBorder="1" applyAlignment="1">
      <alignment horizontal="center" vertical="center"/>
    </xf>
    <xf numFmtId="0" fontId="107" fillId="42" borderId="48" xfId="0" applyFont="1" applyFill="1" applyBorder="1" applyAlignment="1">
      <alignment horizontal="center" vertical="center"/>
    </xf>
    <xf numFmtId="0" fontId="107" fillId="42" borderId="49" xfId="0" applyFont="1" applyFill="1" applyBorder="1" applyAlignment="1">
      <alignment horizontal="center" vertical="center"/>
    </xf>
    <xf numFmtId="0" fontId="14" fillId="0" borderId="43" xfId="0" applyFont="1" applyBorder="1" applyAlignment="1">
      <alignment horizontal="center" vertical="center"/>
    </xf>
    <xf numFmtId="0" fontId="107" fillId="42" borderId="51" xfId="0" applyFont="1" applyFill="1" applyBorder="1" applyAlignment="1">
      <alignment horizontal="center" vertical="center"/>
    </xf>
    <xf numFmtId="0" fontId="107" fillId="42" borderId="50" xfId="0" applyFont="1" applyFill="1" applyBorder="1" applyAlignment="1">
      <alignment horizontal="center" vertical="center"/>
    </xf>
    <xf numFmtId="0" fontId="14" fillId="0" borderId="41" xfId="0" applyFont="1" applyBorder="1" applyAlignment="1">
      <alignment horizontal="center" vertical="center"/>
    </xf>
    <xf numFmtId="49" fontId="14" fillId="0" borderId="49" xfId="0" applyNumberFormat="1" applyFont="1" applyBorder="1" applyAlignment="1">
      <alignment horizontal="center" vertical="center" wrapText="1"/>
    </xf>
    <xf numFmtId="0" fontId="14" fillId="0" borderId="52" xfId="0" applyFont="1" applyBorder="1" applyAlignment="1">
      <alignment horizontal="center" vertical="center"/>
    </xf>
    <xf numFmtId="0" fontId="108" fillId="0" borderId="0" xfId="0" applyFont="1" applyAlignment="1">
      <alignment vertical="center"/>
    </xf>
    <xf numFmtId="0" fontId="14" fillId="0" borderId="44" xfId="0" applyFont="1" applyBorder="1" applyAlignment="1">
      <alignment horizontal="center" vertical="center"/>
    </xf>
    <xf numFmtId="0" fontId="14" fillId="0" borderId="19" xfId="0" applyFont="1" applyBorder="1" applyAlignment="1">
      <alignment horizontal="center" vertical="center"/>
    </xf>
    <xf numFmtId="0" fontId="14" fillId="0" borderId="53" xfId="0" applyFont="1" applyBorder="1" applyAlignment="1">
      <alignmen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14" fillId="0" borderId="17" xfId="0" applyFont="1" applyBorder="1" applyAlignment="1">
      <alignment horizontal="center" vertical="center"/>
    </xf>
    <xf numFmtId="0" fontId="14" fillId="0" borderId="51" xfId="0" applyFont="1" applyBorder="1" applyAlignment="1">
      <alignment horizontal="center" vertical="center"/>
    </xf>
    <xf numFmtId="0" fontId="14" fillId="0" borderId="53" xfId="0" applyFont="1" applyBorder="1" applyAlignment="1">
      <alignment horizontal="left" vertical="center" wrapText="1"/>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8" xfId="0" applyFont="1" applyBorder="1" applyAlignment="1">
      <alignment vertical="center"/>
    </xf>
    <xf numFmtId="0" fontId="14" fillId="0" borderId="58" xfId="0" applyFont="1" applyFill="1" applyBorder="1" applyAlignment="1">
      <alignment horizontal="center" vertical="center"/>
    </xf>
    <xf numFmtId="0" fontId="14" fillId="0" borderId="46" xfId="0" applyFont="1" applyBorder="1" applyAlignment="1">
      <alignment horizontal="center" vertical="center"/>
    </xf>
    <xf numFmtId="0" fontId="14" fillId="0" borderId="25" xfId="0" applyFont="1" applyFill="1" applyBorder="1" applyAlignment="1">
      <alignment horizontal="center" vertical="center"/>
    </xf>
    <xf numFmtId="49" fontId="14" fillId="0" borderId="48" xfId="0" applyNumberFormat="1" applyFont="1" applyBorder="1" applyAlignment="1">
      <alignment horizontal="center" vertical="center" wrapText="1"/>
    </xf>
    <xf numFmtId="49" fontId="14" fillId="0" borderId="45" xfId="0" applyNumberFormat="1" applyFont="1" applyBorder="1" applyAlignment="1">
      <alignment horizontal="center" vertical="center"/>
    </xf>
    <xf numFmtId="49" fontId="6" fillId="0" borderId="0" xfId="0" applyNumberFormat="1" applyFont="1" applyAlignment="1">
      <alignment/>
    </xf>
    <xf numFmtId="0" fontId="6" fillId="0" borderId="53" xfId="0" applyFont="1" applyBorder="1" applyAlignment="1">
      <alignment horizontal="left" vertical="center" wrapText="1"/>
    </xf>
    <xf numFmtId="0" fontId="6" fillId="0" borderId="55" xfId="0" applyFont="1" applyBorder="1" applyAlignment="1">
      <alignment horizontal="left" vertical="center" wrapText="1"/>
    </xf>
    <xf numFmtId="0" fontId="6" fillId="0" borderId="56" xfId="0" applyFont="1" applyBorder="1" applyAlignment="1">
      <alignment horizontal="center" vertical="center"/>
    </xf>
    <xf numFmtId="0" fontId="6" fillId="0" borderId="57" xfId="0" applyFont="1" applyBorder="1" applyAlignment="1">
      <alignment horizontal="center" vertical="center"/>
    </xf>
    <xf numFmtId="180" fontId="6" fillId="0" borderId="44" xfId="56" applyNumberFormat="1" applyFont="1" applyBorder="1" applyAlignment="1">
      <alignment horizontal="center" vertical="center"/>
    </xf>
    <xf numFmtId="174" fontId="6" fillId="0" borderId="43" xfId="56" applyNumberFormat="1" applyFont="1" applyBorder="1" applyAlignment="1">
      <alignment horizontal="center" vertical="center"/>
    </xf>
    <xf numFmtId="180" fontId="6" fillId="0" borderId="19" xfId="56" applyNumberFormat="1" applyFont="1" applyBorder="1" applyAlignment="1">
      <alignment horizontal="center" vertical="center"/>
    </xf>
    <xf numFmtId="174" fontId="6" fillId="0" borderId="41" xfId="56" applyNumberFormat="1" applyFont="1" applyBorder="1" applyAlignment="1">
      <alignment horizontal="center" vertical="center"/>
    </xf>
    <xf numFmtId="49" fontId="6" fillId="0" borderId="49"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Border="1" applyAlignment="1">
      <alignment/>
    </xf>
    <xf numFmtId="0" fontId="6" fillId="0" borderId="0" xfId="0" applyFont="1" applyFill="1" applyBorder="1" applyAlignment="1">
      <alignment horizontal="left" vertical="center" wrapText="1"/>
    </xf>
    <xf numFmtId="10" fontId="6" fillId="0" borderId="0" xfId="0" applyNumberFormat="1" applyFont="1" applyFill="1" applyBorder="1" applyAlignment="1">
      <alignment horizontal="center" vertical="center" wrapText="1"/>
    </xf>
    <xf numFmtId="180" fontId="6" fillId="0" borderId="0" xfId="0" applyNumberFormat="1" applyFont="1" applyFill="1" applyBorder="1" applyAlignment="1">
      <alignment horizontal="center" vertical="center" wrapText="1"/>
    </xf>
    <xf numFmtId="0" fontId="106" fillId="0" borderId="0" xfId="0" applyFont="1" applyFill="1" applyBorder="1" applyAlignment="1">
      <alignment horizontal="center" vertical="center"/>
    </xf>
    <xf numFmtId="0" fontId="6" fillId="0" borderId="40" xfId="0" applyFont="1" applyFill="1" applyBorder="1" applyAlignment="1">
      <alignment horizontal="center" vertical="center" wrapText="1"/>
    </xf>
    <xf numFmtId="0" fontId="106" fillId="42" borderId="48"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8" xfId="0" applyFont="1" applyFill="1" applyBorder="1" applyAlignment="1">
      <alignment horizontal="center" vertical="center" wrapText="1"/>
    </xf>
    <xf numFmtId="0" fontId="77" fillId="0" borderId="0" xfId="0" applyFont="1" applyAlignment="1">
      <alignment vertical="center"/>
    </xf>
    <xf numFmtId="0" fontId="20" fillId="0" borderId="0" xfId="0" applyFont="1" applyAlignment="1">
      <alignment/>
    </xf>
    <xf numFmtId="174" fontId="78" fillId="0" borderId="0" xfId="56" applyNumberFormat="1" applyFont="1" applyAlignment="1">
      <alignment/>
    </xf>
    <xf numFmtId="43" fontId="20" fillId="0" borderId="0" xfId="49" applyFont="1" applyAlignment="1">
      <alignment/>
    </xf>
    <xf numFmtId="0" fontId="78" fillId="0" borderId="0" xfId="0" applyFont="1" applyAlignment="1">
      <alignment/>
    </xf>
    <xf numFmtId="43" fontId="20" fillId="0" borderId="0" xfId="0" applyNumberFormat="1" applyFont="1" applyAlignment="1">
      <alignment/>
    </xf>
    <xf numFmtId="0" fontId="79" fillId="0" borderId="10" xfId="0" applyFont="1" applyBorder="1" applyAlignment="1">
      <alignment/>
    </xf>
    <xf numFmtId="0" fontId="20" fillId="0" borderId="24" xfId="0" applyFont="1" applyBorder="1" applyAlignment="1">
      <alignment/>
    </xf>
    <xf numFmtId="195" fontId="20" fillId="0" borderId="24" xfId="0" applyNumberFormat="1" applyFont="1" applyBorder="1" applyAlignment="1">
      <alignment/>
    </xf>
    <xf numFmtId="0" fontId="20" fillId="0" borderId="25" xfId="0" applyFont="1" applyBorder="1" applyAlignment="1">
      <alignment/>
    </xf>
    <xf numFmtId="196" fontId="78" fillId="0" borderId="28" xfId="0" applyNumberFormat="1" applyFont="1" applyBorder="1" applyAlignment="1">
      <alignment/>
    </xf>
    <xf numFmtId="0" fontId="78" fillId="0" borderId="39" xfId="0" applyFont="1" applyBorder="1" applyAlignment="1">
      <alignment/>
    </xf>
    <xf numFmtId="43" fontId="20" fillId="0" borderId="38" xfId="0" applyNumberFormat="1" applyFont="1" applyBorder="1" applyAlignment="1">
      <alignment/>
    </xf>
    <xf numFmtId="0" fontId="20" fillId="0" borderId="38" xfId="0" applyFont="1" applyBorder="1" applyAlignment="1">
      <alignment/>
    </xf>
    <xf numFmtId="0" fontId="20" fillId="0" borderId="39" xfId="0" applyFont="1" applyBorder="1" applyAlignment="1">
      <alignment/>
    </xf>
    <xf numFmtId="196" fontId="78" fillId="0" borderId="10" xfId="0" applyNumberFormat="1" applyFont="1" applyBorder="1" applyAlignment="1">
      <alignment/>
    </xf>
    <xf numFmtId="0" fontId="78" fillId="0" borderId="25" xfId="0" applyFont="1" applyBorder="1" applyAlignment="1">
      <alignment/>
    </xf>
    <xf numFmtId="196" fontId="79" fillId="0" borderId="10" xfId="0" applyNumberFormat="1" applyFont="1" applyBorder="1" applyAlignment="1">
      <alignment/>
    </xf>
    <xf numFmtId="0" fontId="79" fillId="0" borderId="24" xfId="0" applyFont="1" applyBorder="1" applyAlignment="1">
      <alignment/>
    </xf>
    <xf numFmtId="180" fontId="4" fillId="34" borderId="23" xfId="0" applyNumberFormat="1" applyFont="1" applyFill="1" applyBorder="1" applyAlignment="1">
      <alignment horizontal="center"/>
    </xf>
    <xf numFmtId="180" fontId="4" fillId="33" borderId="23" xfId="0" applyNumberFormat="1" applyFont="1" applyFill="1" applyBorder="1" applyAlignment="1">
      <alignment horizontal="center"/>
    </xf>
    <xf numFmtId="0" fontId="6" fillId="0" borderId="0" xfId="0" applyFont="1" applyAlignment="1">
      <alignment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80" fillId="0" borderId="10" xfId="0" applyFont="1" applyBorder="1" applyAlignment="1">
      <alignment vertical="center"/>
    </xf>
    <xf numFmtId="164" fontId="111" fillId="0" borderId="10" xfId="49" applyNumberFormat="1" applyFont="1" applyBorder="1" applyAlignment="1">
      <alignment horizontal="center" vertical="center"/>
    </xf>
    <xf numFmtId="164" fontId="6" fillId="0" borderId="0" xfId="49" applyNumberFormat="1" applyFont="1" applyAlignment="1">
      <alignment horizontal="center"/>
    </xf>
    <xf numFmtId="164" fontId="80" fillId="0" borderId="10" xfId="49" applyNumberFormat="1" applyFont="1" applyBorder="1" applyAlignment="1">
      <alignment horizontal="center" vertical="center"/>
    </xf>
    <xf numFmtId="207" fontId="80" fillId="0" borderId="10" xfId="49" applyNumberFormat="1" applyFont="1" applyBorder="1" applyAlignment="1">
      <alignment horizontal="right" vertical="center"/>
    </xf>
    <xf numFmtId="0" fontId="12" fillId="0" borderId="0" xfId="0" applyFont="1" applyBorder="1" applyAlignment="1">
      <alignment horizontal="left" vertical="center"/>
    </xf>
    <xf numFmtId="0" fontId="11" fillId="0" borderId="0" xfId="0" applyFont="1" applyBorder="1" applyAlignment="1">
      <alignment/>
    </xf>
    <xf numFmtId="0" fontId="11" fillId="0" borderId="23"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vertical="center"/>
    </xf>
    <xf numFmtId="0" fontId="13" fillId="0" borderId="48" xfId="0" applyFont="1" applyBorder="1" applyAlignment="1">
      <alignment horizontal="left" vertical="center" wrapText="1"/>
    </xf>
    <xf numFmtId="0" fontId="13" fillId="0" borderId="0" xfId="0" applyFont="1" applyBorder="1" applyAlignment="1">
      <alignment horizontal="left" vertical="center"/>
    </xf>
    <xf numFmtId="2" fontId="27" fillId="0" borderId="48" xfId="49" applyNumberFormat="1" applyFont="1" applyBorder="1" applyAlignment="1">
      <alignment horizontal="center" vertical="center" wrapText="1"/>
    </xf>
    <xf numFmtId="2" fontId="27" fillId="0" borderId="59" xfId="49" applyNumberFormat="1" applyFont="1" applyBorder="1" applyAlignment="1">
      <alignment horizontal="center" vertical="center"/>
    </xf>
    <xf numFmtId="2" fontId="27" fillId="0" borderId="0" xfId="49" applyNumberFormat="1" applyFont="1" applyFill="1" applyBorder="1" applyAlignment="1">
      <alignment horizontal="center" vertical="center"/>
    </xf>
    <xf numFmtId="2" fontId="27" fillId="0" borderId="0" xfId="49" applyNumberFormat="1" applyFont="1" applyBorder="1" applyAlignment="1">
      <alignment horizontal="center" vertical="center" wrapText="1"/>
    </xf>
    <xf numFmtId="172" fontId="27" fillId="0" borderId="48" xfId="49" applyNumberFormat="1" applyFont="1" applyBorder="1" applyAlignment="1">
      <alignment horizontal="center" vertical="center"/>
    </xf>
    <xf numFmtId="0" fontId="13" fillId="0" borderId="50" xfId="0" applyFont="1" applyBorder="1" applyAlignment="1">
      <alignment horizontal="left" vertical="center" wrapText="1"/>
    </xf>
    <xf numFmtId="2" fontId="27" fillId="0" borderId="50" xfId="49" applyNumberFormat="1" applyFont="1" applyBorder="1" applyAlignment="1">
      <alignment horizontal="center" vertical="center" wrapText="1"/>
    </xf>
    <xf numFmtId="2" fontId="27" fillId="0" borderId="50" xfId="49" applyNumberFormat="1" applyFont="1" applyBorder="1" applyAlignment="1">
      <alignment horizontal="center" vertical="center"/>
    </xf>
    <xf numFmtId="172" fontId="27" fillId="0" borderId="50" xfId="49" applyNumberFormat="1" applyFont="1" applyBorder="1" applyAlignment="1">
      <alignment horizontal="center" vertical="center"/>
    </xf>
    <xf numFmtId="0" fontId="13" fillId="0" borderId="60" xfId="0" applyFont="1" applyBorder="1" applyAlignment="1">
      <alignment horizontal="left" vertical="center" wrapText="1"/>
    </xf>
    <xf numFmtId="2" fontId="27" fillId="0" borderId="60" xfId="49" applyNumberFormat="1" applyFont="1" applyBorder="1" applyAlignment="1">
      <alignment horizontal="center" vertical="center" wrapText="1"/>
    </xf>
    <xf numFmtId="2" fontId="27" fillId="0" borderId="60" xfId="49" applyNumberFormat="1" applyFont="1" applyBorder="1" applyAlignment="1">
      <alignment horizontal="center" vertical="center"/>
    </xf>
    <xf numFmtId="172" fontId="27" fillId="0" borderId="60" xfId="49" applyNumberFormat="1" applyFont="1" applyBorder="1" applyAlignment="1">
      <alignment horizontal="center" vertical="center"/>
    </xf>
    <xf numFmtId="0" fontId="17" fillId="43" borderId="23" xfId="0" applyFont="1" applyFill="1" applyBorder="1" applyAlignment="1">
      <alignment horizontal="left" vertical="center" wrapText="1"/>
    </xf>
    <xf numFmtId="0" fontId="18" fillId="0" borderId="0" xfId="0" applyFont="1" applyBorder="1" applyAlignment="1">
      <alignment horizontal="left" vertical="center"/>
    </xf>
    <xf numFmtId="2" fontId="28" fillId="43" borderId="23" xfId="49" applyNumberFormat="1" applyFont="1" applyFill="1" applyBorder="1" applyAlignment="1">
      <alignment horizontal="center" vertical="center" wrapText="1"/>
    </xf>
    <xf numFmtId="2" fontId="28" fillId="43" borderId="23" xfId="49" applyNumberFormat="1" applyFont="1" applyFill="1" applyBorder="1" applyAlignment="1">
      <alignment horizontal="center" vertical="center"/>
    </xf>
    <xf numFmtId="2" fontId="28" fillId="0" borderId="0" xfId="49" applyNumberFormat="1" applyFont="1" applyFill="1" applyBorder="1" applyAlignment="1">
      <alignment horizontal="center" vertical="center"/>
    </xf>
    <xf numFmtId="172" fontId="28" fillId="43" borderId="23" xfId="49" applyNumberFormat="1" applyFont="1" applyFill="1" applyBorder="1" applyAlignment="1">
      <alignment horizontal="center" vertical="center"/>
    </xf>
    <xf numFmtId="0" fontId="14" fillId="0" borderId="0" xfId="0" applyFont="1" applyAlignment="1">
      <alignment/>
    </xf>
    <xf numFmtId="0" fontId="6" fillId="44" borderId="41" xfId="0" applyFont="1" applyFill="1" applyBorder="1" applyAlignment="1">
      <alignment horizontal="center" vertical="center"/>
    </xf>
    <xf numFmtId="10" fontId="6"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44" xfId="0" applyFont="1" applyBorder="1" applyAlignment="1">
      <alignment horizontal="left" vertical="center" wrapText="1"/>
    </xf>
    <xf numFmtId="180" fontId="6" fillId="0" borderId="42" xfId="56" applyNumberFormat="1" applyFont="1" applyBorder="1" applyAlignment="1">
      <alignment horizontal="center" vertical="center"/>
    </xf>
    <xf numFmtId="174" fontId="6" fillId="0" borderId="42" xfId="56" applyNumberFormat="1" applyFont="1" applyBorder="1" applyAlignment="1">
      <alignment horizontal="center" vertical="center"/>
    </xf>
    <xf numFmtId="0" fontId="6" fillId="0" borderId="42" xfId="0" applyFont="1" applyBorder="1" applyAlignment="1">
      <alignment horizontal="center" vertical="center"/>
    </xf>
    <xf numFmtId="0" fontId="6" fillId="0" borderId="17" xfId="0" applyFont="1" applyBorder="1" applyAlignment="1">
      <alignment horizontal="left" vertical="center" wrapText="1"/>
    </xf>
    <xf numFmtId="0" fontId="106" fillId="42" borderId="51" xfId="0" applyFont="1" applyFill="1" applyBorder="1" applyAlignment="1">
      <alignment horizontal="center" vertical="center"/>
    </xf>
    <xf numFmtId="0" fontId="6" fillId="0" borderId="19" xfId="0" applyFont="1" applyBorder="1" applyAlignment="1">
      <alignment horizontal="left" vertical="center" wrapText="1"/>
    </xf>
    <xf numFmtId="10"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106" fillId="42" borderId="50" xfId="0" applyFont="1" applyFill="1" applyBorder="1" applyAlignment="1">
      <alignment horizontal="center" vertical="center"/>
    </xf>
    <xf numFmtId="0" fontId="80" fillId="0" borderId="10" xfId="0" applyFont="1" applyBorder="1" applyAlignment="1">
      <alignment horizontal="left" vertical="center" wrapText="1"/>
    </xf>
    <xf numFmtId="0" fontId="112" fillId="0" borderId="0" xfId="0" applyFont="1" applyBorder="1" applyAlignment="1">
      <alignment vertical="center"/>
    </xf>
    <xf numFmtId="164" fontId="112" fillId="0" borderId="0" xfId="49" applyNumberFormat="1" applyFont="1" applyBorder="1" applyAlignment="1">
      <alignment horizontal="center" vertical="center"/>
    </xf>
    <xf numFmtId="0" fontId="80" fillId="0" borderId="0" xfId="0" applyFont="1" applyAlignment="1">
      <alignment/>
    </xf>
    <xf numFmtId="0" fontId="80" fillId="0" borderId="28" xfId="0" applyFont="1" applyBorder="1" applyAlignment="1">
      <alignment horizontal="center" vertical="center" wrapText="1"/>
    </xf>
    <xf numFmtId="207" fontId="6" fillId="0" borderId="0" xfId="0" applyNumberFormat="1" applyFont="1" applyAlignment="1">
      <alignment/>
    </xf>
    <xf numFmtId="0" fontId="80" fillId="0" borderId="0" xfId="0" applyFont="1" applyBorder="1" applyAlignment="1">
      <alignment vertical="center"/>
    </xf>
    <xf numFmtId="164" fontId="80" fillId="0" borderId="0" xfId="49" applyNumberFormat="1" applyFont="1" applyBorder="1" applyAlignment="1">
      <alignment horizontal="center" vertical="center"/>
    </xf>
    <xf numFmtId="0" fontId="30" fillId="0" borderId="0" xfId="0" applyFont="1" applyBorder="1" applyAlignment="1">
      <alignment horizontal="left" vertical="distributed"/>
    </xf>
    <xf numFmtId="0" fontId="14" fillId="0" borderId="36" xfId="0" applyFont="1" applyFill="1" applyBorder="1" applyAlignment="1">
      <alignment horizontal="right"/>
    </xf>
    <xf numFmtId="0" fontId="14" fillId="0" borderId="13" xfId="0"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0" xfId="0" applyFont="1" applyAlignment="1">
      <alignment/>
    </xf>
    <xf numFmtId="0" fontId="14" fillId="0" borderId="15" xfId="0" applyFont="1" applyBorder="1" applyAlignment="1">
      <alignment horizontal="right"/>
    </xf>
    <xf numFmtId="10" fontId="14" fillId="41" borderId="10" xfId="0" applyNumberFormat="1" applyFont="1" applyFill="1" applyBorder="1" applyAlignment="1">
      <alignment/>
    </xf>
    <xf numFmtId="0" fontId="31" fillId="0" borderId="0" xfId="0" applyFont="1" applyBorder="1" applyAlignment="1">
      <alignment horizontal="center"/>
    </xf>
    <xf numFmtId="172" fontId="14" fillId="41" borderId="10" xfId="0" applyNumberFormat="1" applyFont="1" applyFill="1" applyBorder="1" applyAlignment="1">
      <alignment horizontal="center"/>
    </xf>
    <xf numFmtId="0" fontId="14" fillId="0" borderId="0" xfId="0" applyFont="1" applyBorder="1" applyAlignment="1">
      <alignment/>
    </xf>
    <xf numFmtId="49" fontId="31" fillId="0" borderId="0" xfId="0" applyNumberFormat="1" applyFont="1" applyBorder="1" applyAlignment="1">
      <alignment horizontal="center"/>
    </xf>
    <xf numFmtId="0" fontId="14" fillId="0" borderId="0" xfId="0" applyFont="1" applyBorder="1" applyAlignment="1">
      <alignment horizontal="right"/>
    </xf>
    <xf numFmtId="10" fontId="14" fillId="45" borderId="51" xfId="0" applyNumberFormat="1" applyFont="1" applyFill="1" applyBorder="1" applyAlignment="1">
      <alignment/>
    </xf>
    <xf numFmtId="0" fontId="14" fillId="0" borderId="15" xfId="0" applyFont="1" applyFill="1" applyBorder="1" applyAlignment="1">
      <alignment horizontal="right"/>
    </xf>
    <xf numFmtId="43" fontId="14" fillId="41" borderId="10" xfId="49" applyNumberFormat="1" applyFont="1" applyFill="1" applyBorder="1" applyAlignment="1">
      <alignment/>
    </xf>
    <xf numFmtId="0" fontId="31" fillId="0" borderId="0" xfId="0" applyFont="1" applyBorder="1" applyAlignment="1">
      <alignment/>
    </xf>
    <xf numFmtId="0" fontId="31" fillId="0" borderId="16" xfId="0" applyFont="1" applyBorder="1" applyAlignment="1">
      <alignment/>
    </xf>
    <xf numFmtId="0" fontId="14" fillId="0" borderId="22" xfId="0" applyFont="1" applyBorder="1" applyAlignment="1">
      <alignment/>
    </xf>
    <xf numFmtId="10" fontId="14" fillId="45" borderId="61" xfId="56" applyNumberFormat="1" applyFont="1" applyFill="1" applyBorder="1" applyAlignment="1">
      <alignment/>
    </xf>
    <xf numFmtId="0" fontId="31" fillId="0" borderId="20" xfId="0" applyFont="1" applyBorder="1" applyAlignment="1">
      <alignment/>
    </xf>
    <xf numFmtId="0" fontId="31" fillId="0" borderId="21" xfId="0" applyFont="1" applyBorder="1" applyAlignment="1">
      <alignment/>
    </xf>
    <xf numFmtId="0" fontId="14" fillId="0" borderId="0" xfId="0" applyFont="1" applyAlignment="1">
      <alignment/>
    </xf>
    <xf numFmtId="0" fontId="32" fillId="0" borderId="0" xfId="0" applyFont="1" applyFill="1" applyBorder="1" applyAlignment="1">
      <alignment horizontal="right"/>
    </xf>
    <xf numFmtId="176" fontId="33" fillId="0" borderId="0" xfId="0" applyNumberFormat="1" applyFont="1" applyFill="1" applyBorder="1" applyAlignment="1">
      <alignment horizontal="right"/>
    </xf>
    <xf numFmtId="0" fontId="33" fillId="0" borderId="0" xfId="0" applyFont="1" applyFill="1" applyBorder="1" applyAlignment="1">
      <alignment/>
    </xf>
    <xf numFmtId="0" fontId="32" fillId="0" borderId="0" xfId="0" applyFont="1" applyFill="1" applyAlignment="1">
      <alignment horizontal="right"/>
    </xf>
    <xf numFmtId="0" fontId="32" fillId="0" borderId="0" xfId="0" applyFont="1" applyFill="1" applyAlignment="1">
      <alignment/>
    </xf>
    <xf numFmtId="0" fontId="34" fillId="0" borderId="0" xfId="0" applyFont="1" applyAlignment="1">
      <alignment/>
    </xf>
    <xf numFmtId="0" fontId="32" fillId="0" borderId="0" xfId="0" applyFont="1" applyAlignment="1">
      <alignment/>
    </xf>
    <xf numFmtId="0" fontId="33" fillId="0" borderId="0" xfId="0" applyFont="1" applyAlignment="1">
      <alignment/>
    </xf>
    <xf numFmtId="0" fontId="32" fillId="0" borderId="0" xfId="0" applyFont="1" applyAlignment="1">
      <alignment vertical="center"/>
    </xf>
    <xf numFmtId="0" fontId="11" fillId="0" borderId="62" xfId="0" applyFont="1" applyFill="1" applyBorder="1" applyAlignment="1">
      <alignment/>
    </xf>
    <xf numFmtId="10" fontId="14" fillId="44" borderId="28" xfId="56" applyNumberFormat="1" applyFont="1" applyFill="1" applyBorder="1" applyAlignment="1">
      <alignment horizontal="right"/>
    </xf>
    <xf numFmtId="0" fontId="11" fillId="0" borderId="28" xfId="0" applyFont="1" applyBorder="1" applyAlignment="1">
      <alignment/>
    </xf>
    <xf numFmtId="170" fontId="14" fillId="0" borderId="63" xfId="0" applyNumberFormat="1" applyFont="1" applyBorder="1" applyAlignment="1">
      <alignment horizontal="right"/>
    </xf>
    <xf numFmtId="0" fontId="11" fillId="0" borderId="17" xfId="0" applyFont="1" applyFill="1" applyBorder="1" applyAlignment="1">
      <alignment/>
    </xf>
    <xf numFmtId="10" fontId="14" fillId="44" borderId="10" xfId="56" applyNumberFormat="1" applyFont="1" applyFill="1" applyBorder="1" applyAlignment="1">
      <alignment horizontal="right"/>
    </xf>
    <xf numFmtId="0" fontId="11" fillId="0" borderId="10" xfId="0" applyFont="1" applyBorder="1" applyAlignment="1">
      <alignment/>
    </xf>
    <xf numFmtId="170" fontId="14" fillId="0" borderId="51" xfId="0" applyNumberFormat="1" applyFont="1" applyBorder="1" applyAlignment="1">
      <alignment horizontal="right"/>
    </xf>
    <xf numFmtId="0" fontId="83" fillId="0" borderId="0" xfId="0" applyFont="1" applyAlignment="1">
      <alignment/>
    </xf>
    <xf numFmtId="0" fontId="14" fillId="0" borderId="17" xfId="0" applyFont="1" applyFill="1" applyBorder="1" applyAlignment="1">
      <alignment/>
    </xf>
    <xf numFmtId="170" fontId="14" fillId="0" borderId="10" xfId="0" applyNumberFormat="1" applyFont="1" applyBorder="1" applyAlignment="1">
      <alignment horizontal="right"/>
    </xf>
    <xf numFmtId="0" fontId="14" fillId="0" borderId="17" xfId="0" applyFont="1" applyBorder="1" applyAlignment="1">
      <alignment/>
    </xf>
    <xf numFmtId="9" fontId="14" fillId="41" borderId="10" xfId="56" applyFont="1" applyFill="1" applyBorder="1" applyAlignment="1">
      <alignment horizontal="right"/>
    </xf>
    <xf numFmtId="49" fontId="14" fillId="0" borderId="17" xfId="0" applyNumberFormat="1" applyFont="1" applyFill="1" applyBorder="1" applyAlignment="1">
      <alignment/>
    </xf>
    <xf numFmtId="0" fontId="14" fillId="0" borderId="0" xfId="0" applyFont="1" applyBorder="1" applyAlignment="1">
      <alignment horizontal="center"/>
    </xf>
    <xf numFmtId="0" fontId="14" fillId="0" borderId="16" xfId="0" applyFont="1" applyBorder="1" applyAlignment="1">
      <alignment/>
    </xf>
    <xf numFmtId="170" fontId="14" fillId="0" borderId="10" xfId="0" applyNumberFormat="1" applyFont="1" applyBorder="1" applyAlignment="1">
      <alignment/>
    </xf>
    <xf numFmtId="0" fontId="14" fillId="0" borderId="17" xfId="0" applyFont="1" applyBorder="1" applyAlignment="1">
      <alignment horizontal="right"/>
    </xf>
    <xf numFmtId="176" fontId="11" fillId="45" borderId="10" xfId="0" applyNumberFormat="1" applyFont="1" applyFill="1" applyBorder="1" applyAlignment="1">
      <alignment horizontal="right"/>
    </xf>
    <xf numFmtId="0" fontId="11" fillId="0" borderId="0" xfId="0" applyFont="1" applyBorder="1" applyAlignment="1">
      <alignment/>
    </xf>
    <xf numFmtId="176" fontId="14" fillId="0" borderId="0" xfId="0" applyNumberFormat="1" applyFont="1" applyAlignment="1">
      <alignment/>
    </xf>
    <xf numFmtId="164" fontId="14" fillId="0" borderId="0" xfId="49" applyNumberFormat="1" applyFont="1" applyAlignment="1">
      <alignment/>
    </xf>
    <xf numFmtId="0" fontId="14" fillId="0" borderId="19" xfId="0" applyFont="1" applyBorder="1" applyAlignment="1">
      <alignment horizontal="right"/>
    </xf>
    <xf numFmtId="176" fontId="11" fillId="45" borderId="40" xfId="0" applyNumberFormat="1" applyFont="1" applyFill="1" applyBorder="1" applyAlignment="1">
      <alignment horizontal="right"/>
    </xf>
    <xf numFmtId="0" fontId="11" fillId="0" borderId="20" xfId="0" applyFont="1" applyBorder="1" applyAlignment="1">
      <alignment/>
    </xf>
    <xf numFmtId="0" fontId="14" fillId="0" borderId="21" xfId="0" applyFont="1" applyBorder="1" applyAlignment="1">
      <alignment/>
    </xf>
    <xf numFmtId="10" fontId="14" fillId="0" borderId="0" xfId="56" applyNumberFormat="1" applyFont="1" applyAlignment="1">
      <alignment/>
    </xf>
    <xf numFmtId="10" fontId="14" fillId="0" borderId="0" xfId="0" applyNumberFormat="1" applyFont="1" applyAlignment="1">
      <alignment/>
    </xf>
    <xf numFmtId="0" fontId="14" fillId="0" borderId="0" xfId="0" applyFont="1" applyAlignment="1">
      <alignment horizontal="right" vertical="center"/>
    </xf>
    <xf numFmtId="167" fontId="14" fillId="41" borderId="10" xfId="0" applyNumberFormat="1" applyFont="1" applyFill="1" applyBorder="1" applyAlignment="1">
      <alignment horizontal="center" vertical="center"/>
    </xf>
    <xf numFmtId="176" fontId="11" fillId="45" borderId="10" xfId="0" applyNumberFormat="1" applyFont="1" applyFill="1" applyBorder="1" applyAlignment="1">
      <alignment horizontal="right" vertical="center"/>
    </xf>
    <xf numFmtId="0" fontId="0" fillId="0" borderId="0" xfId="0" applyFont="1" applyFill="1" applyBorder="1" applyAlignment="1">
      <alignment/>
    </xf>
    <xf numFmtId="0" fontId="35" fillId="0" borderId="0" xfId="0" applyFont="1" applyFill="1" applyBorder="1" applyAlignment="1">
      <alignment horizontal="center" vertical="distributed"/>
    </xf>
    <xf numFmtId="43" fontId="35" fillId="0" borderId="0" xfId="49" applyFont="1" applyFill="1" applyBorder="1" applyAlignment="1">
      <alignment horizontal="center" vertical="distributed"/>
    </xf>
    <xf numFmtId="43" fontId="36" fillId="0" borderId="0" xfId="49" applyFont="1" applyFill="1" applyBorder="1" applyAlignment="1">
      <alignment horizontal="center" vertical="distributed"/>
    </xf>
    <xf numFmtId="0" fontId="37" fillId="0" borderId="0" xfId="0" applyFont="1" applyFill="1" applyBorder="1" applyAlignment="1">
      <alignment horizontal="center" vertical="distributed"/>
    </xf>
    <xf numFmtId="10" fontId="0" fillId="0" borderId="0" xfId="56" applyNumberFormat="1" applyFont="1" applyAlignment="1">
      <alignment/>
    </xf>
    <xf numFmtId="0" fontId="35" fillId="0" borderId="0" xfId="0" applyFont="1" applyFill="1" applyBorder="1" applyAlignment="1">
      <alignment horizontal="center"/>
    </xf>
    <xf numFmtId="43" fontId="35" fillId="0" borderId="0" xfId="49" applyFont="1" applyFill="1" applyBorder="1" applyAlignment="1">
      <alignment/>
    </xf>
    <xf numFmtId="10" fontId="37" fillId="0" borderId="0" xfId="56" applyNumberFormat="1" applyFont="1" applyFill="1" applyBorder="1" applyAlignment="1">
      <alignment horizontal="center"/>
    </xf>
    <xf numFmtId="43" fontId="35" fillId="0" borderId="0" xfId="0" applyNumberFormat="1" applyFont="1" applyFill="1" applyBorder="1" applyAlignment="1">
      <alignment/>
    </xf>
    <xf numFmtId="171" fontId="35" fillId="0" borderId="0" xfId="0" applyNumberFormat="1" applyFont="1" applyFill="1" applyBorder="1" applyAlignment="1">
      <alignment/>
    </xf>
    <xf numFmtId="10" fontId="37" fillId="0" borderId="0" xfId="56" applyNumberFormat="1" applyFont="1" applyFill="1" applyBorder="1" applyAlignment="1">
      <alignment/>
    </xf>
    <xf numFmtId="0" fontId="80" fillId="0" borderId="0" xfId="0" applyFont="1" applyBorder="1" applyAlignment="1">
      <alignment horizontal="left" vertical="center" wrapText="1"/>
    </xf>
    <xf numFmtId="1" fontId="80" fillId="0" borderId="0" xfId="49" applyNumberFormat="1" applyFont="1" applyBorder="1" applyAlignment="1">
      <alignment horizontal="right" vertical="center"/>
    </xf>
    <xf numFmtId="49" fontId="80" fillId="0" borderId="10" xfId="49" applyNumberFormat="1" applyFont="1" applyBorder="1" applyAlignment="1">
      <alignment horizontal="center" vertical="center"/>
    </xf>
    <xf numFmtId="207" fontId="80" fillId="0" borderId="10" xfId="49" applyNumberFormat="1" applyFont="1" applyBorder="1" applyAlignment="1">
      <alignment horizontal="center" vertical="center" wrapText="1"/>
    </xf>
    <xf numFmtId="0" fontId="38" fillId="0" borderId="10" xfId="0" applyFont="1" applyBorder="1" applyAlignment="1">
      <alignment horizontal="left" vertical="center" wrapText="1"/>
    </xf>
    <xf numFmtId="0" fontId="6" fillId="0" borderId="0" xfId="0" applyFont="1" applyBorder="1" applyAlignment="1">
      <alignment horizontal="right" vertical="center" wrapText="1"/>
    </xf>
    <xf numFmtId="9" fontId="6" fillId="0" borderId="0" xfId="56"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64" fontId="6" fillId="0" borderId="0" xfId="49" applyNumberFormat="1" applyFont="1" applyBorder="1" applyAlignment="1">
      <alignment horizontal="right" vertical="center"/>
    </xf>
    <xf numFmtId="164" fontId="110" fillId="0" borderId="0" xfId="49" applyNumberFormat="1" applyFont="1" applyBorder="1" applyAlignment="1">
      <alignment horizontal="right" vertical="center"/>
    </xf>
    <xf numFmtId="175" fontId="6" fillId="0" borderId="0" xfId="56" applyNumberFormat="1" applyFont="1" applyBorder="1" applyAlignment="1">
      <alignment horizontal="right" vertical="center"/>
    </xf>
    <xf numFmtId="175" fontId="110" fillId="0" borderId="0" xfId="56" applyNumberFormat="1" applyFont="1" applyBorder="1" applyAlignment="1">
      <alignment horizontal="right" vertical="center"/>
    </xf>
    <xf numFmtId="0" fontId="15" fillId="45" borderId="18" xfId="0" applyFont="1" applyFill="1" applyBorder="1" applyAlignment="1">
      <alignment horizontal="left" vertical="center"/>
    </xf>
    <xf numFmtId="0" fontId="15" fillId="45" borderId="30" xfId="0" applyFont="1" applyFill="1" applyBorder="1" applyAlignment="1">
      <alignment horizontal="left" vertical="center"/>
    </xf>
    <xf numFmtId="0" fontId="15" fillId="45" borderId="14" xfId="0" applyFont="1" applyFill="1" applyBorder="1" applyAlignment="1">
      <alignment horizontal="left" vertical="center"/>
    </xf>
    <xf numFmtId="0" fontId="11" fillId="0" borderId="6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3"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3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5" fillId="0" borderId="46" xfId="0" applyFont="1" applyBorder="1" applyAlignment="1">
      <alignment horizontal="left" vertical="center"/>
    </xf>
    <xf numFmtId="0" fontId="15" fillId="0" borderId="45" xfId="0" applyFont="1" applyBorder="1" applyAlignment="1">
      <alignment horizontal="left" vertical="center"/>
    </xf>
    <xf numFmtId="0" fontId="15" fillId="0" borderId="52" xfId="0" applyFont="1" applyBorder="1" applyAlignment="1">
      <alignment horizontal="left" vertical="center"/>
    </xf>
    <xf numFmtId="0" fontId="84" fillId="0" borderId="28" xfId="0" applyFont="1" applyBorder="1" applyAlignment="1">
      <alignment vertical="center" wrapText="1"/>
    </xf>
    <xf numFmtId="0" fontId="7" fillId="0" borderId="37" xfId="0" applyFont="1" applyFill="1" applyBorder="1" applyAlignment="1">
      <alignment horizontal="center" vertical="center" textRotation="90"/>
    </xf>
    <xf numFmtId="0" fontId="7" fillId="0" borderId="64" xfId="0" applyFont="1" applyFill="1" applyBorder="1" applyAlignment="1">
      <alignment horizontal="center" vertical="center" textRotation="90"/>
    </xf>
    <xf numFmtId="0" fontId="7" fillId="0" borderId="29" xfId="0" applyFont="1" applyFill="1" applyBorder="1" applyAlignment="1">
      <alignment horizontal="center" vertical="center" textRotation="90"/>
    </xf>
    <xf numFmtId="0" fontId="4" fillId="0" borderId="12" xfId="0" applyFont="1" applyBorder="1" applyAlignment="1">
      <alignment horizontal="center" vertical="distributed"/>
    </xf>
    <xf numFmtId="0" fontId="4" fillId="0" borderId="25" xfId="0" applyFont="1" applyBorder="1" applyAlignment="1">
      <alignment horizontal="center" vertical="distributed"/>
    </xf>
    <xf numFmtId="0" fontId="15" fillId="45" borderId="18" xfId="0" applyFont="1" applyFill="1" applyBorder="1" applyAlignment="1">
      <alignment horizontal="left" vertical="center"/>
    </xf>
    <xf numFmtId="0" fontId="15" fillId="0" borderId="30" xfId="0" applyFont="1" applyBorder="1" applyAlignment="1">
      <alignment horizontal="center" vertical="distributed"/>
    </xf>
    <xf numFmtId="0" fontId="15" fillId="0" borderId="31" xfId="0" applyFont="1" applyBorder="1" applyAlignment="1">
      <alignment horizontal="center" vertical="distributed"/>
    </xf>
    <xf numFmtId="0" fontId="23" fillId="0" borderId="18" xfId="0" applyFont="1" applyBorder="1" applyAlignment="1">
      <alignment horizontal="left" wrapText="1"/>
    </xf>
    <xf numFmtId="0" fontId="23" fillId="0" borderId="30" xfId="0" applyFont="1" applyBorder="1" applyAlignment="1">
      <alignment horizontal="left" wrapText="1"/>
    </xf>
    <xf numFmtId="0" fontId="23" fillId="0" borderId="31" xfId="0" applyFont="1" applyBorder="1" applyAlignment="1">
      <alignment horizontal="left" wrapText="1"/>
    </xf>
    <xf numFmtId="0" fontId="84" fillId="0" borderId="67" xfId="0" applyFont="1" applyBorder="1" applyAlignment="1">
      <alignment horizontal="left" vertical="distributed"/>
    </xf>
    <xf numFmtId="0" fontId="84" fillId="0" borderId="65" xfId="0" applyFont="1" applyBorder="1" applyAlignment="1">
      <alignment horizontal="left" vertical="distributed"/>
    </xf>
    <xf numFmtId="0" fontId="84" fillId="0" borderId="56" xfId="0" applyFont="1" applyBorder="1" applyAlignment="1">
      <alignment horizontal="left" vertical="distributed"/>
    </xf>
    <xf numFmtId="0" fontId="6" fillId="0" borderId="10" xfId="0" applyFont="1" applyBorder="1" applyAlignment="1">
      <alignment horizontal="lef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45" borderId="18" xfId="0" applyFont="1" applyFill="1" applyBorder="1" applyAlignment="1">
      <alignment horizontal="left" vertical="center" wrapText="1"/>
    </xf>
    <xf numFmtId="0" fontId="11" fillId="45" borderId="30" xfId="0" applyFont="1" applyFill="1" applyBorder="1" applyAlignment="1">
      <alignment horizontal="left" vertical="center" wrapText="1"/>
    </xf>
    <xf numFmtId="0" fontId="11" fillId="45" borderId="31" xfId="0" applyFont="1" applyFill="1" applyBorder="1" applyAlignment="1">
      <alignment horizontal="left"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3" xfId="0" applyFont="1" applyBorder="1" applyAlignment="1">
      <alignment horizontal="left" vertical="center" wrapText="1"/>
    </xf>
    <xf numFmtId="0" fontId="4" fillId="0" borderId="55" xfId="0" applyFont="1" applyBorder="1" applyAlignment="1">
      <alignment horizontal="left" vertical="center" wrapText="1"/>
    </xf>
    <xf numFmtId="0" fontId="23" fillId="0" borderId="18"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15" fillId="0" borderId="37"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9" xfId="0" applyFont="1" applyBorder="1" applyAlignment="1">
      <alignment horizontal="center" vertical="center" wrapText="1"/>
    </xf>
    <xf numFmtId="0" fontId="14" fillId="0" borderId="18" xfId="0" applyFont="1" applyBorder="1" applyAlignment="1">
      <alignment horizontal="left"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5" fillId="0" borderId="18"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12" fillId="0" borderId="11" xfId="0" applyFont="1" applyBorder="1" applyAlignment="1">
      <alignment horizontal="left" vertical="center" wrapText="1"/>
    </xf>
    <xf numFmtId="0" fontId="12" fillId="0" borderId="27"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26"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3" fillId="0" borderId="18" xfId="0" applyFont="1" applyBorder="1" applyAlignment="1">
      <alignment horizontal="left" vertical="distributed"/>
    </xf>
    <xf numFmtId="0" fontId="13" fillId="0" borderId="30" xfId="0" applyFont="1" applyBorder="1" applyAlignment="1">
      <alignment horizontal="left" vertical="distributed"/>
    </xf>
    <xf numFmtId="0" fontId="13" fillId="0" borderId="31" xfId="0" applyFont="1" applyBorder="1" applyAlignment="1">
      <alignment horizontal="left" vertical="distributed"/>
    </xf>
    <xf numFmtId="0" fontId="7" fillId="0" borderId="26"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11" fillId="0" borderId="1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3" fillId="0" borderId="18"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80" fillId="0" borderId="12" xfId="0" applyFont="1" applyBorder="1" applyAlignment="1">
      <alignment horizontal="left" vertical="center" wrapText="1"/>
    </xf>
    <xf numFmtId="0" fontId="80" fillId="0" borderId="24" xfId="0" applyFont="1" applyBorder="1" applyAlignment="1">
      <alignment horizontal="left" vertical="center" wrapText="1"/>
    </xf>
    <xf numFmtId="0" fontId="80" fillId="0" borderId="25" xfId="0" applyFont="1" applyBorder="1" applyAlignment="1">
      <alignment horizontal="left" vertical="center" wrapText="1"/>
    </xf>
    <xf numFmtId="0" fontId="113" fillId="0" borderId="0" xfId="0" applyFont="1" applyAlignment="1">
      <alignment/>
    </xf>
    <xf numFmtId="0" fontId="107" fillId="42" borderId="52" xfId="0" applyFont="1" applyFill="1" applyBorder="1" applyAlignment="1">
      <alignment horizontal="center" vertical="center"/>
    </xf>
    <xf numFmtId="0" fontId="14" fillId="0" borderId="44"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15279920"/>
        <c:axId val="3301553"/>
      </c:lineChart>
      <c:catAx>
        <c:axId val="15279920"/>
        <c:scaling>
          <c:orientation val="minMax"/>
        </c:scaling>
        <c:axPos val="b"/>
        <c:delete val="0"/>
        <c:numFmt formatCode="General" sourceLinked="1"/>
        <c:majorTickMark val="out"/>
        <c:minorTickMark val="none"/>
        <c:tickLblPos val="nextTo"/>
        <c:spPr>
          <a:ln w="3175">
            <a:solidFill>
              <a:srgbClr val="000000"/>
            </a:solidFill>
          </a:ln>
        </c:spPr>
        <c:crossAx val="3301553"/>
        <c:crosses val="autoZero"/>
        <c:auto val="1"/>
        <c:lblOffset val="100"/>
        <c:tickLblSkip val="1"/>
        <c:noMultiLvlLbl val="0"/>
      </c:catAx>
      <c:valAx>
        <c:axId val="33015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7992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29713978"/>
        <c:axId val="66099211"/>
      </c:lineChart>
      <c:catAx>
        <c:axId val="29713978"/>
        <c:scaling>
          <c:orientation val="minMax"/>
        </c:scaling>
        <c:axPos val="b"/>
        <c:delete val="0"/>
        <c:numFmt formatCode="General" sourceLinked="1"/>
        <c:majorTickMark val="out"/>
        <c:minorTickMark val="none"/>
        <c:tickLblPos val="nextTo"/>
        <c:spPr>
          <a:ln w="3175">
            <a:solidFill>
              <a:srgbClr val="000000"/>
            </a:solidFill>
          </a:ln>
        </c:spPr>
        <c:crossAx val="66099211"/>
        <c:crosses val="autoZero"/>
        <c:auto val="1"/>
        <c:lblOffset val="100"/>
        <c:tickLblSkip val="1"/>
        <c:noMultiLvlLbl val="0"/>
      </c:catAx>
      <c:valAx>
        <c:axId val="660992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1397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58021988"/>
        <c:axId val="52435845"/>
      </c:lineChart>
      <c:catAx>
        <c:axId val="58021988"/>
        <c:scaling>
          <c:orientation val="minMax"/>
        </c:scaling>
        <c:axPos val="b"/>
        <c:delete val="0"/>
        <c:numFmt formatCode="General" sourceLinked="1"/>
        <c:majorTickMark val="out"/>
        <c:minorTickMark val="none"/>
        <c:tickLblPos val="nextTo"/>
        <c:spPr>
          <a:ln w="3175">
            <a:solidFill>
              <a:srgbClr val="000000"/>
            </a:solidFill>
          </a:ln>
        </c:spPr>
        <c:crossAx val="52435845"/>
        <c:crosses val="autoZero"/>
        <c:auto val="1"/>
        <c:lblOffset val="100"/>
        <c:tickLblSkip val="1"/>
        <c:noMultiLvlLbl val="0"/>
      </c:catAx>
      <c:valAx>
        <c:axId val="524358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2198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'CAPITA Holanda'!#REF!</c:f>
              <c:numCache>
                <c:ptCount val="1"/>
                <c:pt idx="0">
                  <c:v>1</c:v>
                </c:pt>
              </c:numCache>
            </c:numRef>
          </c:val>
          <c:smooth val="0"/>
        </c:ser>
        <c:marker val="1"/>
        <c:axId val="2160558"/>
        <c:axId val="19445023"/>
      </c:lineChart>
      <c:catAx>
        <c:axId val="2160558"/>
        <c:scaling>
          <c:orientation val="minMax"/>
        </c:scaling>
        <c:axPos val="b"/>
        <c:delete val="0"/>
        <c:numFmt formatCode="General" sourceLinked="1"/>
        <c:majorTickMark val="out"/>
        <c:minorTickMark val="none"/>
        <c:tickLblPos val="nextTo"/>
        <c:spPr>
          <a:ln w="3175">
            <a:solidFill>
              <a:srgbClr val="000000"/>
            </a:solidFill>
          </a:ln>
        </c:spPr>
        <c:crossAx val="19445023"/>
        <c:crosses val="autoZero"/>
        <c:auto val="1"/>
        <c:lblOffset val="100"/>
        <c:tickLblSkip val="1"/>
        <c:noMultiLvlLbl val="0"/>
      </c:catAx>
      <c:valAx>
        <c:axId val="194450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605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43</xdr:row>
      <xdr:rowOff>38100</xdr:rowOff>
    </xdr:to>
    <xdr:graphicFrame>
      <xdr:nvGraphicFramePr>
        <xdr:cNvPr id="1" name="Gráfico 10"/>
        <xdr:cNvGraphicFramePr/>
      </xdr:nvGraphicFramePr>
      <xdr:xfrm>
        <a:off x="0" y="17145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0</xdr:rowOff>
    </xdr:from>
    <xdr:to>
      <xdr:col>0</xdr:col>
      <xdr:colOff>0</xdr:colOff>
      <xdr:row>50</xdr:row>
      <xdr:rowOff>0</xdr:rowOff>
    </xdr:to>
    <xdr:graphicFrame>
      <xdr:nvGraphicFramePr>
        <xdr:cNvPr id="2" name="Gráfico 11"/>
        <xdr:cNvGraphicFramePr/>
      </xdr:nvGraphicFramePr>
      <xdr:xfrm>
        <a:off x="0" y="17145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50</xdr:row>
      <xdr:rowOff>0</xdr:rowOff>
    </xdr:from>
    <xdr:to>
      <xdr:col>0</xdr:col>
      <xdr:colOff>0</xdr:colOff>
      <xdr:row>50</xdr:row>
      <xdr:rowOff>0</xdr:rowOff>
    </xdr:to>
    <xdr:graphicFrame>
      <xdr:nvGraphicFramePr>
        <xdr:cNvPr id="3" name="Gráfico 12"/>
        <xdr:cNvGraphicFramePr/>
      </xdr:nvGraphicFramePr>
      <xdr:xfrm>
        <a:off x="0" y="1714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36</xdr:row>
      <xdr:rowOff>0</xdr:rowOff>
    </xdr:from>
    <xdr:to>
      <xdr:col>0</xdr:col>
      <xdr:colOff>0</xdr:colOff>
      <xdr:row>43</xdr:row>
      <xdr:rowOff>28575</xdr:rowOff>
    </xdr:to>
    <xdr:graphicFrame>
      <xdr:nvGraphicFramePr>
        <xdr:cNvPr id="4" name="Gráfico 13"/>
        <xdr:cNvGraphicFramePr/>
      </xdr:nvGraphicFramePr>
      <xdr:xfrm>
        <a:off x="0" y="1714500"/>
        <a:ext cx="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1990725</xdr:colOff>
      <xdr:row>8</xdr:row>
      <xdr:rowOff>95250</xdr:rowOff>
    </xdr:from>
    <xdr:to>
      <xdr:col>2</xdr:col>
      <xdr:colOff>0</xdr:colOff>
      <xdr:row>8</xdr:row>
      <xdr:rowOff>95250</xdr:rowOff>
    </xdr:to>
    <xdr:sp>
      <xdr:nvSpPr>
        <xdr:cNvPr id="5" name="Line 8"/>
        <xdr:cNvSpPr>
          <a:spLocks/>
        </xdr:cNvSpPr>
      </xdr:nvSpPr>
      <xdr:spPr>
        <a:xfrm>
          <a:off x="1990725" y="1466850"/>
          <a:ext cx="1924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D112"/>
  <sheetViews>
    <sheetView zoomScalePageLayoutView="0" workbookViewId="0" topLeftCell="A101">
      <selection activeCell="D111" sqref="D111"/>
    </sheetView>
  </sheetViews>
  <sheetFormatPr defaultColWidth="22.421875" defaultRowHeight="15" customHeight="1"/>
  <cols>
    <col min="1" max="1" width="39.140625" style="1" customWidth="1"/>
    <col min="2" max="4" width="22.421875" style="1" customWidth="1"/>
    <col min="5" max="5" width="25.8515625" style="1" customWidth="1"/>
    <col min="6" max="6" width="22.421875" style="1" customWidth="1"/>
    <col min="7" max="7" width="18.00390625" style="1" customWidth="1"/>
    <col min="8" max="8" width="23.421875" style="1" customWidth="1"/>
    <col min="9" max="9" width="22.421875" style="1" customWidth="1"/>
    <col min="10" max="10" width="18.140625" style="1" customWidth="1"/>
    <col min="11" max="13" width="22.421875" style="1" customWidth="1"/>
    <col min="14" max="15" width="22.421875" style="11" customWidth="1"/>
    <col min="16" max="19" width="22.421875" style="1" customWidth="1"/>
    <col min="20" max="21" width="22.421875" style="11" customWidth="1"/>
    <col min="22" max="16384" width="22.421875" style="1" customWidth="1"/>
  </cols>
  <sheetData>
    <row r="1" ht="6" customHeight="1" thickBot="1"/>
    <row r="2" spans="1:28" s="7" customFormat="1" ht="23.25" customHeight="1" thickBot="1">
      <c r="A2" s="662" t="s">
        <v>373</v>
      </c>
      <c r="B2" s="663"/>
      <c r="C2" s="663"/>
      <c r="D2" s="663"/>
      <c r="E2" s="663"/>
      <c r="F2" s="664"/>
      <c r="G2" s="275"/>
      <c r="H2" s="276"/>
      <c r="I2" s="277"/>
      <c r="J2" s="8"/>
      <c r="K2" s="2"/>
      <c r="L2" s="2"/>
      <c r="M2" s="278"/>
      <c r="N2" s="6"/>
      <c r="O2" s="6"/>
      <c r="P2" s="279"/>
      <c r="Q2" s="6"/>
      <c r="R2" s="6"/>
      <c r="S2" s="6"/>
      <c r="T2" s="6"/>
      <c r="U2" s="6"/>
      <c r="V2" s="6"/>
      <c r="W2" s="6"/>
      <c r="X2" s="6"/>
      <c r="Y2" s="6"/>
      <c r="Z2" s="6"/>
      <c r="AA2" s="6"/>
      <c r="AB2" s="6"/>
    </row>
    <row r="3" spans="1:29" ht="30.75" customHeight="1">
      <c r="A3" s="665" t="s">
        <v>372</v>
      </c>
      <c r="B3" s="665"/>
      <c r="C3" s="665"/>
      <c r="D3" s="665"/>
      <c r="E3" s="665"/>
      <c r="F3" s="665"/>
      <c r="G3" s="275"/>
      <c r="H3" s="275"/>
      <c r="I3" s="275"/>
      <c r="J3" s="8"/>
      <c r="K3" s="2"/>
      <c r="L3" s="2"/>
      <c r="M3" s="278"/>
      <c r="O3" s="9"/>
      <c r="P3" s="10"/>
      <c r="Q3" s="9"/>
      <c r="R3" s="9"/>
      <c r="S3" s="9"/>
      <c r="T3" s="9"/>
      <c r="U3" s="9"/>
      <c r="V3" s="9"/>
      <c r="W3" s="11"/>
      <c r="X3" s="11"/>
      <c r="Y3" s="11"/>
      <c r="Z3" s="11"/>
      <c r="AA3" s="11"/>
      <c r="AB3" s="11"/>
      <c r="AC3" s="11"/>
    </row>
    <row r="4" spans="1:29" ht="15" customHeight="1" thickBot="1">
      <c r="A4" s="3"/>
      <c r="B4" s="12"/>
      <c r="C4" s="3"/>
      <c r="D4" s="3"/>
      <c r="E4" s="280"/>
      <c r="F4" s="281"/>
      <c r="G4" s="31"/>
      <c r="H4" s="282"/>
      <c r="I4" s="282"/>
      <c r="J4" s="283"/>
      <c r="K4" s="29"/>
      <c r="L4" s="19"/>
      <c r="O4" s="19"/>
      <c r="P4" s="19"/>
      <c r="Q4" s="11"/>
      <c r="R4" s="11"/>
      <c r="S4" s="14"/>
      <c r="U4" s="14"/>
      <c r="V4" s="14"/>
      <c r="W4" s="11"/>
      <c r="X4" s="14"/>
      <c r="Y4" s="15"/>
      <c r="Z4" s="11"/>
      <c r="AA4" s="11"/>
      <c r="AB4" s="11"/>
      <c r="AC4" s="11"/>
    </row>
    <row r="5" spans="1:29" ht="15" customHeight="1" thickBot="1">
      <c r="A5" s="16"/>
      <c r="B5" s="284"/>
      <c r="C5" s="285" t="s">
        <v>108</v>
      </c>
      <c r="D5" s="286" t="s">
        <v>109</v>
      </c>
      <c r="E5" s="285" t="s">
        <v>30</v>
      </c>
      <c r="F5" s="281"/>
      <c r="G5" s="7"/>
      <c r="H5" s="4"/>
      <c r="I5" s="4"/>
      <c r="J5" s="7"/>
      <c r="K5" s="7"/>
      <c r="P5" s="11"/>
      <c r="Q5" s="11"/>
      <c r="R5" s="11"/>
      <c r="S5" s="14"/>
      <c r="U5" s="14"/>
      <c r="V5" s="14"/>
      <c r="W5" s="11"/>
      <c r="X5" s="14"/>
      <c r="Y5" s="15"/>
      <c r="Z5" s="11"/>
      <c r="AA5" s="11"/>
      <c r="AB5" s="11"/>
      <c r="AC5" s="11"/>
    </row>
    <row r="6" spans="1:29" ht="15" customHeight="1" thickBot="1">
      <c r="A6" s="172"/>
      <c r="B6" s="287" t="s">
        <v>110</v>
      </c>
      <c r="C6" s="288">
        <v>135</v>
      </c>
      <c r="D6" s="289">
        <f>E6-C6</f>
        <v>42102</v>
      </c>
      <c r="E6" s="290">
        <v>42237</v>
      </c>
      <c r="F6" s="281"/>
      <c r="G6" s="28"/>
      <c r="H6" s="4"/>
      <c r="I6" s="4"/>
      <c r="J6" s="4"/>
      <c r="K6" s="7"/>
      <c r="L6" s="267"/>
      <c r="M6" s="11"/>
      <c r="P6" s="11"/>
      <c r="Q6" s="11"/>
      <c r="R6" s="11"/>
      <c r="S6" s="14"/>
      <c r="U6" s="14"/>
      <c r="V6" s="14"/>
      <c r="W6" s="11"/>
      <c r="X6" s="14"/>
      <c r="Y6" s="11"/>
      <c r="Z6" s="11"/>
      <c r="AA6" s="11"/>
      <c r="AB6" s="11"/>
      <c r="AC6" s="11"/>
    </row>
    <row r="7" spans="1:29" ht="15" customHeight="1" thickBot="1">
      <c r="A7" s="172"/>
      <c r="B7" s="287" t="s">
        <v>111</v>
      </c>
      <c r="C7" s="288">
        <v>174</v>
      </c>
      <c r="D7" s="289">
        <f>E7-C7</f>
        <v>42081</v>
      </c>
      <c r="E7" s="290">
        <v>42255</v>
      </c>
      <c r="F7" s="281"/>
      <c r="H7" s="4"/>
      <c r="I7" s="4"/>
      <c r="J7" s="4"/>
      <c r="K7" s="7"/>
      <c r="L7" s="19"/>
      <c r="M7" s="21"/>
      <c r="P7" s="11"/>
      <c r="Q7" s="11"/>
      <c r="R7" s="11"/>
      <c r="S7" s="14"/>
      <c r="U7" s="14"/>
      <c r="V7" s="14"/>
      <c r="W7" s="11"/>
      <c r="X7" s="14"/>
      <c r="Y7" s="11"/>
      <c r="Z7" s="11"/>
      <c r="AA7" s="11"/>
      <c r="AB7" s="11"/>
      <c r="AC7" s="11"/>
    </row>
    <row r="8" spans="2:29" ht="15" customHeight="1" thickBot="1">
      <c r="B8" s="291" t="s">
        <v>30</v>
      </c>
      <c r="C8" s="292">
        <f>SUM(C6:C7)</f>
        <v>309</v>
      </c>
      <c r="D8" s="293">
        <f>SUM(D6:D7)</f>
        <v>84183</v>
      </c>
      <c r="E8" s="292">
        <f>SUM(E6:E7)</f>
        <v>84492</v>
      </c>
      <c r="F8" s="281"/>
      <c r="G8" s="28"/>
      <c r="H8" s="4"/>
      <c r="I8" s="4"/>
      <c r="J8" s="4"/>
      <c r="K8" s="7"/>
      <c r="L8" s="19"/>
      <c r="O8" s="21"/>
      <c r="P8" s="22"/>
      <c r="Q8" s="22"/>
      <c r="R8" s="22"/>
      <c r="S8" s="14"/>
      <c r="U8" s="14"/>
      <c r="V8" s="14"/>
      <c r="W8" s="11"/>
      <c r="X8" s="14"/>
      <c r="Y8" s="11"/>
      <c r="Z8" s="11"/>
      <c r="AA8" s="11"/>
      <c r="AB8" s="11"/>
      <c r="AC8" s="11"/>
    </row>
    <row r="9" spans="2:29" ht="15" customHeight="1" hidden="1">
      <c r="B9" s="23"/>
      <c r="C9" s="24"/>
      <c r="D9" s="20"/>
      <c r="E9" s="20"/>
      <c r="G9" s="25"/>
      <c r="H9" s="3"/>
      <c r="I9" s="3"/>
      <c r="J9" s="3"/>
      <c r="L9" s="19"/>
      <c r="O9" s="21"/>
      <c r="P9" s="22"/>
      <c r="Q9" s="22"/>
      <c r="R9" s="22"/>
      <c r="S9" s="14"/>
      <c r="U9" s="14"/>
      <c r="V9" s="14"/>
      <c r="W9" s="11"/>
      <c r="X9" s="14"/>
      <c r="Y9" s="11"/>
      <c r="Z9" s="11"/>
      <c r="AA9" s="11"/>
      <c r="AB9" s="11"/>
      <c r="AC9" s="11"/>
    </row>
    <row r="10" spans="1:22" s="7" customFormat="1" ht="15" customHeight="1" hidden="1">
      <c r="A10" s="26" t="s">
        <v>9</v>
      </c>
      <c r="B10" s="27"/>
      <c r="C10" s="28"/>
      <c r="D10" s="4"/>
      <c r="E10" s="19"/>
      <c r="F10" s="29"/>
      <c r="G10" s="19"/>
      <c r="H10" s="30"/>
      <c r="I10" s="19"/>
      <c r="L10" s="29"/>
      <c r="O10" s="4"/>
      <c r="P10" s="31"/>
      <c r="Q10" s="31"/>
      <c r="R10" s="31"/>
      <c r="S10" s="4"/>
      <c r="T10" s="4"/>
      <c r="U10" s="4"/>
      <c r="V10" s="4"/>
    </row>
    <row r="11" spans="1:22" s="7" customFormat="1" ht="15" customHeight="1" hidden="1">
      <c r="A11" s="1" t="s">
        <v>18</v>
      </c>
      <c r="B11" s="27"/>
      <c r="C11" s="28"/>
      <c r="D11" s="4"/>
      <c r="E11" s="19"/>
      <c r="F11" s="29"/>
      <c r="G11" s="19"/>
      <c r="H11" s="30"/>
      <c r="I11" s="19"/>
      <c r="J11" s="32"/>
      <c r="O11" s="4"/>
      <c r="P11" s="5"/>
      <c r="Q11" s="5"/>
      <c r="R11" s="5"/>
      <c r="S11" s="4"/>
      <c r="T11" s="4"/>
      <c r="U11" s="4"/>
      <c r="V11" s="4"/>
    </row>
    <row r="12" spans="1:22" s="7" customFormat="1" ht="15" customHeight="1" hidden="1">
      <c r="A12" s="33" t="s">
        <v>33</v>
      </c>
      <c r="B12" s="33" t="s">
        <v>5</v>
      </c>
      <c r="C12" s="34" t="s">
        <v>7</v>
      </c>
      <c r="D12" s="33" t="s">
        <v>26</v>
      </c>
      <c r="E12" s="33" t="s">
        <v>25</v>
      </c>
      <c r="F12" s="34" t="s">
        <v>6</v>
      </c>
      <c r="G12" s="35" t="s">
        <v>0</v>
      </c>
      <c r="H12" s="35" t="s">
        <v>1</v>
      </c>
      <c r="I12" s="19"/>
      <c r="J12" s="36" t="s">
        <v>59</v>
      </c>
      <c r="K12" s="37" t="s">
        <v>0</v>
      </c>
      <c r="L12" s="37" t="s">
        <v>1</v>
      </c>
      <c r="O12" s="4"/>
      <c r="P12" s="4"/>
      <c r="Q12" s="4"/>
      <c r="R12" s="4"/>
      <c r="S12" s="4"/>
      <c r="T12" s="4"/>
      <c r="U12" s="4"/>
      <c r="V12" s="4"/>
    </row>
    <row r="13" spans="1:22" s="7" customFormat="1" ht="15" customHeight="1" hidden="1">
      <c r="A13" s="38">
        <f>LN((C6/E6)/(C7/E7))</f>
        <v>-0.25335444492815384</v>
      </c>
      <c r="B13" s="38">
        <f>SQRT((D6/(C6*E6)+(D7/(C7*E7))))</f>
        <v>0.1144866458669908</v>
      </c>
      <c r="C13" s="39">
        <f>-NORMSINV(2.5/100)</f>
        <v>1.9599639845400538</v>
      </c>
      <c r="D13" s="39">
        <f>A13-(C13*B13)</f>
        <v>-0.47774414753824723</v>
      </c>
      <c r="E13" s="40">
        <f>A13+(C13*B13)</f>
        <v>-0.028964742318060482</v>
      </c>
      <c r="F13" s="41">
        <f>(C6/E6)/(C7/E7)</f>
        <v>0.7761927154896876</v>
      </c>
      <c r="G13" s="42">
        <f>EXP(D13)</f>
        <v>0.62018085148264</v>
      </c>
      <c r="H13" s="43">
        <f>EXP(E13)</f>
        <v>0.9714507149631328</v>
      </c>
      <c r="I13" s="19"/>
      <c r="J13" s="44">
        <f>1-F13</f>
        <v>0.2238072845103124</v>
      </c>
      <c r="K13" s="44">
        <f>1-G13</f>
        <v>0.37981914851736</v>
      </c>
      <c r="L13" s="44">
        <f>1-H13</f>
        <v>0.028549285036867156</v>
      </c>
      <c r="M13" s="45"/>
      <c r="O13" s="4"/>
      <c r="P13" s="4"/>
      <c r="Q13" s="4"/>
      <c r="R13" s="4"/>
      <c r="S13" s="4"/>
      <c r="T13" s="4"/>
      <c r="U13" s="4"/>
      <c r="V13" s="4"/>
    </row>
    <row r="14" spans="2:22" s="7" customFormat="1" ht="15" customHeight="1" hidden="1">
      <c r="B14" s="27"/>
      <c r="C14" s="46"/>
      <c r="D14" s="294"/>
      <c r="E14" s="48"/>
      <c r="F14" s="49"/>
      <c r="G14" s="48"/>
      <c r="H14" s="47"/>
      <c r="I14" s="19"/>
      <c r="J14" s="29"/>
      <c r="K14" s="29"/>
      <c r="L14" s="29"/>
      <c r="O14" s="4"/>
      <c r="P14" s="4"/>
      <c r="Q14" s="4"/>
      <c r="R14" s="4"/>
      <c r="S14" s="4"/>
      <c r="T14" s="4"/>
      <c r="U14" s="4"/>
      <c r="V14" s="4"/>
    </row>
    <row r="15" spans="2:13" s="11" customFormat="1" ht="15" customHeight="1" hidden="1">
      <c r="B15" s="50"/>
      <c r="C15" s="295"/>
      <c r="D15" s="51"/>
      <c r="E15" s="52"/>
      <c r="F15" s="296"/>
      <c r="G15" s="297"/>
      <c r="H15" s="53"/>
      <c r="I15" s="54"/>
      <c r="L15" s="55"/>
      <c r="M15" s="55"/>
    </row>
    <row r="16" spans="1:28" ht="15" customHeight="1" hidden="1">
      <c r="A16" s="217" t="s">
        <v>40</v>
      </c>
      <c r="B16" s="56"/>
      <c r="C16" s="57"/>
      <c r="D16" s="58"/>
      <c r="E16" s="54"/>
      <c r="F16" s="54"/>
      <c r="G16" s="54"/>
      <c r="H16" s="59"/>
      <c r="I16" s="54"/>
      <c r="J16" s="11"/>
      <c r="K16" s="60"/>
      <c r="L16" s="4"/>
      <c r="M16" s="61"/>
      <c r="N16" s="61"/>
      <c r="O16" s="4"/>
      <c r="P16" s="4"/>
      <c r="Q16" s="62"/>
      <c r="R16" s="61"/>
      <c r="S16" s="63"/>
      <c r="T16" s="63"/>
      <c r="U16" s="63"/>
      <c r="V16" s="11"/>
      <c r="W16" s="11"/>
      <c r="X16" s="11"/>
      <c r="Y16" s="11"/>
      <c r="Z16" s="11"/>
      <c r="AA16" s="11"/>
      <c r="AB16" s="11"/>
    </row>
    <row r="17" spans="1:28" ht="15" customHeight="1" hidden="1">
      <c r="A17" s="64" t="s">
        <v>16</v>
      </c>
      <c r="B17" s="65" t="s">
        <v>15</v>
      </c>
      <c r="C17" s="66"/>
      <c r="D17" s="67"/>
      <c r="E17" s="68"/>
      <c r="F17" s="68"/>
      <c r="G17" s="68"/>
      <c r="H17" s="69"/>
      <c r="I17" s="68"/>
      <c r="J17" s="70"/>
      <c r="K17" s="71"/>
      <c r="L17" s="72"/>
      <c r="M17" s="61"/>
      <c r="N17" s="61"/>
      <c r="O17" s="4"/>
      <c r="P17" s="4"/>
      <c r="Q17" s="62"/>
      <c r="R17" s="61"/>
      <c r="S17" s="63"/>
      <c r="T17" s="63"/>
      <c r="U17" s="63"/>
      <c r="V17" s="11"/>
      <c r="W17" s="11" t="s">
        <v>38</v>
      </c>
      <c r="X17" s="11"/>
      <c r="Y17" s="11"/>
      <c r="Z17" s="11"/>
      <c r="AA17" s="11"/>
      <c r="AB17" s="11"/>
    </row>
    <row r="18" spans="1:30" ht="15" customHeight="1" hidden="1" thickBot="1">
      <c r="A18" s="73" t="s">
        <v>97</v>
      </c>
      <c r="B18" s="74" t="s">
        <v>12</v>
      </c>
      <c r="C18" s="75"/>
      <c r="D18" s="74" t="s">
        <v>98</v>
      </c>
      <c r="E18" s="74"/>
      <c r="F18" s="74" t="s">
        <v>10</v>
      </c>
      <c r="G18" s="74"/>
      <c r="H18" s="74" t="s">
        <v>11</v>
      </c>
      <c r="I18" s="76"/>
      <c r="J18" s="76"/>
      <c r="K18" s="76"/>
      <c r="L18" s="72"/>
      <c r="M18" s="61"/>
      <c r="W18" s="1" t="s">
        <v>39</v>
      </c>
      <c r="Y18" s="77"/>
      <c r="Z18" s="77"/>
      <c r="AA18" s="77"/>
      <c r="AB18" s="77"/>
      <c r="AC18" s="77"/>
      <c r="AD18" s="77"/>
    </row>
    <row r="19" spans="1:30" ht="15" customHeight="1" hidden="1">
      <c r="A19" s="78" t="s">
        <v>4</v>
      </c>
      <c r="B19" s="78" t="s">
        <v>34</v>
      </c>
      <c r="C19" s="79" t="s">
        <v>13</v>
      </c>
      <c r="D19" s="79" t="s">
        <v>12</v>
      </c>
      <c r="E19" s="79" t="s">
        <v>98</v>
      </c>
      <c r="F19" s="79" t="s">
        <v>10</v>
      </c>
      <c r="G19" s="79" t="s">
        <v>11</v>
      </c>
      <c r="H19" s="80" t="s">
        <v>7</v>
      </c>
      <c r="I19" s="81" t="s">
        <v>35</v>
      </c>
      <c r="J19" s="81" t="s">
        <v>0</v>
      </c>
      <c r="K19" s="298" t="s">
        <v>1</v>
      </c>
      <c r="L19" s="666" t="s">
        <v>112</v>
      </c>
      <c r="M19" s="61"/>
      <c r="N19" s="299" t="s">
        <v>117</v>
      </c>
      <c r="O19" s="300"/>
      <c r="P19" s="300"/>
      <c r="Q19" s="300"/>
      <c r="R19" s="300"/>
      <c r="S19" s="300"/>
      <c r="T19" s="300"/>
      <c r="U19" s="301"/>
      <c r="V19" s="11"/>
      <c r="W19" s="302" t="s">
        <v>118</v>
      </c>
      <c r="X19" s="268"/>
      <c r="Y19" s="303"/>
      <c r="Z19" s="83"/>
      <c r="AA19" s="83"/>
      <c r="AB19" s="83"/>
      <c r="AC19" s="83"/>
      <c r="AD19" s="84"/>
    </row>
    <row r="20" spans="1:30" ht="15" customHeight="1" hidden="1">
      <c r="A20" s="85">
        <f>C6</f>
        <v>135</v>
      </c>
      <c r="B20" s="85">
        <f>E6</f>
        <v>42237</v>
      </c>
      <c r="C20" s="86">
        <f>A20/B20</f>
        <v>0.0031962497336458554</v>
      </c>
      <c r="D20" s="87">
        <f>2*A20+H20^2</f>
        <v>273.84145882069413</v>
      </c>
      <c r="E20" s="87">
        <f>H20*SQRT((H20^2)+(4*A20*(1-C20)))</f>
        <v>45.63457360061985</v>
      </c>
      <c r="F20" s="88">
        <f>2*(B20+H20^2)</f>
        <v>84481.68291764139</v>
      </c>
      <c r="G20" s="89" t="s">
        <v>14</v>
      </c>
      <c r="H20" s="90">
        <f>-NORMSINV(2.5/100)</f>
        <v>1.9599639845400538</v>
      </c>
      <c r="I20" s="91">
        <f>C20</f>
        <v>0.0031962497336458554</v>
      </c>
      <c r="J20" s="92">
        <f>(D20-E20)/F20</f>
        <v>0.002701258750284913</v>
      </c>
      <c r="K20" s="304">
        <f>(D20+E20)/F20</f>
        <v>0.0037816011872391486</v>
      </c>
      <c r="L20" s="667"/>
      <c r="M20" s="61"/>
      <c r="N20" s="93">
        <f>B20</f>
        <v>42237</v>
      </c>
      <c r="O20" s="17" t="s">
        <v>19</v>
      </c>
      <c r="P20" s="4"/>
      <c r="Q20" s="62"/>
      <c r="R20" s="61"/>
      <c r="S20" s="63"/>
      <c r="T20" s="63"/>
      <c r="U20" s="94"/>
      <c r="V20" s="11"/>
      <c r="W20" s="95">
        <f>ABS(C20-C21)</f>
        <v>0.0009216061413985176</v>
      </c>
      <c r="X20" s="17" t="s">
        <v>36</v>
      </c>
      <c r="Y20" s="4"/>
      <c r="Z20" s="17"/>
      <c r="AA20" s="17"/>
      <c r="AB20" s="17"/>
      <c r="AC20" s="17"/>
      <c r="AD20" s="96"/>
    </row>
    <row r="21" spans="1:30" ht="15" customHeight="1" hidden="1">
      <c r="A21" s="85">
        <f>C7</f>
        <v>174</v>
      </c>
      <c r="B21" s="85">
        <f>E7</f>
        <v>42255</v>
      </c>
      <c r="C21" s="86">
        <f>A21/B21</f>
        <v>0.004117855875044373</v>
      </c>
      <c r="D21" s="87">
        <f>2*A21+H21^2</f>
        <v>351.84145882069413</v>
      </c>
      <c r="E21" s="87">
        <f>H21*SQRT((H21^2)+(4*A21*(1-C21)))</f>
        <v>51.743622000472854</v>
      </c>
      <c r="F21" s="88">
        <f>2*(B21+H21^2)</f>
        <v>84517.68291764139</v>
      </c>
      <c r="G21" s="89" t="s">
        <v>14</v>
      </c>
      <c r="H21" s="90">
        <f>-NORMSINV(2.5/100)</f>
        <v>1.9599639845400538</v>
      </c>
      <c r="I21" s="91">
        <f>C21</f>
        <v>0.004117855875044373</v>
      </c>
      <c r="J21" s="92">
        <f>(D21-E21)/F21</f>
        <v>0.003550710649659585</v>
      </c>
      <c r="K21" s="304">
        <f>(D21+E21)/F21</f>
        <v>0.004775155528274978</v>
      </c>
      <c r="L21" s="667"/>
      <c r="N21" s="97">
        <f>I25</f>
        <v>0.0009216061413985176</v>
      </c>
      <c r="O21" s="17" t="s">
        <v>20</v>
      </c>
      <c r="P21" s="17"/>
      <c r="Q21" s="17"/>
      <c r="R21" s="17"/>
      <c r="S21" s="17"/>
      <c r="T21" s="17"/>
      <c r="U21" s="98"/>
      <c r="V21" s="11"/>
      <c r="W21" s="99">
        <f>SQRT((C22*(1-C22)/B20)+(C22*(1-C22)/B21))</f>
        <v>0.0004153345491527678</v>
      </c>
      <c r="X21" s="100" t="s">
        <v>37</v>
      </c>
      <c r="Y21" s="17"/>
      <c r="Z21" s="17"/>
      <c r="AA21" s="17"/>
      <c r="AB21" s="17"/>
      <c r="AC21" s="17"/>
      <c r="AD21" s="96"/>
    </row>
    <row r="22" spans="1:30" ht="15" customHeight="1" hidden="1">
      <c r="A22" s="101">
        <f>A20+A21</f>
        <v>309</v>
      </c>
      <c r="B22" s="101">
        <f>B20+B21</f>
        <v>84492</v>
      </c>
      <c r="C22" s="305">
        <f>A22/B22</f>
        <v>0.0036571509728731714</v>
      </c>
      <c r="D22" s="102"/>
      <c r="E22" s="102"/>
      <c r="F22" s="103"/>
      <c r="G22" s="18"/>
      <c r="H22" s="104"/>
      <c r="I22" s="105"/>
      <c r="J22" s="105"/>
      <c r="K22" s="105"/>
      <c r="L22" s="667"/>
      <c r="N22" s="106">
        <f>(A20+A21)/(B20+B21)</f>
        <v>0.0036571509728731714</v>
      </c>
      <c r="O22" s="17" t="s">
        <v>8</v>
      </c>
      <c r="P22" s="4"/>
      <c r="Q22" s="62"/>
      <c r="R22" s="61"/>
      <c r="S22" s="63"/>
      <c r="T22" s="63"/>
      <c r="U22" s="96"/>
      <c r="V22" s="11"/>
      <c r="W22" s="107">
        <f>W20/W21</f>
        <v>2.2189489010208336</v>
      </c>
      <c r="X22" s="17" t="s">
        <v>58</v>
      </c>
      <c r="Y22" s="4"/>
      <c r="Z22" s="17"/>
      <c r="AA22" s="17"/>
      <c r="AB22" s="17"/>
      <c r="AC22" s="17"/>
      <c r="AD22" s="96"/>
    </row>
    <row r="23" spans="1:30" ht="15" customHeight="1" hidden="1">
      <c r="A23" s="74"/>
      <c r="B23" s="65" t="s">
        <v>17</v>
      </c>
      <c r="C23" s="74"/>
      <c r="D23" s="74"/>
      <c r="E23" s="68"/>
      <c r="F23" s="68"/>
      <c r="G23" s="68"/>
      <c r="H23" s="69"/>
      <c r="I23" s="68"/>
      <c r="J23" s="70"/>
      <c r="K23" s="74"/>
      <c r="L23" s="667"/>
      <c r="N23" s="108">
        <f>SQRT(N20*N21^2/(2*N22*(1-N22)))-H20</f>
        <v>0.258748594109268</v>
      </c>
      <c r="O23" s="17" t="s">
        <v>99</v>
      </c>
      <c r="P23" s="17"/>
      <c r="Q23" s="17"/>
      <c r="R23" s="17"/>
      <c r="S23" s="17"/>
      <c r="T23" s="7"/>
      <c r="U23" s="94"/>
      <c r="V23" s="11"/>
      <c r="W23" s="109">
        <f>NORMSDIST(-W22)</f>
        <v>0.013245100557452353</v>
      </c>
      <c r="X23" s="60" t="s">
        <v>64</v>
      </c>
      <c r="Y23" s="17"/>
      <c r="Z23" s="7"/>
      <c r="AA23" s="7"/>
      <c r="AB23" s="7"/>
      <c r="AC23" s="7"/>
      <c r="AD23" s="98"/>
    </row>
    <row r="24" spans="1:30" ht="15" customHeight="1" hidden="1" thickBot="1">
      <c r="A24" s="74"/>
      <c r="B24" s="65" t="s">
        <v>100</v>
      </c>
      <c r="C24" s="66"/>
      <c r="D24" s="67"/>
      <c r="E24" s="68"/>
      <c r="F24" s="68"/>
      <c r="I24" s="110"/>
      <c r="J24" s="110"/>
      <c r="K24" s="110"/>
      <c r="L24" s="667"/>
      <c r="N24" s="111">
        <f>NORMSDIST(N23)</f>
        <v>0.602085388360825</v>
      </c>
      <c r="O24" s="60" t="s">
        <v>22</v>
      </c>
      <c r="P24" s="112"/>
      <c r="Q24" s="17"/>
      <c r="R24" s="17"/>
      <c r="S24" s="17"/>
      <c r="T24" s="17"/>
      <c r="U24" s="96"/>
      <c r="V24" s="11"/>
      <c r="W24" s="113">
        <f>1-W23</f>
        <v>0.9867548994425477</v>
      </c>
      <c r="X24" s="114" t="s">
        <v>113</v>
      </c>
      <c r="Y24" s="112"/>
      <c r="Z24" s="7"/>
      <c r="AA24" s="7"/>
      <c r="AB24" s="7"/>
      <c r="AC24" s="7"/>
      <c r="AD24" s="98"/>
    </row>
    <row r="25" spans="1:30" ht="15" customHeight="1" hidden="1" thickBot="1">
      <c r="A25" s="217" t="s">
        <v>88</v>
      </c>
      <c r="B25" s="115"/>
      <c r="D25" s="66"/>
      <c r="E25" s="269" t="s">
        <v>60</v>
      </c>
      <c r="F25" s="74"/>
      <c r="G25" s="66"/>
      <c r="H25" s="116" t="s">
        <v>31</v>
      </c>
      <c r="I25" s="306">
        <f>C21-C20</f>
        <v>0.0009216061413985176</v>
      </c>
      <c r="J25" s="307">
        <f>I25+SQRT((C21-J21)^2+(K20-C20)^2)</f>
        <v>0.0017366460366800573</v>
      </c>
      <c r="K25" s="308">
        <f>I25-SQRT((C20-J20)^2+(K21-C21)^2)</f>
        <v>9.877024782938893E-05</v>
      </c>
      <c r="L25" s="667"/>
      <c r="N25" s="117">
        <f>1-N24</f>
        <v>0.39791461163917496</v>
      </c>
      <c r="O25" s="118" t="s">
        <v>21</v>
      </c>
      <c r="P25" s="119"/>
      <c r="Q25" s="120"/>
      <c r="R25" s="119"/>
      <c r="S25" s="119"/>
      <c r="T25" s="119"/>
      <c r="U25" s="121"/>
      <c r="V25" s="11"/>
      <c r="W25" s="122"/>
      <c r="X25" s="123"/>
      <c r="Y25" s="119"/>
      <c r="Z25" s="123"/>
      <c r="AA25" s="123"/>
      <c r="AB25" s="123"/>
      <c r="AC25" s="123"/>
      <c r="AD25" s="124"/>
    </row>
    <row r="26" spans="3:28" ht="15" customHeight="1" hidden="1" thickBot="1">
      <c r="C26" s="125"/>
      <c r="E26" s="126"/>
      <c r="H26" s="127" t="s">
        <v>32</v>
      </c>
      <c r="I26" s="128">
        <f>1/I25</f>
        <v>1085.0622137592545</v>
      </c>
      <c r="J26" s="129">
        <f>1/J25</f>
        <v>575.8225792008243</v>
      </c>
      <c r="K26" s="236">
        <f>1/K25</f>
        <v>10124.506336435976</v>
      </c>
      <c r="L26" s="668"/>
      <c r="N26" s="1"/>
      <c r="O26" s="1"/>
      <c r="T26" s="1"/>
      <c r="U26" s="1"/>
      <c r="V26" s="11"/>
      <c r="W26" s="11"/>
      <c r="X26" s="11"/>
      <c r="Y26" s="11"/>
      <c r="Z26" s="11"/>
      <c r="AA26" s="11"/>
      <c r="AB26" s="11"/>
    </row>
    <row r="27" spans="1:21" ht="15" customHeight="1" hidden="1">
      <c r="A27" s="7"/>
      <c r="B27" s="130"/>
      <c r="C27" s="125"/>
      <c r="D27" s="131"/>
      <c r="I27" s="132"/>
      <c r="J27" s="133"/>
      <c r="K27" s="133"/>
      <c r="N27" s="1"/>
      <c r="O27" s="1"/>
      <c r="T27" s="1"/>
      <c r="U27" s="1"/>
    </row>
    <row r="28" spans="1:21" ht="15" customHeight="1" hidden="1">
      <c r="A28" s="32"/>
      <c r="B28" s="32"/>
      <c r="C28" s="130"/>
      <c r="D28" s="131"/>
      <c r="E28" s="134"/>
      <c r="F28" s="135"/>
      <c r="G28" s="136" t="s">
        <v>79</v>
      </c>
      <c r="H28" s="270" t="s">
        <v>80</v>
      </c>
      <c r="I28" s="271">
        <f>I26</f>
        <v>1085.0622137592545</v>
      </c>
      <c r="J28" s="271">
        <f>J26</f>
        <v>575.8225792008243</v>
      </c>
      <c r="K28" s="271">
        <f>K26</f>
        <v>10124.506336435976</v>
      </c>
      <c r="N28" s="1"/>
      <c r="O28" s="1"/>
      <c r="T28" s="1"/>
      <c r="U28" s="1"/>
    </row>
    <row r="29" spans="1:11" s="7" customFormat="1" ht="15" customHeight="1" hidden="1">
      <c r="A29" s="19"/>
      <c r="B29" s="131"/>
      <c r="C29" s="131"/>
      <c r="D29" s="137"/>
      <c r="E29" s="138"/>
      <c r="F29" s="309"/>
      <c r="G29" s="310"/>
      <c r="H29" s="311" t="s">
        <v>83</v>
      </c>
      <c r="I29" s="312">
        <f>(1-C21)*I26</f>
        <v>1080.5940839475375</v>
      </c>
      <c r="J29" s="312">
        <f>(1-C21)*J26</f>
        <v>573.4514248100791</v>
      </c>
      <c r="K29" s="313">
        <f>(1-C21)*K26</f>
        <v>10082.81507853656</v>
      </c>
    </row>
    <row r="30" spans="2:11" s="7" customFormat="1" ht="15" customHeight="1" hidden="1">
      <c r="B30" s="130"/>
      <c r="C30" s="130"/>
      <c r="D30" s="130"/>
      <c r="E30" s="140"/>
      <c r="F30" s="141"/>
      <c r="G30" s="142"/>
      <c r="H30" s="143" t="s">
        <v>86</v>
      </c>
      <c r="I30" s="144">
        <f>I26*I25</f>
        <v>1</v>
      </c>
      <c r="J30" s="144">
        <f>J26*J25</f>
        <v>0.9999999999999999</v>
      </c>
      <c r="K30" s="314">
        <f>K26*K25</f>
        <v>0.9999999999999999</v>
      </c>
    </row>
    <row r="31" spans="1:11" s="7" customFormat="1" ht="15" customHeight="1" hidden="1">
      <c r="A31" s="29"/>
      <c r="B31" s="145"/>
      <c r="D31" s="29"/>
      <c r="F31" s="146"/>
      <c r="G31" s="272"/>
      <c r="H31" s="147" t="s">
        <v>87</v>
      </c>
      <c r="I31" s="148">
        <f>(C21-I25)*I26</f>
        <v>3.4681298117171995</v>
      </c>
      <c r="J31" s="148">
        <f>(C21-J25)*J26</f>
        <v>1.3711543907453183</v>
      </c>
      <c r="K31" s="315">
        <f>(C21-K25)*K26</f>
        <v>40.69125789941687</v>
      </c>
    </row>
    <row r="32" spans="1:16" s="7" customFormat="1" ht="15" customHeight="1" hidden="1">
      <c r="A32" s="29"/>
      <c r="F32" s="149"/>
      <c r="G32" s="149"/>
      <c r="H32" s="149"/>
      <c r="I32" s="150"/>
      <c r="J32" s="150"/>
      <c r="K32" s="150"/>
      <c r="M32" s="153"/>
      <c r="N32" s="153"/>
      <c r="O32" s="153"/>
      <c r="P32" s="155"/>
    </row>
    <row r="33" spans="5:16" s="7" customFormat="1" ht="15" customHeight="1" hidden="1">
      <c r="E33" s="151"/>
      <c r="F33" s="152"/>
      <c r="G33" s="136" t="s">
        <v>81</v>
      </c>
      <c r="H33" s="270" t="s">
        <v>82</v>
      </c>
      <c r="I33" s="271">
        <f>ABS(I26)</f>
        <v>1085.0622137592545</v>
      </c>
      <c r="J33" s="271">
        <f>ABS(K26)</f>
        <v>10124.506336435976</v>
      </c>
      <c r="K33" s="271">
        <f>ABS(J26)</f>
        <v>575.8225792008243</v>
      </c>
      <c r="M33" s="153"/>
      <c r="N33" s="153"/>
      <c r="O33" s="154"/>
      <c r="P33" s="155"/>
    </row>
    <row r="34" spans="6:16" s="7" customFormat="1" ht="15" customHeight="1" hidden="1">
      <c r="F34" s="316"/>
      <c r="G34" s="317"/>
      <c r="H34" s="318" t="s">
        <v>83</v>
      </c>
      <c r="I34" s="312">
        <f>ABS((1-(C21-I25))*I26)</f>
        <v>1081.5940839475372</v>
      </c>
      <c r="J34" s="312">
        <f>ABS((1-(C21-K25))*K26)</f>
        <v>10083.81507853656</v>
      </c>
      <c r="K34" s="313">
        <f>ABS((1-(C21-J25))*J26)</f>
        <v>574.451424810079</v>
      </c>
      <c r="M34" s="153"/>
      <c r="N34" s="153"/>
      <c r="O34" s="153"/>
      <c r="P34" s="155"/>
    </row>
    <row r="35" spans="5:11" s="7" customFormat="1" ht="15" customHeight="1" hidden="1">
      <c r="E35" s="156"/>
      <c r="F35" s="157"/>
      <c r="G35" s="158"/>
      <c r="H35" s="159" t="s">
        <v>84</v>
      </c>
      <c r="I35" s="160">
        <f>I26*I25</f>
        <v>1</v>
      </c>
      <c r="J35" s="161">
        <f>K26*K25</f>
        <v>0.9999999999999999</v>
      </c>
      <c r="K35" s="319">
        <f>J26*J25</f>
        <v>0.9999999999999999</v>
      </c>
    </row>
    <row r="36" spans="1:21" ht="15" customHeight="1" hidden="1">
      <c r="A36" s="273" t="s">
        <v>52</v>
      </c>
      <c r="B36" s="7"/>
      <c r="C36" s="7"/>
      <c r="D36" s="7"/>
      <c r="E36" s="149"/>
      <c r="F36" s="162"/>
      <c r="G36" s="274"/>
      <c r="H36" s="163" t="s">
        <v>85</v>
      </c>
      <c r="I36" s="148">
        <f>ABS(C21*I26)</f>
        <v>4.4681298117171995</v>
      </c>
      <c r="J36" s="148">
        <f>ABS(C21*K26)</f>
        <v>41.69125789941686</v>
      </c>
      <c r="K36" s="315">
        <f>ABS(C21*J26)</f>
        <v>2.371154390745318</v>
      </c>
      <c r="M36" s="7"/>
      <c r="N36" s="7"/>
      <c r="O36" s="7"/>
      <c r="P36" s="7"/>
      <c r="Q36" s="7"/>
      <c r="T36" s="1"/>
      <c r="U36" s="1"/>
    </row>
    <row r="37" spans="1:17" s="11" customFormat="1" ht="15" customHeight="1" hidden="1">
      <c r="A37" s="1"/>
      <c r="B37" s="164" t="s">
        <v>28</v>
      </c>
      <c r="C37" s="165" t="s">
        <v>29</v>
      </c>
      <c r="D37" s="17"/>
      <c r="E37" s="149"/>
      <c r="F37" s="149"/>
      <c r="G37" s="19"/>
      <c r="H37" s="167"/>
      <c r="I37" s="168"/>
      <c r="J37" s="168"/>
      <c r="K37" s="168"/>
      <c r="M37" s="7"/>
      <c r="N37" s="7"/>
      <c r="O37" s="7"/>
      <c r="P37" s="7"/>
      <c r="Q37" s="7"/>
    </row>
    <row r="38" spans="1:21" ht="15" customHeight="1" hidden="1">
      <c r="A38" s="169" t="s">
        <v>44</v>
      </c>
      <c r="B38" s="170" t="s">
        <v>3</v>
      </c>
      <c r="C38" s="171" t="s">
        <v>2</v>
      </c>
      <c r="D38" s="172" t="s">
        <v>30</v>
      </c>
      <c r="M38" s="7"/>
      <c r="N38" s="7"/>
      <c r="O38" s="7"/>
      <c r="P38" s="7"/>
      <c r="Q38" s="7"/>
      <c r="T38" s="1"/>
      <c r="U38" s="1"/>
    </row>
    <row r="39" spans="1:21" ht="15" customHeight="1" hidden="1">
      <c r="A39" s="173" t="s">
        <v>23</v>
      </c>
      <c r="B39" s="174">
        <f>E6*C8/E8</f>
        <v>154.46708564124415</v>
      </c>
      <c r="C39" s="174">
        <f>E6*D8/E8</f>
        <v>42082.53291435876</v>
      </c>
      <c r="D39" s="174">
        <f>E6</f>
        <v>42237</v>
      </c>
      <c r="F39" s="175"/>
      <c r="G39" s="176" t="s">
        <v>42</v>
      </c>
      <c r="H39" s="177">
        <f>CHIINV(0.05,J40)</f>
        <v>3.8414588206941236</v>
      </c>
      <c r="M39" s="7"/>
      <c r="N39" s="153"/>
      <c r="O39" s="153"/>
      <c r="P39" s="153"/>
      <c r="Q39" s="7"/>
      <c r="T39" s="1"/>
      <c r="U39" s="1"/>
    </row>
    <row r="40" spans="1:21" ht="15" customHeight="1" hidden="1">
      <c r="A40" s="178" t="s">
        <v>24</v>
      </c>
      <c r="B40" s="174">
        <f>E7*C8/E8</f>
        <v>154.53291435875585</v>
      </c>
      <c r="C40" s="174">
        <f>E7*D8/E8</f>
        <v>42100.46708564124</v>
      </c>
      <c r="D40" s="174">
        <f>E7</f>
        <v>42255</v>
      </c>
      <c r="E40" s="11"/>
      <c r="F40" s="179"/>
      <c r="G40" s="179"/>
      <c r="H40" s="135"/>
      <c r="I40" s="180" t="s">
        <v>43</v>
      </c>
      <c r="J40" s="181">
        <f>(COUNT(B39:C39)-1)*(COUNT(B39:B40)-1)</f>
        <v>1</v>
      </c>
      <c r="N40" s="153"/>
      <c r="O40" s="153"/>
      <c r="P40" s="153"/>
      <c r="Q40" s="7"/>
      <c r="T40" s="1"/>
      <c r="U40" s="1"/>
    </row>
    <row r="41" spans="1:21" ht="15" customHeight="1" hidden="1">
      <c r="A41" s="66" t="s">
        <v>41</v>
      </c>
      <c r="B41" s="174">
        <f>SUM(B39:B40)</f>
        <v>309</v>
      </c>
      <c r="C41" s="174">
        <f>SUM(C39:C40)</f>
        <v>84183</v>
      </c>
      <c r="D41" s="182">
        <f>SUM(D39:D40)</f>
        <v>84492</v>
      </c>
      <c r="E41" s="11"/>
      <c r="F41" s="11"/>
      <c r="G41" s="183" t="s">
        <v>45</v>
      </c>
      <c r="H41" s="17" t="s">
        <v>46</v>
      </c>
      <c r="N41" s="153"/>
      <c r="O41" s="154"/>
      <c r="P41" s="153"/>
      <c r="Q41" s="7"/>
      <c r="T41" s="1"/>
      <c r="U41" s="1"/>
    </row>
    <row r="42" spans="1:21" ht="15" customHeight="1" hidden="1">
      <c r="A42" s="66"/>
      <c r="B42" s="184"/>
      <c r="C42" s="184"/>
      <c r="D42" s="185"/>
      <c r="E42" s="11"/>
      <c r="F42" s="11"/>
      <c r="G42" s="183" t="s">
        <v>47</v>
      </c>
      <c r="H42" s="17" t="s">
        <v>48</v>
      </c>
      <c r="N42" s="155"/>
      <c r="O42" s="155"/>
      <c r="P42" s="155"/>
      <c r="Q42" s="7"/>
      <c r="T42" s="1"/>
      <c r="U42" s="1"/>
    </row>
    <row r="43" spans="1:21" ht="15" customHeight="1" hidden="1">
      <c r="A43" s="186"/>
      <c r="B43" s="669" t="s">
        <v>55</v>
      </c>
      <c r="C43" s="670"/>
      <c r="F43" s="66"/>
      <c r="G43" s="187"/>
      <c r="H43" s="74"/>
      <c r="N43" s="1"/>
      <c r="O43" s="1"/>
      <c r="T43" s="1"/>
      <c r="U43" s="1"/>
    </row>
    <row r="44" spans="1:21" ht="15" customHeight="1" hidden="1">
      <c r="A44" s="186"/>
      <c r="B44" s="188">
        <f>(C6-B39)^2/B39</f>
        <v>2.453386245945631</v>
      </c>
      <c r="C44" s="188">
        <f>(D6-C39)^2/C39</f>
        <v>0.009005337775999626</v>
      </c>
      <c r="E44" s="169"/>
      <c r="F44" s="189"/>
      <c r="I44" s="7"/>
      <c r="J44" s="7"/>
      <c r="K44" s="190"/>
      <c r="N44" s="1"/>
      <c r="O44" s="1"/>
      <c r="T44" s="1"/>
      <c r="U44" s="1"/>
    </row>
    <row r="45" spans="1:21" ht="15" customHeight="1" hidden="1">
      <c r="A45" s="186"/>
      <c r="B45" s="188">
        <f>(C7-B40)^2/B40</f>
        <v>2.4523411399835675</v>
      </c>
      <c r="C45" s="188">
        <f>(D7-C40)^2/C40</f>
        <v>0.009001501636371938</v>
      </c>
      <c r="D45" s="13"/>
      <c r="E45" s="191" t="s">
        <v>49</v>
      </c>
      <c r="F45" s="192">
        <f>B47-H39</f>
        <v>1.0822754046474463</v>
      </c>
      <c r="I45" s="7"/>
      <c r="J45" s="7"/>
      <c r="N45" s="1"/>
      <c r="O45" s="1"/>
      <c r="T45" s="1"/>
      <c r="U45" s="1"/>
    </row>
    <row r="46" spans="1:21" ht="15" customHeight="1" hidden="1" thickBot="1">
      <c r="A46" s="17" t="s">
        <v>51</v>
      </c>
      <c r="C46" s="193"/>
      <c r="F46" s="74" t="s">
        <v>53</v>
      </c>
      <c r="I46" s="7"/>
      <c r="J46" s="7"/>
      <c r="N46" s="1"/>
      <c r="O46" s="1"/>
      <c r="T46" s="1"/>
      <c r="U46" s="1"/>
    </row>
    <row r="47" spans="1:21" ht="15" customHeight="1" hidden="1" thickBot="1">
      <c r="A47" s="194" t="s">
        <v>50</v>
      </c>
      <c r="B47" s="195">
        <f>SUM(B44:C45)</f>
        <v>4.92373422534157</v>
      </c>
      <c r="C47" s="17"/>
      <c r="F47" s="74" t="s">
        <v>54</v>
      </c>
      <c r="H47" s="196"/>
      <c r="I47" s="7"/>
      <c r="J47" s="7"/>
      <c r="K47" s="197"/>
      <c r="N47" s="1"/>
      <c r="O47" s="1"/>
      <c r="T47" s="1"/>
      <c r="U47" s="1"/>
    </row>
    <row r="48" spans="1:21" ht="15" customHeight="1" hidden="1" thickBot="1">
      <c r="A48" s="198" t="s">
        <v>101</v>
      </c>
      <c r="B48" s="199">
        <f>CHIDIST(B47,1)</f>
        <v>0.02649020111490464</v>
      </c>
      <c r="D48" s="17"/>
      <c r="E48" s="17"/>
      <c r="F48" s="17"/>
      <c r="G48" s="200"/>
      <c r="H48" s="17"/>
      <c r="I48" s="7"/>
      <c r="J48" s="7"/>
      <c r="K48" s="17"/>
      <c r="N48" s="1"/>
      <c r="O48" s="1"/>
      <c r="T48" s="1"/>
      <c r="U48" s="1"/>
    </row>
    <row r="49" spans="4:8" s="7" customFormat="1" ht="15" customHeight="1" hidden="1">
      <c r="D49" s="201"/>
      <c r="E49" s="201"/>
      <c r="H49" s="202"/>
    </row>
    <row r="50" spans="9:21" ht="15" customHeight="1" hidden="1">
      <c r="I50" s="7"/>
      <c r="J50" s="7"/>
      <c r="N50" s="1"/>
      <c r="O50" s="1"/>
      <c r="T50" s="1"/>
      <c r="U50" s="1"/>
    </row>
    <row r="51" spans="6:21" ht="15" customHeight="1" hidden="1">
      <c r="F51" s="132"/>
      <c r="I51" s="7"/>
      <c r="J51" s="7"/>
      <c r="N51" s="1"/>
      <c r="O51" s="1"/>
      <c r="T51" s="1"/>
      <c r="U51" s="1"/>
    </row>
    <row r="52" spans="1:21" ht="15" customHeight="1" hidden="1">
      <c r="A52" s="320" t="s">
        <v>114</v>
      </c>
      <c r="B52" s="321"/>
      <c r="C52" s="321"/>
      <c r="D52" s="322" t="s">
        <v>115</v>
      </c>
      <c r="E52" s="323"/>
      <c r="F52" s="324"/>
      <c r="G52" s="324"/>
      <c r="H52" s="325"/>
      <c r="I52" s="7"/>
      <c r="J52" s="7"/>
      <c r="N52" s="1"/>
      <c r="O52" s="1"/>
      <c r="T52" s="1"/>
      <c r="U52" s="1"/>
    </row>
    <row r="53" spans="1:21" ht="15" customHeight="1" hidden="1">
      <c r="A53" s="326" t="s">
        <v>65</v>
      </c>
      <c r="B53" s="203">
        <f>ROUND(E6,0)</f>
        <v>42237</v>
      </c>
      <c r="C53" s="203">
        <f>ROUND(E7,0)</f>
        <v>42255</v>
      </c>
      <c r="D53" s="204">
        <f>ROUND(F13,2)</f>
        <v>0.78</v>
      </c>
      <c r="E53" s="205">
        <f>ROUND(J13,4)</f>
        <v>0.2238</v>
      </c>
      <c r="F53" s="205">
        <f>ROUND(I25,6)</f>
        <v>0.000922</v>
      </c>
      <c r="G53" s="206">
        <f>ROUND(I26,0)</f>
        <v>1085</v>
      </c>
      <c r="H53" s="327"/>
      <c r="I53" s="7"/>
      <c r="J53" s="7"/>
      <c r="N53" s="1"/>
      <c r="O53" s="1"/>
      <c r="T53" s="1"/>
      <c r="U53" s="1"/>
    </row>
    <row r="54" spans="1:21" ht="15" customHeight="1" hidden="1">
      <c r="A54" s="326" t="s">
        <v>67</v>
      </c>
      <c r="B54" s="203">
        <f>ROUND(C6,0)</f>
        <v>135</v>
      </c>
      <c r="C54" s="203">
        <f>ROUND(C7,0)</f>
        <v>174</v>
      </c>
      <c r="D54" s="204">
        <f>ROUND(G13,2)</f>
        <v>0.62</v>
      </c>
      <c r="E54" s="205">
        <f>ROUND(K13,4)</f>
        <v>0.3798</v>
      </c>
      <c r="F54" s="205">
        <f>ROUND(K25,6)</f>
        <v>9.9E-05</v>
      </c>
      <c r="G54" s="206">
        <f>ROUND(J26,0)</f>
        <v>576</v>
      </c>
      <c r="H54" s="327"/>
      <c r="I54" s="7"/>
      <c r="J54" s="7"/>
      <c r="N54" s="1"/>
      <c r="O54" s="1"/>
      <c r="T54" s="1"/>
      <c r="U54" s="1"/>
    </row>
    <row r="55" spans="1:10" s="11" customFormat="1" ht="15" customHeight="1" hidden="1">
      <c r="A55" s="326" t="s">
        <v>66</v>
      </c>
      <c r="B55" s="348">
        <f>ROUND(C20,6)</f>
        <v>0.003196</v>
      </c>
      <c r="C55" s="348">
        <f>ROUND(C21,6)</f>
        <v>0.004118</v>
      </c>
      <c r="D55" s="204">
        <f>ROUND(H13,2)</f>
        <v>0.97</v>
      </c>
      <c r="E55" s="205">
        <f>ROUND(L13,4)</f>
        <v>0.0285</v>
      </c>
      <c r="F55" s="205">
        <f>ROUND(J25,6)</f>
        <v>0.001737</v>
      </c>
      <c r="G55" s="206">
        <f>ROUND(K26,0)</f>
        <v>10125</v>
      </c>
      <c r="H55" s="328">
        <f>ROUND(N24,4)</f>
        <v>0.6021</v>
      </c>
      <c r="I55" s="207"/>
      <c r="J55" s="7"/>
    </row>
    <row r="56" spans="1:10" ht="15" customHeight="1" hidden="1">
      <c r="A56" s="326" t="s">
        <v>68</v>
      </c>
      <c r="B56" s="208" t="s">
        <v>89</v>
      </c>
      <c r="C56" s="208" t="s">
        <v>90</v>
      </c>
      <c r="D56" s="208" t="s">
        <v>6</v>
      </c>
      <c r="E56" s="210" t="s">
        <v>59</v>
      </c>
      <c r="F56" s="208" t="s">
        <v>73</v>
      </c>
      <c r="G56" s="209" t="s">
        <v>71</v>
      </c>
      <c r="H56" s="210" t="s">
        <v>74</v>
      </c>
      <c r="I56" s="207"/>
      <c r="J56" s="7"/>
    </row>
    <row r="57" spans="1:21" ht="15" customHeight="1" hidden="1">
      <c r="A57" s="258" t="s">
        <v>27</v>
      </c>
      <c r="B57" s="210" t="str">
        <f>CONCATENATE(B54,A58,B53," ",A53,B55*100,A56,A55)</f>
        <v>135/42237 (0,3196%)</v>
      </c>
      <c r="C57" s="210" t="str">
        <f>CONCATENATE(C54,A58,C53," ",A53,C55*100,A56,A55)</f>
        <v>174/42255 (0,4118%)</v>
      </c>
      <c r="D57" s="210" t="str">
        <f>CONCATENATE(D53," ",A53,D54,A54,D55,A55)</f>
        <v>0,78 (0,62-0,97)</v>
      </c>
      <c r="E57" s="210" t="str">
        <f>CONCATENATE(E53*100,A56," ",A53,E54*100,A56," ",A57," ",E55*100,A56,A55)</f>
        <v>22,38% (37,98% a 2,85%)</v>
      </c>
      <c r="F57" s="210" t="str">
        <f>CONCATENATE(F53*100,A56," ",A53,F54*100,A56," ",A57," ",F55*100,A56,A55)</f>
        <v>0,0922% (0,0099% a 0,1737%)</v>
      </c>
      <c r="G57" s="210" t="str">
        <f>CONCATENATE(G53," ",A53,G54," ",A57," ",G55,A55)</f>
        <v>1085 (576 a 10125)</v>
      </c>
      <c r="H57" s="210" t="str">
        <f>CONCATENATE(H55*100,A56)</f>
        <v>60,21%</v>
      </c>
      <c r="I57" s="7"/>
      <c r="J57" s="7"/>
      <c r="N57" s="1"/>
      <c r="O57" s="1"/>
      <c r="T57" s="1"/>
      <c r="U57" s="1"/>
    </row>
    <row r="58" spans="1:21" ht="15" customHeight="1" hidden="1">
      <c r="A58" s="329" t="s">
        <v>72</v>
      </c>
      <c r="B58" s="330"/>
      <c r="C58" s="330"/>
      <c r="D58" s="330"/>
      <c r="E58" s="330"/>
      <c r="F58" s="330"/>
      <c r="G58" s="330"/>
      <c r="H58" s="331"/>
      <c r="I58" s="7"/>
      <c r="J58" s="7"/>
      <c r="N58" s="1"/>
      <c r="O58" s="1"/>
      <c r="T58" s="1"/>
      <c r="U58" s="1"/>
    </row>
    <row r="59" spans="14:21" ht="15" customHeight="1">
      <c r="N59" s="1"/>
      <c r="O59" s="1"/>
      <c r="T59" s="1"/>
      <c r="U59" s="1"/>
    </row>
    <row r="60" spans="2:21" ht="25.5" customHeight="1">
      <c r="B60" s="211" t="s">
        <v>89</v>
      </c>
      <c r="C60" s="211" t="s">
        <v>90</v>
      </c>
      <c r="D60" s="212" t="s">
        <v>69</v>
      </c>
      <c r="E60" s="212" t="s">
        <v>116</v>
      </c>
      <c r="F60" s="212" t="s">
        <v>62</v>
      </c>
      <c r="G60" s="212" t="s">
        <v>63</v>
      </c>
      <c r="H60" s="212" t="s">
        <v>75</v>
      </c>
      <c r="I60" s="213"/>
      <c r="J60" s="212" t="s">
        <v>102</v>
      </c>
      <c r="N60" s="1"/>
      <c r="O60" s="1"/>
      <c r="T60" s="1"/>
      <c r="U60" s="1"/>
    </row>
    <row r="61" spans="2:21" ht="16.5" customHeight="1">
      <c r="B61" s="214" t="str">
        <f aca="true" t="shared" si="0" ref="B61:H61">B57</f>
        <v>135/42237 (0,3196%)</v>
      </c>
      <c r="C61" s="214" t="str">
        <f t="shared" si="0"/>
        <v>174/42255 (0,4118%)</v>
      </c>
      <c r="D61" s="214" t="str">
        <f t="shared" si="0"/>
        <v>0,78 (0,62-0,97)</v>
      </c>
      <c r="E61" s="214" t="str">
        <f t="shared" si="0"/>
        <v>22,38% (37,98% a 2,85%)</v>
      </c>
      <c r="F61" s="214" t="str">
        <f t="shared" si="0"/>
        <v>0,0922% (0,0099% a 0,1737%)</v>
      </c>
      <c r="G61" s="214" t="str">
        <f t="shared" si="0"/>
        <v>1085 (576 a 10125)</v>
      </c>
      <c r="H61" s="214" t="str">
        <f t="shared" si="0"/>
        <v>60,21%</v>
      </c>
      <c r="I61" s="332"/>
      <c r="J61" s="333">
        <f>B48</f>
        <v>0.02649020111490464</v>
      </c>
      <c r="N61" s="1"/>
      <c r="O61" s="1"/>
      <c r="T61" s="1"/>
      <c r="U61" s="1"/>
    </row>
    <row r="62" spans="2:21" ht="16.5" customHeight="1">
      <c r="B62" s="337"/>
      <c r="C62" s="337"/>
      <c r="D62" s="337"/>
      <c r="E62" s="337"/>
      <c r="F62" s="337"/>
      <c r="G62" s="337"/>
      <c r="H62" s="337"/>
      <c r="I62" s="332"/>
      <c r="J62" s="338"/>
      <c r="N62" s="1"/>
      <c r="O62" s="1"/>
      <c r="T62" s="1"/>
      <c r="U62" s="1"/>
    </row>
    <row r="63" spans="1:21" ht="16.5" customHeight="1">
      <c r="A63" s="215" t="s">
        <v>131</v>
      </c>
      <c r="B63" s="337"/>
      <c r="C63" s="337"/>
      <c r="D63" s="337"/>
      <c r="E63" s="337"/>
      <c r="F63" s="337"/>
      <c r="G63" s="337"/>
      <c r="H63" s="337"/>
      <c r="I63" s="332"/>
      <c r="J63" s="338"/>
      <c r="N63" s="1"/>
      <c r="O63" s="1"/>
      <c r="T63" s="1"/>
      <c r="U63" s="1"/>
    </row>
    <row r="64" spans="1:21" ht="16.5" customHeight="1">
      <c r="A64" s="216" t="s">
        <v>132</v>
      </c>
      <c r="B64" s="337"/>
      <c r="C64" s="337"/>
      <c r="D64" s="337"/>
      <c r="E64" s="337"/>
      <c r="F64" s="337"/>
      <c r="G64" s="337"/>
      <c r="H64" s="337"/>
      <c r="I64" s="332"/>
      <c r="J64" s="338"/>
      <c r="N64" s="1"/>
      <c r="O64" s="1"/>
      <c r="T64" s="1"/>
      <c r="U64" s="1"/>
    </row>
    <row r="65" spans="1:21" ht="16.5" customHeight="1" thickBot="1">
      <c r="A65" s="216"/>
      <c r="B65" s="337"/>
      <c r="C65" s="337"/>
      <c r="D65" s="337"/>
      <c r="E65" s="337"/>
      <c r="F65" s="337"/>
      <c r="G65" s="337"/>
      <c r="H65" s="337"/>
      <c r="I65" s="332"/>
      <c r="J65" s="338"/>
      <c r="N65" s="1"/>
      <c r="O65" s="1"/>
      <c r="T65" s="1"/>
      <c r="U65" s="1"/>
    </row>
    <row r="66" spans="1:21" ht="26.25" customHeight="1" thickBot="1">
      <c r="A66" s="671" t="s">
        <v>319</v>
      </c>
      <c r="B66" s="651"/>
      <c r="C66" s="651"/>
      <c r="D66" s="651"/>
      <c r="E66" s="651"/>
      <c r="F66" s="651"/>
      <c r="G66" s="651"/>
      <c r="H66" s="652"/>
      <c r="I66" s="332"/>
      <c r="J66" s="338"/>
      <c r="N66" s="1"/>
      <c r="O66" s="1"/>
      <c r="T66" s="1"/>
      <c r="U66" s="1"/>
    </row>
    <row r="67" spans="1:21" ht="24" customHeight="1">
      <c r="A67" s="653" t="s">
        <v>244</v>
      </c>
      <c r="B67" s="655" t="s">
        <v>208</v>
      </c>
      <c r="C67" s="656"/>
      <c r="D67" s="657" t="s">
        <v>245</v>
      </c>
      <c r="E67" s="658"/>
      <c r="F67" s="659"/>
      <c r="G67" s="424"/>
      <c r="H67" s="660" t="s">
        <v>243</v>
      </c>
      <c r="I67" s="332"/>
      <c r="J67" s="338"/>
      <c r="N67" s="1"/>
      <c r="O67" s="1"/>
      <c r="T67" s="1"/>
      <c r="U67" s="1"/>
    </row>
    <row r="68" spans="1:21" ht="26.25" customHeight="1" thickBot="1">
      <c r="A68" s="654"/>
      <c r="B68" s="359" t="s">
        <v>186</v>
      </c>
      <c r="C68" s="391" t="s">
        <v>187</v>
      </c>
      <c r="D68" s="359" t="s">
        <v>69</v>
      </c>
      <c r="E68" s="360" t="s">
        <v>241</v>
      </c>
      <c r="F68" s="361" t="s">
        <v>242</v>
      </c>
      <c r="G68" s="363"/>
      <c r="H68" s="661"/>
      <c r="I68" s="332"/>
      <c r="J68" s="338"/>
      <c r="N68" s="1"/>
      <c r="O68" s="1"/>
      <c r="T68" s="1"/>
      <c r="U68" s="1"/>
    </row>
    <row r="69" spans="1:21" ht="4.5" customHeight="1" thickBot="1">
      <c r="A69" s="362"/>
      <c r="B69" s="362"/>
      <c r="C69" s="362"/>
      <c r="D69" s="362"/>
      <c r="E69" s="363"/>
      <c r="F69" s="363"/>
      <c r="G69" s="364"/>
      <c r="H69" s="364"/>
      <c r="I69" s="332"/>
      <c r="J69" s="338"/>
      <c r="N69" s="1"/>
      <c r="O69" s="1"/>
      <c r="T69" s="1"/>
      <c r="U69" s="1"/>
    </row>
    <row r="70" spans="1:21" ht="45" customHeight="1">
      <c r="A70" s="357" t="s">
        <v>273</v>
      </c>
      <c r="B70" s="370" t="s">
        <v>127</v>
      </c>
      <c r="C70" s="370" t="s">
        <v>128</v>
      </c>
      <c r="D70" s="386" t="s">
        <v>119</v>
      </c>
      <c r="E70" s="370" t="s">
        <v>268</v>
      </c>
      <c r="F70" s="433" t="s">
        <v>130</v>
      </c>
      <c r="G70" s="369"/>
      <c r="H70" s="435" t="s">
        <v>247</v>
      </c>
      <c r="N70" s="1"/>
      <c r="O70" s="1"/>
      <c r="T70" s="1"/>
      <c r="U70" s="1"/>
    </row>
    <row r="71" spans="1:21" ht="45" customHeight="1" thickBot="1">
      <c r="A71" s="382" t="s">
        <v>274</v>
      </c>
      <c r="B71" s="383" t="s">
        <v>121</v>
      </c>
      <c r="C71" s="383" t="s">
        <v>122</v>
      </c>
      <c r="D71" s="383" t="s">
        <v>123</v>
      </c>
      <c r="E71" s="383" t="s">
        <v>267</v>
      </c>
      <c r="F71" s="434" t="s">
        <v>125</v>
      </c>
      <c r="G71" s="369"/>
      <c r="H71" s="436" t="s">
        <v>246</v>
      </c>
      <c r="N71" s="1"/>
      <c r="O71" s="1"/>
      <c r="T71" s="1"/>
      <c r="U71" s="1"/>
    </row>
    <row r="72" spans="9:21" ht="4.5" customHeight="1" thickBot="1">
      <c r="I72" s="332"/>
      <c r="J72" s="338"/>
      <c r="N72" s="1"/>
      <c r="O72" s="1"/>
      <c r="T72" s="1"/>
      <c r="U72" s="1"/>
    </row>
    <row r="73" spans="1:21" ht="45" customHeight="1">
      <c r="A73" s="446" t="s">
        <v>269</v>
      </c>
      <c r="B73" s="444" t="s">
        <v>179</v>
      </c>
      <c r="C73" s="437" t="s">
        <v>180</v>
      </c>
      <c r="D73" s="452" t="s">
        <v>181</v>
      </c>
      <c r="E73" s="370" t="s">
        <v>284</v>
      </c>
      <c r="F73" s="437" t="s">
        <v>183</v>
      </c>
      <c r="G73" s="369"/>
      <c r="H73" s="428" t="s">
        <v>254</v>
      </c>
      <c r="I73" s="332"/>
      <c r="J73" s="338"/>
      <c r="N73" s="1"/>
      <c r="O73" s="1"/>
      <c r="T73" s="1"/>
      <c r="U73" s="1"/>
    </row>
    <row r="74" spans="1:21" ht="45" customHeight="1">
      <c r="A74" s="447" t="s">
        <v>271</v>
      </c>
      <c r="B74" s="449" t="s">
        <v>133</v>
      </c>
      <c r="C74" s="450" t="s">
        <v>134</v>
      </c>
      <c r="D74" s="457" t="s">
        <v>135</v>
      </c>
      <c r="E74" s="371" t="s">
        <v>286</v>
      </c>
      <c r="F74" s="438" t="s">
        <v>137</v>
      </c>
      <c r="G74" s="369"/>
      <c r="H74" s="439" t="s">
        <v>251</v>
      </c>
      <c r="I74" s="332"/>
      <c r="J74" s="338"/>
      <c r="N74" s="1"/>
      <c r="O74" s="1"/>
      <c r="T74" s="1"/>
      <c r="U74" s="1"/>
    </row>
    <row r="75" spans="1:21" ht="45" customHeight="1" thickBot="1">
      <c r="A75" s="448" t="s">
        <v>272</v>
      </c>
      <c r="B75" s="445" t="s">
        <v>165</v>
      </c>
      <c r="C75" s="440" t="s">
        <v>166</v>
      </c>
      <c r="D75" s="453" t="s">
        <v>167</v>
      </c>
      <c r="E75" s="383" t="s">
        <v>285</v>
      </c>
      <c r="F75" s="434" t="s">
        <v>169</v>
      </c>
      <c r="G75" s="369"/>
      <c r="H75" s="436" t="s">
        <v>248</v>
      </c>
      <c r="I75" s="332"/>
      <c r="J75" s="338"/>
      <c r="N75" s="1"/>
      <c r="O75" s="1"/>
      <c r="T75" s="1"/>
      <c r="U75" s="1"/>
    </row>
    <row r="76" spans="9:21" ht="4.5" customHeight="1" thickBot="1">
      <c r="I76" s="332"/>
      <c r="J76" s="338"/>
      <c r="N76" s="1"/>
      <c r="O76" s="1"/>
      <c r="T76" s="1"/>
      <c r="U76" s="1"/>
    </row>
    <row r="77" spans="1:21" ht="45" customHeight="1">
      <c r="A77" s="451" t="s">
        <v>336</v>
      </c>
      <c r="B77" s="444" t="s">
        <v>158</v>
      </c>
      <c r="C77" s="437" t="s">
        <v>159</v>
      </c>
      <c r="D77" s="452" t="s">
        <v>160</v>
      </c>
      <c r="E77" s="370" t="s">
        <v>161</v>
      </c>
      <c r="F77" s="437" t="s">
        <v>162</v>
      </c>
      <c r="G77" s="369"/>
      <c r="H77" s="458" t="s">
        <v>255</v>
      </c>
      <c r="I77" s="332"/>
      <c r="J77" s="338"/>
      <c r="N77" s="1"/>
      <c r="O77" s="1"/>
      <c r="T77" s="1"/>
      <c r="U77" s="1"/>
    </row>
    <row r="78" spans="1:21" ht="45" customHeight="1" thickBot="1">
      <c r="A78" s="448" t="s">
        <v>351</v>
      </c>
      <c r="B78" s="445" t="s">
        <v>146</v>
      </c>
      <c r="C78" s="440" t="s">
        <v>147</v>
      </c>
      <c r="D78" s="453" t="s">
        <v>148</v>
      </c>
      <c r="E78" s="383" t="s">
        <v>275</v>
      </c>
      <c r="F78" s="440" t="s">
        <v>150</v>
      </c>
      <c r="G78" s="369"/>
      <c r="H78" s="429" t="s">
        <v>256</v>
      </c>
      <c r="I78" s="332"/>
      <c r="J78" s="338"/>
      <c r="N78" s="1"/>
      <c r="O78" s="1"/>
      <c r="T78" s="1"/>
      <c r="U78" s="1"/>
    </row>
    <row r="79" spans="1:21" ht="8.25" customHeight="1" thickBot="1">
      <c r="A79" s="366"/>
      <c r="B79" s="367"/>
      <c r="C79" s="367"/>
      <c r="D79" s="385"/>
      <c r="E79" s="367"/>
      <c r="F79" s="367"/>
      <c r="G79" s="367"/>
      <c r="H79" s="369"/>
      <c r="I79" s="332"/>
      <c r="J79" s="338"/>
      <c r="N79" s="1"/>
      <c r="O79" s="1"/>
      <c r="T79" s="1"/>
      <c r="U79" s="1"/>
    </row>
    <row r="80" spans="1:21" ht="36.75" customHeight="1" thickBot="1">
      <c r="A80" s="454" t="s">
        <v>270</v>
      </c>
      <c r="B80" s="456" t="s">
        <v>190</v>
      </c>
      <c r="C80" s="442" t="s">
        <v>191</v>
      </c>
      <c r="D80" s="455" t="s">
        <v>192</v>
      </c>
      <c r="E80" s="459" t="s">
        <v>276</v>
      </c>
      <c r="F80" s="442" t="s">
        <v>194</v>
      </c>
      <c r="G80" s="369"/>
      <c r="H80" s="427" t="s">
        <v>257</v>
      </c>
      <c r="I80" s="332"/>
      <c r="J80" s="338"/>
      <c r="N80" s="1"/>
      <c r="O80" s="1"/>
      <c r="T80" s="1"/>
      <c r="U80" s="1"/>
    </row>
    <row r="81" spans="3:11" ht="4.5" customHeight="1" thickBot="1">
      <c r="C81" s="343"/>
      <c r="E81" s="460"/>
      <c r="K81" s="7"/>
    </row>
    <row r="82" spans="1:11" ht="45" customHeight="1">
      <c r="A82" s="451" t="s">
        <v>215</v>
      </c>
      <c r="B82" s="444" t="s">
        <v>216</v>
      </c>
      <c r="C82" s="437" t="s">
        <v>217</v>
      </c>
      <c r="D82" s="452" t="s">
        <v>218</v>
      </c>
      <c r="E82" s="431" t="s">
        <v>264</v>
      </c>
      <c r="F82" s="437" t="s">
        <v>219</v>
      </c>
      <c r="H82" s="428" t="s">
        <v>258</v>
      </c>
      <c r="K82" s="7"/>
    </row>
    <row r="83" spans="1:8" ht="45" customHeight="1" thickBot="1">
      <c r="A83" s="448" t="s">
        <v>214</v>
      </c>
      <c r="B83" s="445" t="s">
        <v>210</v>
      </c>
      <c r="C83" s="440" t="s">
        <v>211</v>
      </c>
      <c r="D83" s="453" t="s">
        <v>212</v>
      </c>
      <c r="E83" s="432" t="s">
        <v>265</v>
      </c>
      <c r="F83" s="440" t="s">
        <v>213</v>
      </c>
      <c r="H83" s="441" t="s">
        <v>259</v>
      </c>
    </row>
    <row r="87" ht="15" customHeight="1" thickBot="1"/>
    <row r="88" spans="1:8" ht="33.75" customHeight="1" thickBot="1">
      <c r="A88" s="650" t="s">
        <v>220</v>
      </c>
      <c r="B88" s="651"/>
      <c r="C88" s="651"/>
      <c r="D88" s="651"/>
      <c r="E88" s="651"/>
      <c r="F88" s="651"/>
      <c r="G88" s="651"/>
      <c r="H88" s="652"/>
    </row>
    <row r="89" spans="1:8" ht="22.5" customHeight="1">
      <c r="A89" s="653" t="s">
        <v>244</v>
      </c>
      <c r="B89" s="655" t="s">
        <v>208</v>
      </c>
      <c r="C89" s="656"/>
      <c r="D89" s="657" t="s">
        <v>245</v>
      </c>
      <c r="E89" s="658"/>
      <c r="F89" s="659"/>
      <c r="G89" s="424"/>
      <c r="H89" s="660" t="s">
        <v>243</v>
      </c>
    </row>
    <row r="90" spans="1:8" ht="21" customHeight="1" thickBot="1">
      <c r="A90" s="654"/>
      <c r="B90" s="359" t="s">
        <v>186</v>
      </c>
      <c r="C90" s="391" t="s">
        <v>187</v>
      </c>
      <c r="D90" s="359" t="s">
        <v>69</v>
      </c>
      <c r="E90" s="360" t="s">
        <v>241</v>
      </c>
      <c r="F90" s="361" t="s">
        <v>242</v>
      </c>
      <c r="G90" s="363"/>
      <c r="H90" s="661"/>
    </row>
    <row r="91" spans="1:8" ht="15" customHeight="1" thickBot="1">
      <c r="A91" s="362"/>
      <c r="B91" s="362"/>
      <c r="C91" s="362"/>
      <c r="D91" s="362"/>
      <c r="E91" s="363"/>
      <c r="F91" s="363"/>
      <c r="G91" s="364"/>
      <c r="H91" s="364"/>
    </row>
    <row r="92" spans="1:8" ht="18.75" customHeight="1" thickBot="1">
      <c r="A92" s="390" t="s">
        <v>120</v>
      </c>
      <c r="B92" s="365" t="s">
        <v>121</v>
      </c>
      <c r="C92" s="365" t="s">
        <v>122</v>
      </c>
      <c r="D92" s="365" t="s">
        <v>123</v>
      </c>
      <c r="E92" s="365" t="s">
        <v>124</v>
      </c>
      <c r="F92" s="727" t="s">
        <v>125</v>
      </c>
      <c r="G92" s="369"/>
      <c r="H92" s="427" t="s">
        <v>246</v>
      </c>
    </row>
    <row r="93" spans="1:8" ht="15" customHeight="1" thickBot="1">
      <c r="A93" s="372"/>
      <c r="B93" s="366"/>
      <c r="C93" s="366"/>
      <c r="D93" s="366"/>
      <c r="E93" s="366"/>
      <c r="F93" s="366"/>
      <c r="G93" s="423"/>
      <c r="H93" s="369"/>
    </row>
    <row r="94" spans="1:8" ht="19.5" customHeight="1" thickBot="1">
      <c r="A94" s="390" t="s">
        <v>126</v>
      </c>
      <c r="B94" s="365" t="s">
        <v>127</v>
      </c>
      <c r="C94" s="365" t="s">
        <v>128</v>
      </c>
      <c r="D94" s="384" t="s">
        <v>119</v>
      </c>
      <c r="E94" s="365" t="s">
        <v>129</v>
      </c>
      <c r="F94" s="727" t="s">
        <v>130</v>
      </c>
      <c r="G94" s="369"/>
      <c r="H94" s="427" t="s">
        <v>247</v>
      </c>
    </row>
    <row r="95" spans="1:8" ht="15" customHeight="1" thickBot="1">
      <c r="A95" s="366"/>
      <c r="B95" s="367"/>
      <c r="C95" s="367"/>
      <c r="D95" s="385"/>
      <c r="E95" s="367"/>
      <c r="F95" s="368"/>
      <c r="G95" s="369"/>
      <c r="H95" s="369"/>
    </row>
    <row r="96" spans="1:8" ht="27.75" customHeight="1">
      <c r="A96" s="357" t="s">
        <v>266</v>
      </c>
      <c r="B96" s="370" t="s">
        <v>165</v>
      </c>
      <c r="C96" s="370" t="s">
        <v>166</v>
      </c>
      <c r="D96" s="386" t="s">
        <v>167</v>
      </c>
      <c r="E96" s="370" t="s">
        <v>168</v>
      </c>
      <c r="F96" s="433" t="s">
        <v>169</v>
      </c>
      <c r="G96" s="369"/>
      <c r="H96" s="428" t="s">
        <v>248</v>
      </c>
    </row>
    <row r="97" spans="1:8" ht="27.75" customHeight="1">
      <c r="A97" s="358" t="s">
        <v>163</v>
      </c>
      <c r="B97" s="371" t="s">
        <v>170</v>
      </c>
      <c r="C97" s="371" t="s">
        <v>171</v>
      </c>
      <c r="D97" s="387" t="s">
        <v>172</v>
      </c>
      <c r="E97" s="371" t="s">
        <v>173</v>
      </c>
      <c r="F97" s="438" t="s">
        <v>174</v>
      </c>
      <c r="G97" s="369"/>
      <c r="H97" s="430" t="s">
        <v>249</v>
      </c>
    </row>
    <row r="98" spans="1:8" ht="30.75" customHeight="1" thickBot="1">
      <c r="A98" s="382" t="s">
        <v>164</v>
      </c>
      <c r="B98" s="383" t="s">
        <v>170</v>
      </c>
      <c r="C98" s="383" t="s">
        <v>175</v>
      </c>
      <c r="D98" s="388" t="s">
        <v>176</v>
      </c>
      <c r="E98" s="383" t="s">
        <v>177</v>
      </c>
      <c r="F98" s="440" t="s">
        <v>178</v>
      </c>
      <c r="G98" s="369"/>
      <c r="H98" s="429" t="s">
        <v>250</v>
      </c>
    </row>
    <row r="99" spans="1:8" ht="15" customHeight="1" thickBot="1">
      <c r="A99" s="372"/>
      <c r="B99" s="367"/>
      <c r="C99" s="372"/>
      <c r="D99" s="385"/>
      <c r="E99" s="367"/>
      <c r="F99" s="367"/>
      <c r="G99" s="367"/>
      <c r="H99" s="369"/>
    </row>
    <row r="100" spans="1:8" ht="27.75" customHeight="1">
      <c r="A100" s="357" t="s">
        <v>139</v>
      </c>
      <c r="B100" s="370" t="s">
        <v>133</v>
      </c>
      <c r="C100" s="370" t="s">
        <v>134</v>
      </c>
      <c r="D100" s="386" t="s">
        <v>135</v>
      </c>
      <c r="E100" s="370" t="s">
        <v>136</v>
      </c>
      <c r="F100" s="433" t="s">
        <v>137</v>
      </c>
      <c r="G100" s="369"/>
      <c r="H100" s="428" t="s">
        <v>251</v>
      </c>
    </row>
    <row r="101" spans="1:8" ht="27.75" customHeight="1">
      <c r="A101" s="358" t="s">
        <v>156</v>
      </c>
      <c r="B101" s="371" t="s">
        <v>140</v>
      </c>
      <c r="C101" s="371" t="s">
        <v>141</v>
      </c>
      <c r="D101" s="387" t="s">
        <v>142</v>
      </c>
      <c r="E101" s="371" t="s">
        <v>143</v>
      </c>
      <c r="F101" s="450" t="s">
        <v>144</v>
      </c>
      <c r="G101" s="369"/>
      <c r="H101" s="430" t="s">
        <v>252</v>
      </c>
    </row>
    <row r="102" spans="1:8" ht="27.75" customHeight="1" thickBot="1">
      <c r="A102" s="382" t="s">
        <v>138</v>
      </c>
      <c r="B102" s="383" t="s">
        <v>151</v>
      </c>
      <c r="C102" s="383" t="s">
        <v>152</v>
      </c>
      <c r="D102" s="388" t="s">
        <v>153</v>
      </c>
      <c r="E102" s="383" t="s">
        <v>154</v>
      </c>
      <c r="F102" s="440" t="s">
        <v>155</v>
      </c>
      <c r="G102" s="369"/>
      <c r="H102" s="429" t="s">
        <v>253</v>
      </c>
    </row>
    <row r="103" spans="1:8" ht="15" customHeight="1" thickBot="1">
      <c r="A103" s="443"/>
      <c r="B103" s="373"/>
      <c r="C103" s="373"/>
      <c r="D103" s="389"/>
      <c r="E103" s="373"/>
      <c r="F103" s="373"/>
      <c r="G103" s="367"/>
      <c r="H103" s="369"/>
    </row>
    <row r="104" spans="1:8" ht="23.25" customHeight="1" thickBot="1">
      <c r="A104" s="390" t="s">
        <v>209</v>
      </c>
      <c r="B104" s="365" t="s">
        <v>179</v>
      </c>
      <c r="C104" s="365" t="s">
        <v>180</v>
      </c>
      <c r="D104" s="384" t="s">
        <v>181</v>
      </c>
      <c r="E104" s="365" t="s">
        <v>182</v>
      </c>
      <c r="F104" s="442" t="s">
        <v>183</v>
      </c>
      <c r="G104" s="369"/>
      <c r="H104" s="427" t="s">
        <v>254</v>
      </c>
    </row>
    <row r="105" spans="1:8" ht="15" customHeight="1" thickBot="1">
      <c r="A105" s="372"/>
      <c r="B105" s="367"/>
      <c r="C105" s="367"/>
      <c r="D105" s="385"/>
      <c r="E105" s="367"/>
      <c r="F105" s="367"/>
      <c r="G105" s="367"/>
      <c r="H105" s="17"/>
    </row>
    <row r="106" spans="1:8" ht="28.5" customHeight="1">
      <c r="A106" s="728" t="s">
        <v>157</v>
      </c>
      <c r="B106" s="370" t="s">
        <v>158</v>
      </c>
      <c r="C106" s="370" t="s">
        <v>159</v>
      </c>
      <c r="D106" s="386" t="s">
        <v>160</v>
      </c>
      <c r="E106" s="370" t="s">
        <v>161</v>
      </c>
      <c r="F106" s="437" t="s">
        <v>162</v>
      </c>
      <c r="G106" s="369"/>
      <c r="H106" s="458" t="s">
        <v>255</v>
      </c>
    </row>
    <row r="107" spans="1:8" ht="28.5" customHeight="1" thickBot="1">
      <c r="A107" s="382" t="s">
        <v>145</v>
      </c>
      <c r="B107" s="383" t="s">
        <v>146</v>
      </c>
      <c r="C107" s="383" t="s">
        <v>147</v>
      </c>
      <c r="D107" s="388" t="s">
        <v>148</v>
      </c>
      <c r="E107" s="383" t="s">
        <v>149</v>
      </c>
      <c r="F107" s="440" t="s">
        <v>150</v>
      </c>
      <c r="G107" s="369"/>
      <c r="H107" s="429" t="s">
        <v>256</v>
      </c>
    </row>
    <row r="108" spans="1:8" ht="15" customHeight="1" thickBot="1">
      <c r="A108" s="372"/>
      <c r="B108" s="367"/>
      <c r="C108" s="367"/>
      <c r="D108" s="385"/>
      <c r="E108" s="367"/>
      <c r="F108" s="367"/>
      <c r="G108" s="367"/>
      <c r="H108" s="369"/>
    </row>
    <row r="109" spans="1:8" ht="20.25" customHeight="1" thickBot="1">
      <c r="A109" s="390" t="s">
        <v>189</v>
      </c>
      <c r="B109" s="365" t="s">
        <v>190</v>
      </c>
      <c r="C109" s="365" t="s">
        <v>191</v>
      </c>
      <c r="D109" s="384" t="s">
        <v>192</v>
      </c>
      <c r="E109" s="365" t="s">
        <v>193</v>
      </c>
      <c r="F109" s="442" t="s">
        <v>194</v>
      </c>
      <c r="G109" s="369"/>
      <c r="H109" s="427" t="s">
        <v>257</v>
      </c>
    </row>
    <row r="110" ht="15" customHeight="1" thickBot="1">
      <c r="C110" s="343"/>
    </row>
    <row r="111" spans="1:8" ht="27.75" customHeight="1">
      <c r="A111" s="357" t="s">
        <v>215</v>
      </c>
      <c r="B111" s="370" t="s">
        <v>216</v>
      </c>
      <c r="C111" s="370" t="s">
        <v>217</v>
      </c>
      <c r="D111" s="386" t="s">
        <v>218</v>
      </c>
      <c r="E111" s="431" t="s">
        <v>264</v>
      </c>
      <c r="F111" s="437" t="s">
        <v>219</v>
      </c>
      <c r="H111" s="428" t="s">
        <v>258</v>
      </c>
    </row>
    <row r="112" spans="1:8" ht="27.75" customHeight="1" thickBot="1">
      <c r="A112" s="382" t="s">
        <v>214</v>
      </c>
      <c r="B112" s="383" t="s">
        <v>210</v>
      </c>
      <c r="C112" s="383" t="s">
        <v>211</v>
      </c>
      <c r="D112" s="388" t="s">
        <v>212</v>
      </c>
      <c r="E112" s="432" t="s">
        <v>265</v>
      </c>
      <c r="F112" s="440" t="s">
        <v>213</v>
      </c>
      <c r="H112" s="429" t="s">
        <v>259</v>
      </c>
    </row>
  </sheetData>
  <sheetProtection/>
  <mergeCells count="14">
    <mergeCell ref="L19:L26"/>
    <mergeCell ref="B43:C43"/>
    <mergeCell ref="B67:C67"/>
    <mergeCell ref="A67:A68"/>
    <mergeCell ref="A66:H66"/>
    <mergeCell ref="H67:H68"/>
    <mergeCell ref="D67:F67"/>
    <mergeCell ref="A88:H88"/>
    <mergeCell ref="A89:A90"/>
    <mergeCell ref="B89:C89"/>
    <mergeCell ref="D89:F89"/>
    <mergeCell ref="H89:H90"/>
    <mergeCell ref="A2:F2"/>
    <mergeCell ref="A3:F3"/>
  </mergeCells>
  <printOptions/>
  <pageMargins left="0.75" right="0.75" top="0.21" bottom="0.7" header="0" footer="0"/>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2:Y50"/>
  <sheetViews>
    <sheetView tabSelected="1" zoomScale="115" zoomScaleNormal="115" zoomScalePageLayoutView="0" workbookViewId="0" topLeftCell="A1">
      <selection activeCell="A41" sqref="A41"/>
    </sheetView>
  </sheetViews>
  <sheetFormatPr defaultColWidth="11.421875" defaultRowHeight="12.75"/>
  <cols>
    <col min="1" max="1" width="43.00390625" style="1" customWidth="1"/>
    <col min="2" max="2" width="15.7109375" style="1" customWidth="1"/>
    <col min="3" max="3" width="16.421875" style="1" customWidth="1"/>
    <col min="4" max="4" width="19.140625" style="1" customWidth="1"/>
    <col min="5" max="5" width="23.8515625" style="1" customWidth="1"/>
    <col min="6" max="6" width="22.140625" style="1" customWidth="1"/>
    <col min="7" max="7" width="2.140625" style="11" customWidth="1"/>
    <col min="8" max="8" width="18.7109375" style="1" customWidth="1"/>
    <col min="9" max="9" width="19.00390625" style="172" customWidth="1"/>
    <col min="10" max="10" width="11.421875" style="1" customWidth="1"/>
    <col min="11" max="11" width="14.7109375" style="1" customWidth="1"/>
    <col min="12" max="12" width="15.140625" style="1" customWidth="1"/>
    <col min="13" max="16384" width="11.421875" style="1" customWidth="1"/>
  </cols>
  <sheetData>
    <row r="1" ht="13.5" thickBot="1"/>
    <row r="2" spans="1:25" ht="18" thickBot="1">
      <c r="A2" s="674" t="s">
        <v>96</v>
      </c>
      <c r="B2" s="675"/>
      <c r="C2" s="675"/>
      <c r="D2" s="675"/>
      <c r="E2" s="675"/>
      <c r="F2" s="676"/>
      <c r="G2" s="21"/>
      <c r="N2" s="218"/>
      <c r="O2" s="7"/>
      <c r="P2" s="7"/>
      <c r="Q2" s="7"/>
      <c r="R2" s="7"/>
      <c r="S2" s="7"/>
      <c r="T2" s="7"/>
      <c r="U2" s="7"/>
      <c r="V2" s="7"/>
      <c r="W2" s="7"/>
      <c r="X2" s="7"/>
      <c r="Y2" s="7"/>
    </row>
    <row r="3" spans="1:25" ht="17.25" customHeight="1">
      <c r="A3" s="677" t="s">
        <v>371</v>
      </c>
      <c r="B3" s="678"/>
      <c r="C3" s="678"/>
      <c r="D3" s="678"/>
      <c r="E3" s="678"/>
      <c r="F3" s="679"/>
      <c r="G3" s="219"/>
      <c r="I3" s="643"/>
      <c r="J3" s="644"/>
      <c r="K3" s="644"/>
      <c r="L3" s="644"/>
      <c r="M3" s="645"/>
      <c r="N3" s="378"/>
      <c r="O3" s="220"/>
      <c r="P3" s="7"/>
      <c r="Q3" s="7"/>
      <c r="R3" s="7"/>
      <c r="S3" s="7"/>
      <c r="T3" s="7"/>
      <c r="U3" s="7"/>
      <c r="V3" s="7"/>
      <c r="W3" s="7"/>
      <c r="X3" s="7"/>
      <c r="Y3" s="7"/>
    </row>
    <row r="4" spans="6:25" ht="12.75" customHeight="1" thickBot="1">
      <c r="F4" s="72"/>
      <c r="G4" s="219"/>
      <c r="I4" s="643"/>
      <c r="J4" s="644"/>
      <c r="K4" s="644"/>
      <c r="L4" s="644"/>
      <c r="M4" s="645"/>
      <c r="N4" s="378"/>
      <c r="O4" s="220"/>
      <c r="P4" s="7"/>
      <c r="Q4" s="7"/>
      <c r="R4" s="7"/>
      <c r="S4" s="7"/>
      <c r="T4" s="7"/>
      <c r="U4" s="7"/>
      <c r="V4" s="7"/>
      <c r="W4" s="7"/>
      <c r="X4" s="7"/>
      <c r="Y4" s="7"/>
    </row>
    <row r="5" spans="1:25" ht="18" customHeight="1" thickBot="1">
      <c r="A5" s="221" t="s">
        <v>94</v>
      </c>
      <c r="B5" s="344">
        <v>2.0367068372249546E-05</v>
      </c>
      <c r="C5" s="672" t="s">
        <v>95</v>
      </c>
      <c r="D5" s="672"/>
      <c r="E5" s="673"/>
      <c r="F5" s="72"/>
      <c r="G5" s="219"/>
      <c r="I5" s="646"/>
      <c r="J5" s="646"/>
      <c r="K5" s="646"/>
      <c r="L5" s="646"/>
      <c r="M5" s="646"/>
      <c r="N5" s="647"/>
      <c r="O5" s="7"/>
      <c r="P5" s="7"/>
      <c r="Q5" s="7"/>
      <c r="R5" s="7"/>
      <c r="S5" s="7"/>
      <c r="T5" s="7"/>
      <c r="U5" s="7"/>
      <c r="V5" s="7"/>
      <c r="W5" s="7"/>
      <c r="X5" s="7"/>
      <c r="Y5" s="7"/>
    </row>
    <row r="6" spans="3:25" ht="19.5" customHeight="1" thickBot="1">
      <c r="C6" s="222" t="s">
        <v>93</v>
      </c>
      <c r="D6" s="223" t="s">
        <v>184</v>
      </c>
      <c r="E6" s="222" t="s">
        <v>185</v>
      </c>
      <c r="F6" s="82"/>
      <c r="G6" s="219"/>
      <c r="I6" s="648"/>
      <c r="J6" s="648"/>
      <c r="K6" s="648"/>
      <c r="L6" s="648"/>
      <c r="M6" s="648"/>
      <c r="N6" s="649"/>
      <c r="O6" s="7"/>
      <c r="P6" s="7"/>
      <c r="Q6" s="7"/>
      <c r="R6" s="7"/>
      <c r="S6" s="7"/>
      <c r="T6" s="7"/>
      <c r="U6" s="7"/>
      <c r="V6" s="7"/>
      <c r="W6" s="7"/>
      <c r="X6" s="7"/>
      <c r="Y6" s="7"/>
    </row>
    <row r="7" spans="3:25" ht="16.5" customHeight="1" thickBot="1">
      <c r="C7" s="334">
        <v>0.86</v>
      </c>
      <c r="D7" s="335">
        <v>0.29</v>
      </c>
      <c r="E7" s="336">
        <v>2.55</v>
      </c>
      <c r="F7" s="342"/>
      <c r="I7" s="643"/>
      <c r="J7" s="644"/>
      <c r="K7" s="644"/>
      <c r="L7" s="644"/>
      <c r="M7" s="645"/>
      <c r="N7" s="378"/>
      <c r="O7" s="7"/>
      <c r="P7" s="7"/>
      <c r="Q7" s="7"/>
      <c r="R7" s="7"/>
      <c r="S7" s="7"/>
      <c r="T7" s="7"/>
      <c r="U7" s="7"/>
      <c r="V7" s="7"/>
      <c r="W7" s="7"/>
      <c r="X7" s="7"/>
      <c r="Y7" s="7"/>
    </row>
    <row r="8" spans="9:25" ht="26.25" customHeight="1" hidden="1" thickBot="1">
      <c r="I8" s="374"/>
      <c r="J8" s="7"/>
      <c r="K8" s="224"/>
      <c r="L8" s="374"/>
      <c r="M8" s="374"/>
      <c r="N8" s="379"/>
      <c r="O8" s="7"/>
      <c r="P8" s="7"/>
      <c r="Q8" s="7"/>
      <c r="R8" s="7"/>
      <c r="S8" s="7"/>
      <c r="T8" s="7"/>
      <c r="U8" s="7"/>
      <c r="V8" s="7"/>
      <c r="W8" s="7"/>
      <c r="X8" s="7"/>
      <c r="Y8" s="7"/>
    </row>
    <row r="9" spans="1:25" ht="13.5" hidden="1" thickBot="1">
      <c r="A9" s="225" t="s">
        <v>61</v>
      </c>
      <c r="B9" s="226"/>
      <c r="C9" s="339">
        <f>B5*C7</f>
        <v>1.751567880013461E-05</v>
      </c>
      <c r="D9" s="227">
        <f>B5*D7</f>
        <v>5.906449827952368E-06</v>
      </c>
      <c r="E9" s="228">
        <f>B5*E7</f>
        <v>5.193602434923634E-05</v>
      </c>
      <c r="I9" s="374"/>
      <c r="J9" s="7"/>
      <c r="K9" s="229"/>
      <c r="L9" s="374"/>
      <c r="M9" s="374"/>
      <c r="N9" s="379"/>
      <c r="O9" s="7"/>
      <c r="P9" s="7"/>
      <c r="Q9" s="7"/>
      <c r="R9" s="7"/>
      <c r="S9" s="7"/>
      <c r="T9" s="7"/>
      <c r="U9" s="7"/>
      <c r="V9" s="7"/>
      <c r="W9" s="7"/>
      <c r="X9" s="7"/>
      <c r="Y9" s="7"/>
    </row>
    <row r="10" spans="9:25" ht="12.75" hidden="1">
      <c r="I10" s="374"/>
      <c r="J10" s="7"/>
      <c r="K10" s="230"/>
      <c r="L10" s="374"/>
      <c r="M10" s="374"/>
      <c r="N10" s="379"/>
      <c r="O10" s="7"/>
      <c r="P10" s="7"/>
      <c r="Q10" s="7"/>
      <c r="R10" s="7"/>
      <c r="S10" s="7"/>
      <c r="T10" s="7"/>
      <c r="U10" s="7"/>
      <c r="V10" s="7"/>
      <c r="W10" s="7"/>
      <c r="X10" s="7"/>
      <c r="Y10" s="7"/>
    </row>
    <row r="11" spans="1:25" ht="15.75" customHeight="1" hidden="1" thickBot="1">
      <c r="A11" s="231"/>
      <c r="B11" s="232" t="s">
        <v>62</v>
      </c>
      <c r="C11" s="503">
        <f>B5-C9</f>
        <v>2.8513895721149375E-06</v>
      </c>
      <c r="D11" s="502">
        <f>B5-E9</f>
        <v>-3.156895597698679E-05</v>
      </c>
      <c r="E11" s="233">
        <f>B5-D9</f>
        <v>1.446061854429718E-05</v>
      </c>
      <c r="I11" s="374"/>
      <c r="J11" s="7"/>
      <c r="K11" s="4"/>
      <c r="L11" s="374"/>
      <c r="M11" s="374"/>
      <c r="N11" s="379"/>
      <c r="O11" s="7"/>
      <c r="P11" s="7"/>
      <c r="Q11" s="7"/>
      <c r="R11" s="7"/>
      <c r="S11" s="7"/>
      <c r="T11" s="7"/>
      <c r="U11" s="7"/>
      <c r="V11" s="7"/>
      <c r="W11" s="7"/>
      <c r="X11" s="7"/>
      <c r="Y11" s="7"/>
    </row>
    <row r="12" spans="1:14" ht="13.5" hidden="1" thickBot="1">
      <c r="A12" s="234"/>
      <c r="B12" s="235" t="s">
        <v>63</v>
      </c>
      <c r="C12" s="128">
        <f>1/C11</f>
        <v>350706.1994542816</v>
      </c>
      <c r="D12" s="236">
        <f>1/E11</f>
        <v>69153.33510366119</v>
      </c>
      <c r="E12" s="237">
        <f>1/D11</f>
        <v>-31676.688982967393</v>
      </c>
      <c r="I12" s="375"/>
      <c r="J12" s="11"/>
      <c r="K12" s="9"/>
      <c r="L12" s="375"/>
      <c r="M12" s="375"/>
      <c r="N12" s="380"/>
    </row>
    <row r="13" spans="9:14" ht="12.75" hidden="1">
      <c r="I13" s="376"/>
      <c r="K13" s="172"/>
      <c r="L13" s="376"/>
      <c r="M13" s="376"/>
      <c r="N13" s="381"/>
    </row>
    <row r="14" spans="1:14" ht="15.75" hidden="1">
      <c r="A14" s="136" t="s">
        <v>79</v>
      </c>
      <c r="B14" s="238" t="s">
        <v>80</v>
      </c>
      <c r="C14" s="239">
        <f>C12</f>
        <v>350706.1994542816</v>
      </c>
      <c r="D14" s="239">
        <f>D12</f>
        <v>69153.33510366119</v>
      </c>
      <c r="E14" s="239">
        <f>E12</f>
        <v>-31676.688982967393</v>
      </c>
      <c r="I14" s="376"/>
      <c r="K14" s="172"/>
      <c r="L14" s="376"/>
      <c r="M14" s="376"/>
      <c r="N14" s="381"/>
    </row>
    <row r="15" spans="1:14" s="7" customFormat="1" ht="12.75" hidden="1">
      <c r="A15" s="240"/>
      <c r="B15" s="241" t="s">
        <v>56</v>
      </c>
      <c r="C15" s="242">
        <f>(1-B5)*C12</f>
        <v>350699.05659713876</v>
      </c>
      <c r="D15" s="242">
        <f>(1-B5)*D12</f>
        <v>69151.92665295696</v>
      </c>
      <c r="E15" s="242">
        <f>(1-B5)*E12</f>
        <v>-31676.04382167707</v>
      </c>
      <c r="H15" s="1"/>
      <c r="I15" s="374"/>
      <c r="K15" s="4"/>
      <c r="L15" s="374"/>
      <c r="M15" s="374"/>
      <c r="N15" s="379"/>
    </row>
    <row r="16" spans="1:14" s="7" customFormat="1" ht="12.75" hidden="1">
      <c r="A16" s="142"/>
      <c r="B16" s="143" t="s">
        <v>76</v>
      </c>
      <c r="C16" s="243">
        <f>C12*C11</f>
        <v>0.9999999999999999</v>
      </c>
      <c r="D16" s="243">
        <f>D12*E11</f>
        <v>1</v>
      </c>
      <c r="E16" s="243">
        <f>E12*D11</f>
        <v>1</v>
      </c>
      <c r="H16" s="1"/>
      <c r="I16" s="374"/>
      <c r="K16" s="4"/>
      <c r="L16" s="374"/>
      <c r="M16" s="374"/>
      <c r="N16" s="379"/>
    </row>
    <row r="17" spans="1:14" s="7" customFormat="1" ht="12.75" hidden="1">
      <c r="A17" s="244"/>
      <c r="B17" s="245" t="s">
        <v>57</v>
      </c>
      <c r="C17" s="246">
        <f>(B5-C11)*C12</f>
        <v>6.14285714285714</v>
      </c>
      <c r="D17" s="246">
        <f>(B5-E11)*D12</f>
        <v>0.408450704225352</v>
      </c>
      <c r="E17" s="246">
        <f>(B5-D11)*E12</f>
        <v>-1.6451612903225807</v>
      </c>
      <c r="H17" s="1"/>
      <c r="I17" s="374"/>
      <c r="K17" s="4"/>
      <c r="L17" s="374"/>
      <c r="M17" s="374"/>
      <c r="N17" s="379"/>
    </row>
    <row r="18" spans="1:14" s="7" customFormat="1" ht="12.75" hidden="1">
      <c r="A18" s="149"/>
      <c r="B18" s="149"/>
      <c r="C18" s="247"/>
      <c r="D18" s="247"/>
      <c r="E18" s="247"/>
      <c r="H18" s="1"/>
      <c r="I18" s="374"/>
      <c r="K18" s="4"/>
      <c r="L18" s="374"/>
      <c r="M18" s="374"/>
      <c r="N18" s="379"/>
    </row>
    <row r="19" spans="1:14" s="7" customFormat="1" ht="15.75" hidden="1">
      <c r="A19" s="136" t="s">
        <v>81</v>
      </c>
      <c r="B19" s="238" t="s">
        <v>82</v>
      </c>
      <c r="C19" s="239">
        <f>C12</f>
        <v>350706.1994542816</v>
      </c>
      <c r="D19" s="239">
        <f>D12</f>
        <v>69153.33510366119</v>
      </c>
      <c r="E19" s="239">
        <f>E12</f>
        <v>-31676.688982967393</v>
      </c>
      <c r="H19" s="1"/>
      <c r="I19" s="374"/>
      <c r="K19" s="4"/>
      <c r="L19" s="374"/>
      <c r="M19" s="374"/>
      <c r="N19" s="379"/>
    </row>
    <row r="20" spans="1:14" ht="12.75" hidden="1">
      <c r="A20" s="240"/>
      <c r="B20" s="139" t="s">
        <v>56</v>
      </c>
      <c r="C20" s="242">
        <f>ABS((1-(B5-C11))*C12)</f>
        <v>350700.05659713876</v>
      </c>
      <c r="D20" s="242">
        <f>ABS((1-(B5-E11))*D12)</f>
        <v>69152.92665295696</v>
      </c>
      <c r="E20" s="242">
        <f>ABS((1-(B5-D11))*E12)</f>
        <v>31675.04382167707</v>
      </c>
      <c r="I20" s="376"/>
      <c r="K20" s="172"/>
      <c r="L20" s="376"/>
      <c r="M20" s="376"/>
      <c r="N20" s="381"/>
    </row>
    <row r="21" spans="1:14" ht="12.75" hidden="1">
      <c r="A21" s="248"/>
      <c r="B21" s="249" t="s">
        <v>77</v>
      </c>
      <c r="C21" s="250">
        <f>C12*C11</f>
        <v>0.9999999999999999</v>
      </c>
      <c r="D21" s="250">
        <f>D12*E11</f>
        <v>1</v>
      </c>
      <c r="E21" s="250">
        <f>E12*D11</f>
        <v>1</v>
      </c>
      <c r="I21" s="376"/>
      <c r="K21" s="172"/>
      <c r="L21" s="376"/>
      <c r="M21" s="376"/>
      <c r="N21" s="381"/>
    </row>
    <row r="22" spans="1:14" ht="12.75" hidden="1">
      <c r="A22" s="251"/>
      <c r="B22" s="245" t="s">
        <v>78</v>
      </c>
      <c r="C22" s="246">
        <f>ABS(B5*C12)</f>
        <v>7.14285714285714</v>
      </c>
      <c r="D22" s="246">
        <f>ABS(B5*D12)</f>
        <v>1.408450704225352</v>
      </c>
      <c r="E22" s="246">
        <f>ABS(B5*E12)</f>
        <v>0.6451612903225808</v>
      </c>
      <c r="I22" s="376"/>
      <c r="K22" s="172"/>
      <c r="L22" s="376"/>
      <c r="M22" s="376"/>
      <c r="N22" s="381"/>
    </row>
    <row r="23" spans="1:14" s="11" customFormat="1" ht="12.75" hidden="1">
      <c r="A23" s="166"/>
      <c r="B23" s="167"/>
      <c r="C23" s="168"/>
      <c r="D23" s="252"/>
      <c r="E23" s="168"/>
      <c r="H23" s="1"/>
      <c r="I23" s="375"/>
      <c r="K23" s="9"/>
      <c r="L23" s="375"/>
      <c r="M23" s="375"/>
      <c r="N23" s="380"/>
    </row>
    <row r="24" spans="1:14" ht="12.75" hidden="1">
      <c r="A24" s="253" t="s">
        <v>65</v>
      </c>
      <c r="B24" s="254"/>
      <c r="C24" s="254"/>
      <c r="D24" s="255">
        <f>ROUND(C7,2)</f>
        <v>0.86</v>
      </c>
      <c r="E24" s="256">
        <f>ROUND(C11,6)</f>
        <v>3E-06</v>
      </c>
      <c r="F24" s="257">
        <f>ROUND(C12,0)</f>
        <v>350706</v>
      </c>
      <c r="I24" s="376"/>
      <c r="K24" s="172"/>
      <c r="L24" s="376"/>
      <c r="M24" s="376"/>
      <c r="N24" s="381"/>
    </row>
    <row r="25" spans="1:14" ht="12.75" hidden="1">
      <c r="A25" s="258" t="s">
        <v>67</v>
      </c>
      <c r="B25" s="259">
        <f>ROUND(C9,6)</f>
        <v>1.8E-05</v>
      </c>
      <c r="C25" s="259">
        <f>ROUND(B5,6)</f>
        <v>2E-05</v>
      </c>
      <c r="D25" s="260">
        <f>ROUND(D7,2)</f>
        <v>0.29</v>
      </c>
      <c r="E25" s="261">
        <f>ROUND(D11,6)</f>
        <v>-3.2E-05</v>
      </c>
      <c r="F25" s="262">
        <f>ROUND(D12,0)</f>
        <v>69153</v>
      </c>
      <c r="I25" s="376"/>
      <c r="K25" s="172"/>
      <c r="L25" s="376"/>
      <c r="M25" s="376"/>
      <c r="N25" s="381"/>
    </row>
    <row r="26" spans="1:14" ht="12.75" hidden="1">
      <c r="A26" s="258" t="s">
        <v>66</v>
      </c>
      <c r="B26" s="263"/>
      <c r="C26" s="263"/>
      <c r="D26" s="260">
        <f>ROUND(E7,2)</f>
        <v>2.55</v>
      </c>
      <c r="E26" s="261">
        <f>ROUND(E11,6)</f>
        <v>1.4E-05</v>
      </c>
      <c r="F26" s="262">
        <f>ROUND(E12,0)</f>
        <v>-31677</v>
      </c>
      <c r="I26" s="376"/>
      <c r="K26" s="172"/>
      <c r="L26" s="376"/>
      <c r="M26" s="376"/>
      <c r="N26" s="381"/>
    </row>
    <row r="27" spans="1:14" ht="12.75" hidden="1">
      <c r="A27" s="258" t="s">
        <v>68</v>
      </c>
      <c r="B27" s="210" t="s">
        <v>91</v>
      </c>
      <c r="C27" s="210" t="s">
        <v>92</v>
      </c>
      <c r="D27" s="264" t="s">
        <v>69</v>
      </c>
      <c r="E27" s="264" t="s">
        <v>70</v>
      </c>
      <c r="F27" s="210" t="s">
        <v>63</v>
      </c>
      <c r="I27" s="376"/>
      <c r="K27" s="172"/>
      <c r="L27" s="376"/>
      <c r="M27" s="376"/>
      <c r="N27" s="381"/>
    </row>
    <row r="28" spans="1:14" ht="12.75" hidden="1">
      <c r="A28" s="265" t="s">
        <v>27</v>
      </c>
      <c r="B28" s="210" t="str">
        <f>CONCATENATE(B25*100,A27)</f>
        <v>0,0018%</v>
      </c>
      <c r="C28" s="210" t="str">
        <f>CONCATENATE(C25*100,A27)</f>
        <v>0,002%</v>
      </c>
      <c r="D28" s="210" t="str">
        <f>CONCATENATE(D24," ",A24,D25,A25,D26,A26)</f>
        <v>0,86 (0,29-2,55)</v>
      </c>
      <c r="E28" s="210" t="str">
        <f>CONCATENATE(E24*100,A27," ",A24,E25*100,A27," ",A28," ",E26*100,A27,A26)</f>
        <v>0,0003% (-0,0032% a 0,0014%)</v>
      </c>
      <c r="F28" s="210" t="str">
        <f>CONCATENATE(F24," ",A24,F25," ",A28," ",F26,A26)</f>
        <v>350706 (69153 a -31677)</v>
      </c>
      <c r="I28" s="376"/>
      <c r="K28" s="172"/>
      <c r="L28" s="376"/>
      <c r="M28" s="376"/>
      <c r="N28" s="381"/>
    </row>
    <row r="29" spans="1:14" s="11" customFormat="1" ht="12.75" hidden="1">
      <c r="A29" s="7"/>
      <c r="B29" s="4"/>
      <c r="C29" s="4"/>
      <c r="D29" s="4"/>
      <c r="E29" s="4"/>
      <c r="F29" s="4"/>
      <c r="H29" s="1"/>
      <c r="I29" s="375"/>
      <c r="K29" s="9"/>
      <c r="L29" s="375"/>
      <c r="M29" s="375"/>
      <c r="N29" s="380"/>
    </row>
    <row r="30" spans="9:14" ht="12.75">
      <c r="I30" s="643"/>
      <c r="J30" s="644"/>
      <c r="K30" s="644"/>
      <c r="L30" s="644"/>
      <c r="M30" s="645"/>
      <c r="N30" s="378"/>
    </row>
    <row r="31" spans="2:13" ht="15.75" customHeight="1">
      <c r="B31" s="264" t="s">
        <v>91</v>
      </c>
      <c r="C31" s="264" t="s">
        <v>92</v>
      </c>
      <c r="D31" s="264" t="s">
        <v>69</v>
      </c>
      <c r="E31" s="264" t="s">
        <v>62</v>
      </c>
      <c r="F31" s="264" t="s">
        <v>63</v>
      </c>
      <c r="I31" s="643"/>
      <c r="J31" s="644"/>
      <c r="K31" s="644"/>
      <c r="L31" s="644"/>
      <c r="M31" s="645"/>
    </row>
    <row r="32" spans="2:6" ht="20.25" customHeight="1">
      <c r="B32" s="214" t="str">
        <f>B28</f>
        <v>0,0018%</v>
      </c>
      <c r="C32" s="214" t="str">
        <f>C28</f>
        <v>0,002%</v>
      </c>
      <c r="D32" s="214" t="str">
        <f>D28</f>
        <v>0,86 (0,29-2,55)</v>
      </c>
      <c r="E32" s="214" t="str">
        <f>E28</f>
        <v>0,0003% (-0,0032% a 0,0014%)</v>
      </c>
      <c r="F32" s="214" t="str">
        <f>F28</f>
        <v>350706 (69153 a -31677)</v>
      </c>
    </row>
    <row r="33" spans="2:13" ht="12" customHeight="1">
      <c r="B33" s="337"/>
      <c r="C33" s="337"/>
      <c r="D33" s="337"/>
      <c r="E33" s="337"/>
      <c r="F33" s="337"/>
      <c r="I33" s="643"/>
      <c r="J33" s="644"/>
      <c r="K33" s="644"/>
      <c r="L33" s="644"/>
      <c r="M33" s="645"/>
    </row>
    <row r="34" spans="1:13" ht="12.75">
      <c r="A34" s="340" t="s">
        <v>375</v>
      </c>
      <c r="B34" s="337"/>
      <c r="C34" s="337"/>
      <c r="D34" s="337"/>
      <c r="E34" s="337"/>
      <c r="F34" s="337"/>
      <c r="I34" s="643"/>
      <c r="J34" s="644"/>
      <c r="K34" s="644"/>
      <c r="L34" s="644"/>
      <c r="M34" s="645"/>
    </row>
    <row r="35" spans="1:13" ht="12.75">
      <c r="A35" s="341" t="s">
        <v>132</v>
      </c>
      <c r="B35" s="337"/>
      <c r="C35" s="337"/>
      <c r="D35" s="337"/>
      <c r="E35" s="337"/>
      <c r="F35" s="337"/>
      <c r="I35" s="643"/>
      <c r="J35" s="644"/>
      <c r="K35" s="644"/>
      <c r="L35" s="644"/>
      <c r="M35" s="645"/>
    </row>
    <row r="36" spans="2:13" ht="13.5" thickBot="1">
      <c r="B36" s="337"/>
      <c r="C36" s="337"/>
      <c r="D36" s="337"/>
      <c r="E36" s="337"/>
      <c r="F36" s="337"/>
      <c r="H36" s="377"/>
      <c r="I36" s="643"/>
      <c r="J36" s="644"/>
      <c r="K36" s="644"/>
      <c r="L36" s="644"/>
      <c r="M36" s="645"/>
    </row>
    <row r="37" spans="1:13" ht="34.5" customHeight="1" thickBot="1">
      <c r="A37" s="683" t="s">
        <v>320</v>
      </c>
      <c r="B37" s="684"/>
      <c r="C37" s="684"/>
      <c r="D37" s="684"/>
      <c r="E37" s="684"/>
      <c r="F37" s="684"/>
      <c r="G37" s="684"/>
      <c r="H37" s="685"/>
      <c r="I37" s="643"/>
      <c r="J37" s="644"/>
      <c r="K37" s="644"/>
      <c r="L37" s="644"/>
      <c r="M37" s="645"/>
    </row>
    <row r="38" spans="1:11" ht="27.75" customHeight="1">
      <c r="A38" s="689" t="s">
        <v>277</v>
      </c>
      <c r="B38" s="686" t="s">
        <v>221</v>
      </c>
      <c r="C38" s="688"/>
      <c r="D38" s="686" t="s">
        <v>205</v>
      </c>
      <c r="E38" s="687"/>
      <c r="F38" s="688"/>
      <c r="H38" s="681" t="s">
        <v>242</v>
      </c>
      <c r="I38" s="425"/>
      <c r="J38" s="425"/>
      <c r="K38" s="11"/>
    </row>
    <row r="39" spans="1:11" ht="29.25" customHeight="1" thickBot="1">
      <c r="A39" s="690"/>
      <c r="B39" s="355" t="s">
        <v>186</v>
      </c>
      <c r="C39" s="356" t="s">
        <v>207</v>
      </c>
      <c r="D39" s="355" t="s">
        <v>204</v>
      </c>
      <c r="E39" s="349" t="s">
        <v>263</v>
      </c>
      <c r="F39" s="350" t="s">
        <v>243</v>
      </c>
      <c r="H39" s="682"/>
      <c r="I39" s="426"/>
      <c r="J39" s="426"/>
      <c r="K39" s="11"/>
    </row>
    <row r="40" spans="1:11" s="17" customFormat="1" ht="4.5" customHeight="1" thickBot="1">
      <c r="A40" s="470"/>
      <c r="B40" s="472"/>
      <c r="C40" s="472"/>
      <c r="D40" s="472"/>
      <c r="E40" s="473"/>
      <c r="F40" s="473"/>
      <c r="G40" s="7"/>
      <c r="H40" s="473"/>
      <c r="I40" s="474"/>
      <c r="J40" s="474"/>
      <c r="K40" s="7"/>
    </row>
    <row r="41" spans="1:11" ht="45" customHeight="1">
      <c r="A41" s="545" t="s">
        <v>279</v>
      </c>
      <c r="B41" s="546">
        <v>6.266912035333088E-05</v>
      </c>
      <c r="C41" s="547" t="s">
        <v>283</v>
      </c>
      <c r="D41" s="548" t="s">
        <v>119</v>
      </c>
      <c r="E41" s="351" t="s">
        <v>315</v>
      </c>
      <c r="F41" s="352" t="s">
        <v>316</v>
      </c>
      <c r="H41" s="480" t="s">
        <v>317</v>
      </c>
      <c r="K41" s="377"/>
    </row>
    <row r="42" spans="1:11" ht="45" customHeight="1">
      <c r="A42" s="549" t="s">
        <v>280</v>
      </c>
      <c r="B42" s="541">
        <v>0.001</v>
      </c>
      <c r="C42" s="542" t="s">
        <v>282</v>
      </c>
      <c r="D42" s="543" t="s">
        <v>135</v>
      </c>
      <c r="E42" s="544" t="s">
        <v>107</v>
      </c>
      <c r="F42" s="550" t="s">
        <v>188</v>
      </c>
      <c r="H42" s="554" t="s">
        <v>260</v>
      </c>
      <c r="K42" s="377"/>
    </row>
    <row r="43" spans="1:11" ht="45" customHeight="1" thickBot="1">
      <c r="A43" s="551" t="s">
        <v>327</v>
      </c>
      <c r="B43" s="552" t="s">
        <v>330</v>
      </c>
      <c r="C43" s="552" t="s">
        <v>334</v>
      </c>
      <c r="D43" s="553" t="s">
        <v>331</v>
      </c>
      <c r="E43" s="479" t="s">
        <v>332</v>
      </c>
      <c r="F43" s="540" t="s">
        <v>333</v>
      </c>
      <c r="H43" s="469" t="s">
        <v>335</v>
      </c>
      <c r="K43" s="11"/>
    </row>
    <row r="44" spans="1:8" s="7" customFormat="1" ht="4.5" customHeight="1" thickBot="1">
      <c r="A44" s="475"/>
      <c r="B44" s="476"/>
      <c r="C44" s="477"/>
      <c r="D44" s="471"/>
      <c r="E44" s="471"/>
      <c r="F44" s="478"/>
      <c r="H44" s="478"/>
    </row>
    <row r="45" spans="1:11" ht="45" customHeight="1">
      <c r="A45" s="461" t="s">
        <v>278</v>
      </c>
      <c r="B45" s="465">
        <v>1.7E-05</v>
      </c>
      <c r="C45" s="466" t="s">
        <v>203</v>
      </c>
      <c r="D45" s="463" t="s">
        <v>148</v>
      </c>
      <c r="E45" s="351" t="s">
        <v>196</v>
      </c>
      <c r="F45" s="481" t="s">
        <v>202</v>
      </c>
      <c r="H45" s="482" t="s">
        <v>261</v>
      </c>
      <c r="I45" s="9"/>
      <c r="J45" s="266"/>
      <c r="K45" s="11"/>
    </row>
    <row r="46" spans="1:11" ht="45" customHeight="1" thickBot="1">
      <c r="A46" s="462" t="s">
        <v>206</v>
      </c>
      <c r="B46" s="467">
        <v>0.0426</v>
      </c>
      <c r="C46" s="468" t="s">
        <v>281</v>
      </c>
      <c r="D46" s="464" t="s">
        <v>192</v>
      </c>
      <c r="E46" s="353" t="s">
        <v>197</v>
      </c>
      <c r="F46" s="354" t="s">
        <v>198</v>
      </c>
      <c r="H46" s="469" t="s">
        <v>262</v>
      </c>
      <c r="I46" s="9"/>
      <c r="J46" s="266"/>
      <c r="K46" s="11"/>
    </row>
    <row r="47" ht="8.25" customHeight="1"/>
    <row r="48" spans="1:8" ht="26.25" customHeight="1">
      <c r="A48" s="680" t="s">
        <v>195</v>
      </c>
      <c r="B48" s="680"/>
      <c r="C48" s="680"/>
      <c r="D48" s="680"/>
      <c r="E48" s="680"/>
      <c r="F48" s="680"/>
      <c r="G48" s="680"/>
      <c r="H48" s="680"/>
    </row>
    <row r="49" spans="1:8" ht="36" customHeight="1">
      <c r="A49" s="680" t="s">
        <v>200</v>
      </c>
      <c r="B49" s="680"/>
      <c r="C49" s="680"/>
      <c r="D49" s="680"/>
      <c r="E49" s="680"/>
      <c r="F49" s="680"/>
      <c r="G49" s="680"/>
      <c r="H49" s="680"/>
    </row>
    <row r="50" spans="1:8" ht="39" customHeight="1">
      <c r="A50" s="680" t="s">
        <v>201</v>
      </c>
      <c r="B50" s="680"/>
      <c r="C50" s="680"/>
      <c r="D50" s="680"/>
      <c r="E50" s="680"/>
      <c r="F50" s="680"/>
      <c r="G50" s="680"/>
      <c r="H50" s="680"/>
    </row>
  </sheetData>
  <sheetProtection/>
  <mergeCells count="11">
    <mergeCell ref="A49:H49"/>
    <mergeCell ref="C5:E5"/>
    <mergeCell ref="A2:F2"/>
    <mergeCell ref="A3:F3"/>
    <mergeCell ref="A50:H50"/>
    <mergeCell ref="A48:H48"/>
    <mergeCell ref="H38:H39"/>
    <mergeCell ref="A37:H37"/>
    <mergeCell ref="D38:F38"/>
    <mergeCell ref="A38:A39"/>
    <mergeCell ref="B38:C38"/>
  </mergeCells>
  <printOptions/>
  <pageMargins left="0.17" right="0.16" top="0.57" bottom="0.72" header="0" footer="0"/>
  <pageSetup horizontalDpi="600" verticalDpi="600" orientation="landscape" paperSize="9" r:id="rId2"/>
  <ignoredErrors>
    <ignoredError sqref="B43:C43" numberStoredAsText="1"/>
  </ignoredErrors>
  <drawing r:id="rId1"/>
</worksheet>
</file>

<file path=xl/worksheets/sheet3.xml><?xml version="1.0" encoding="utf-8"?>
<worksheet xmlns="http://schemas.openxmlformats.org/spreadsheetml/2006/main" xmlns:r="http://schemas.openxmlformats.org/officeDocument/2006/relationships">
  <dimension ref="A1:IV21"/>
  <sheetViews>
    <sheetView zoomScalePageLayoutView="0" workbookViewId="0" topLeftCell="A1">
      <selection activeCell="G7" sqref="G7"/>
    </sheetView>
  </sheetViews>
  <sheetFormatPr defaultColWidth="11.421875" defaultRowHeight="12.75"/>
  <cols>
    <col min="1" max="1" width="2.00390625" style="393" customWidth="1"/>
    <col min="2" max="2" width="16.421875" style="393" customWidth="1"/>
    <col min="3" max="3" width="11.7109375" style="393" customWidth="1"/>
    <col min="4" max="4" width="79.00390625" style="394" customWidth="1"/>
    <col min="5" max="5" width="18.28125" style="393" customWidth="1"/>
    <col min="6" max="6" width="17.421875" style="393" customWidth="1"/>
    <col min="7" max="7" width="1.8515625" style="415" customWidth="1"/>
    <col min="8" max="8" width="25.57421875" style="393" customWidth="1"/>
    <col min="9" max="16384" width="11.421875" style="393" customWidth="1"/>
  </cols>
  <sheetData>
    <row r="1" spans="1:256" ht="16.5" thickBot="1">
      <c r="A1" s="392"/>
      <c r="G1" s="392"/>
      <c r="H1" s="392"/>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395"/>
      <c r="DK1" s="395"/>
      <c r="DL1" s="395"/>
      <c r="DM1" s="395"/>
      <c r="DN1" s="395"/>
      <c r="DO1" s="395"/>
      <c r="DP1" s="395"/>
      <c r="DQ1" s="395"/>
      <c r="DR1" s="395"/>
      <c r="DS1" s="395"/>
      <c r="DT1" s="395"/>
      <c r="DU1" s="395"/>
      <c r="DV1" s="395"/>
      <c r="DW1" s="395"/>
      <c r="DX1" s="395"/>
      <c r="DY1" s="395"/>
      <c r="DZ1" s="395"/>
      <c r="EA1" s="395"/>
      <c r="EB1" s="395"/>
      <c r="EC1" s="395"/>
      <c r="ED1" s="395"/>
      <c r="EE1" s="395"/>
      <c r="EF1" s="395"/>
      <c r="EG1" s="395"/>
      <c r="EH1" s="395"/>
      <c r="EI1" s="395"/>
      <c r="EJ1" s="395"/>
      <c r="EK1" s="395"/>
      <c r="EL1" s="395"/>
      <c r="EM1" s="395"/>
      <c r="EN1" s="395"/>
      <c r="EO1" s="395"/>
      <c r="EP1" s="395"/>
      <c r="EQ1" s="395"/>
      <c r="ER1" s="395"/>
      <c r="ES1" s="395"/>
      <c r="ET1" s="395"/>
      <c r="EU1" s="395"/>
      <c r="EV1" s="395"/>
      <c r="EW1" s="395"/>
      <c r="EX1" s="395"/>
      <c r="EY1" s="395"/>
      <c r="EZ1" s="395"/>
      <c r="FA1" s="395"/>
      <c r="FB1" s="395"/>
      <c r="FC1" s="395"/>
      <c r="FD1" s="395"/>
      <c r="FE1" s="395"/>
      <c r="FF1" s="395"/>
      <c r="FG1" s="395"/>
      <c r="FH1" s="395"/>
      <c r="FI1" s="395"/>
      <c r="FJ1" s="395"/>
      <c r="FK1" s="395"/>
      <c r="FL1" s="395"/>
      <c r="FM1" s="395"/>
      <c r="FN1" s="395"/>
      <c r="FO1" s="395"/>
      <c r="FP1" s="395"/>
      <c r="FQ1" s="395"/>
      <c r="FR1" s="395"/>
      <c r="FS1" s="395"/>
      <c r="FT1" s="395"/>
      <c r="FU1" s="395"/>
      <c r="FV1" s="395"/>
      <c r="FW1" s="395"/>
      <c r="FX1" s="395"/>
      <c r="FY1" s="395"/>
      <c r="FZ1" s="395"/>
      <c r="GA1" s="395"/>
      <c r="GB1" s="395"/>
      <c r="GC1" s="395"/>
      <c r="GD1" s="395"/>
      <c r="GE1" s="395"/>
      <c r="GF1" s="395"/>
      <c r="GG1" s="395"/>
      <c r="GH1" s="395"/>
      <c r="GI1" s="395"/>
      <c r="GJ1" s="395"/>
      <c r="GK1" s="395"/>
      <c r="GL1" s="395"/>
      <c r="GM1" s="395"/>
      <c r="GN1" s="395"/>
      <c r="GO1" s="395"/>
      <c r="GP1" s="395"/>
      <c r="GQ1" s="395"/>
      <c r="GR1" s="395"/>
      <c r="GS1" s="395"/>
      <c r="GT1" s="395"/>
      <c r="GU1" s="395"/>
      <c r="GV1" s="395"/>
      <c r="GW1" s="395"/>
      <c r="GX1" s="395"/>
      <c r="GY1" s="395"/>
      <c r="GZ1" s="395"/>
      <c r="HA1" s="395"/>
      <c r="HB1" s="395"/>
      <c r="HC1" s="395"/>
      <c r="HD1" s="395"/>
      <c r="HE1" s="395"/>
      <c r="HF1" s="395"/>
      <c r="HG1" s="395"/>
      <c r="HH1" s="395"/>
      <c r="HI1" s="395"/>
      <c r="HJ1" s="395"/>
      <c r="HK1" s="395"/>
      <c r="HL1" s="395"/>
      <c r="HM1" s="395"/>
      <c r="HN1" s="395"/>
      <c r="HO1" s="395"/>
      <c r="HP1" s="395"/>
      <c r="HQ1" s="395"/>
      <c r="HR1" s="395"/>
      <c r="HS1" s="395"/>
      <c r="HT1" s="395"/>
      <c r="HU1" s="395"/>
      <c r="HV1" s="395"/>
      <c r="HW1" s="395"/>
      <c r="HX1" s="395"/>
      <c r="HY1" s="395"/>
      <c r="HZ1" s="395"/>
      <c r="IA1" s="395"/>
      <c r="IB1" s="395"/>
      <c r="IC1" s="395"/>
      <c r="ID1" s="395"/>
      <c r="IE1" s="395"/>
      <c r="IF1" s="395"/>
      <c r="IG1" s="395"/>
      <c r="IH1" s="395"/>
      <c r="II1" s="395"/>
      <c r="IJ1" s="395"/>
      <c r="IK1" s="395"/>
      <c r="IL1" s="395"/>
      <c r="IM1" s="395"/>
      <c r="IN1" s="395"/>
      <c r="IO1" s="395"/>
      <c r="IP1" s="395"/>
      <c r="IQ1" s="395"/>
      <c r="IR1" s="395"/>
      <c r="IS1" s="395"/>
      <c r="IT1" s="395"/>
      <c r="IU1" s="395"/>
      <c r="IV1" s="395"/>
    </row>
    <row r="2" spans="2:7" ht="27" customHeight="1" thickBot="1">
      <c r="B2" s="691" t="s">
        <v>318</v>
      </c>
      <c r="C2" s="692"/>
      <c r="D2" s="692"/>
      <c r="E2" s="692"/>
      <c r="F2" s="693"/>
      <c r="G2" s="396"/>
    </row>
    <row r="3" spans="2:7" ht="61.5" customHeight="1" thickBot="1">
      <c r="B3" s="397" t="s">
        <v>222</v>
      </c>
      <c r="C3" s="398" t="s">
        <v>223</v>
      </c>
      <c r="D3" s="399" t="s">
        <v>224</v>
      </c>
      <c r="E3" s="398" t="s">
        <v>225</v>
      </c>
      <c r="F3" s="398" t="s">
        <v>226</v>
      </c>
      <c r="G3" s="400"/>
    </row>
    <row r="4" spans="2:7" ht="48" thickBot="1">
      <c r="B4" s="401" t="s">
        <v>227</v>
      </c>
      <c r="C4" s="402">
        <v>9</v>
      </c>
      <c r="D4" s="403" t="s">
        <v>228</v>
      </c>
      <c r="E4" s="404"/>
      <c r="F4" s="405"/>
      <c r="G4" s="400"/>
    </row>
    <row r="5" spans="4:7" ht="3.75" customHeight="1" thickBot="1">
      <c r="D5" s="393"/>
      <c r="F5" s="400"/>
      <c r="G5" s="400"/>
    </row>
    <row r="6" spans="2:7" ht="21.75" customHeight="1" thickBot="1">
      <c r="B6" s="694" t="s">
        <v>229</v>
      </c>
      <c r="C6" s="406">
        <v>9</v>
      </c>
      <c r="D6" s="403" t="s">
        <v>230</v>
      </c>
      <c r="E6" s="407"/>
      <c r="F6" s="408"/>
      <c r="G6" s="396"/>
    </row>
    <row r="7" spans="2:7" ht="21.75" customHeight="1" thickBot="1">
      <c r="B7" s="695"/>
      <c r="C7" s="406">
        <v>8</v>
      </c>
      <c r="D7" s="409" t="s">
        <v>231</v>
      </c>
      <c r="E7" s="404"/>
      <c r="F7" s="410"/>
      <c r="G7" s="396"/>
    </row>
    <row r="8" spans="2:7" ht="21.75" customHeight="1" thickBot="1">
      <c r="B8" s="695"/>
      <c r="C8" s="406">
        <v>9</v>
      </c>
      <c r="D8" s="411" t="s">
        <v>232</v>
      </c>
      <c r="E8" s="407"/>
      <c r="F8" s="408"/>
      <c r="G8" s="396"/>
    </row>
    <row r="9" spans="2:7" ht="21.75" customHeight="1" thickBot="1">
      <c r="B9" s="695"/>
      <c r="C9" s="412">
        <v>8</v>
      </c>
      <c r="D9" s="411" t="s">
        <v>233</v>
      </c>
      <c r="E9" s="404"/>
      <c r="F9" s="410"/>
      <c r="G9" s="396"/>
    </row>
    <row r="10" spans="2:7" ht="3.75" customHeight="1" thickBot="1">
      <c r="B10" s="696"/>
      <c r="C10" s="413"/>
      <c r="D10" s="414"/>
      <c r="E10" s="415"/>
      <c r="F10" s="415"/>
      <c r="G10" s="396"/>
    </row>
    <row r="11" spans="2:7" ht="21.75" customHeight="1" thickBot="1">
      <c r="B11" s="695"/>
      <c r="C11" s="406">
        <v>9</v>
      </c>
      <c r="D11" s="416" t="s">
        <v>234</v>
      </c>
      <c r="E11" s="404"/>
      <c r="F11" s="410"/>
      <c r="G11" s="396"/>
    </row>
    <row r="12" spans="2:7" ht="21.75" customHeight="1" thickBot="1">
      <c r="B12" s="695"/>
      <c r="C12" s="406">
        <v>7</v>
      </c>
      <c r="D12" s="411" t="s">
        <v>235</v>
      </c>
      <c r="E12" s="407"/>
      <c r="F12" s="408"/>
      <c r="G12" s="396"/>
    </row>
    <row r="13" spans="2:7" ht="21.75" customHeight="1" thickBot="1">
      <c r="B13" s="697"/>
      <c r="C13" s="406">
        <v>6</v>
      </c>
      <c r="D13" s="411" t="s">
        <v>236</v>
      </c>
      <c r="E13" s="404"/>
      <c r="F13" s="410"/>
      <c r="G13" s="396"/>
    </row>
    <row r="14" spans="4:7" ht="3.75" customHeight="1" thickBot="1">
      <c r="D14" s="393"/>
      <c r="F14" s="396"/>
      <c r="G14" s="396"/>
    </row>
    <row r="15" spans="1:256" ht="21.75" customHeight="1" thickBot="1">
      <c r="A15" s="395"/>
      <c r="B15" s="694" t="s">
        <v>237</v>
      </c>
      <c r="C15" s="417">
        <v>8</v>
      </c>
      <c r="D15" s="347" t="s">
        <v>238</v>
      </c>
      <c r="E15" s="407"/>
      <c r="F15" s="418"/>
      <c r="G15" s="419"/>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5"/>
      <c r="GB15" s="395"/>
      <c r="GC15" s="395"/>
      <c r="GD15" s="395"/>
      <c r="GE15" s="395"/>
      <c r="GF15" s="395"/>
      <c r="GG15" s="395"/>
      <c r="GH15" s="395"/>
      <c r="GI15" s="395"/>
      <c r="GJ15" s="395"/>
      <c r="GK15" s="395"/>
      <c r="GL15" s="395"/>
      <c r="GM15" s="395"/>
      <c r="GN15" s="395"/>
      <c r="GO15" s="395"/>
      <c r="GP15" s="395"/>
      <c r="GQ15" s="395"/>
      <c r="GR15" s="395"/>
      <c r="GS15" s="395"/>
      <c r="GT15" s="395"/>
      <c r="GU15" s="395"/>
      <c r="GV15" s="395"/>
      <c r="GW15" s="395"/>
      <c r="GX15" s="395"/>
      <c r="GY15" s="395"/>
      <c r="GZ15" s="395"/>
      <c r="HA15" s="395"/>
      <c r="HB15" s="395"/>
      <c r="HC15" s="395"/>
      <c r="HD15" s="395"/>
      <c r="HE15" s="395"/>
      <c r="HF15" s="395"/>
      <c r="HG15" s="395"/>
      <c r="HH15" s="395"/>
      <c r="HI15" s="395"/>
      <c r="HJ15" s="395"/>
      <c r="HK15" s="395"/>
      <c r="HL15" s="395"/>
      <c r="HM15" s="395"/>
      <c r="HN15" s="395"/>
      <c r="HO15" s="395"/>
      <c r="HP15" s="395"/>
      <c r="HQ15" s="395"/>
      <c r="HR15" s="395"/>
      <c r="HS15" s="395"/>
      <c r="HT15" s="395"/>
      <c r="HU15" s="395"/>
      <c r="HV15" s="395"/>
      <c r="HW15" s="395"/>
      <c r="HX15" s="395"/>
      <c r="HY15" s="395"/>
      <c r="HZ15" s="395"/>
      <c r="IA15" s="395"/>
      <c r="IB15" s="395"/>
      <c r="IC15" s="395"/>
      <c r="ID15" s="395"/>
      <c r="IE15" s="395"/>
      <c r="IF15" s="395"/>
      <c r="IG15" s="395"/>
      <c r="IH15" s="395"/>
      <c r="II15" s="395"/>
      <c r="IJ15" s="395"/>
      <c r="IK15" s="395"/>
      <c r="IL15" s="395"/>
      <c r="IM15" s="395"/>
      <c r="IN15" s="395"/>
      <c r="IO15" s="395"/>
      <c r="IP15" s="395"/>
      <c r="IQ15" s="395"/>
      <c r="IR15" s="395"/>
      <c r="IS15" s="395"/>
      <c r="IT15" s="395"/>
      <c r="IU15" s="395"/>
      <c r="IV15" s="395"/>
    </row>
    <row r="16" spans="1:256" ht="21.75" customHeight="1" thickBot="1">
      <c r="A16" s="395"/>
      <c r="B16" s="697"/>
      <c r="C16" s="420">
        <v>6</v>
      </c>
      <c r="D16" s="347" t="s">
        <v>239</v>
      </c>
      <c r="E16" s="404"/>
      <c r="F16" s="421"/>
      <c r="G16" s="419"/>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395"/>
      <c r="GF16" s="395"/>
      <c r="GG16" s="395"/>
      <c r="GH16" s="395"/>
      <c r="GI16" s="395"/>
      <c r="GJ16" s="395"/>
      <c r="GK16" s="395"/>
      <c r="GL16" s="395"/>
      <c r="GM16" s="395"/>
      <c r="GN16" s="395"/>
      <c r="GO16" s="395"/>
      <c r="GP16" s="395"/>
      <c r="GQ16" s="395"/>
      <c r="GR16" s="395"/>
      <c r="GS16" s="395"/>
      <c r="GT16" s="395"/>
      <c r="GU16" s="395"/>
      <c r="GV16" s="395"/>
      <c r="GW16" s="395"/>
      <c r="GX16" s="395"/>
      <c r="GY16" s="395"/>
      <c r="GZ16" s="395"/>
      <c r="HA16" s="395"/>
      <c r="HB16" s="395"/>
      <c r="HC16" s="395"/>
      <c r="HD16" s="395"/>
      <c r="HE16" s="395"/>
      <c r="HF16" s="395"/>
      <c r="HG16" s="395"/>
      <c r="HH16" s="395"/>
      <c r="HI16" s="395"/>
      <c r="HJ16" s="395"/>
      <c r="HK16" s="395"/>
      <c r="HL16" s="395"/>
      <c r="HM16" s="395"/>
      <c r="HN16" s="395"/>
      <c r="HO16" s="395"/>
      <c r="HP16" s="395"/>
      <c r="HQ16" s="395"/>
      <c r="HR16" s="395"/>
      <c r="HS16" s="395"/>
      <c r="HT16" s="395"/>
      <c r="HU16" s="395"/>
      <c r="HV16" s="395"/>
      <c r="HW16" s="395"/>
      <c r="HX16" s="395"/>
      <c r="HY16" s="395"/>
      <c r="HZ16" s="395"/>
      <c r="IA16" s="395"/>
      <c r="IB16" s="395"/>
      <c r="IC16" s="395"/>
      <c r="ID16" s="395"/>
      <c r="IE16" s="395"/>
      <c r="IF16" s="395"/>
      <c r="IG16" s="395"/>
      <c r="IH16" s="395"/>
      <c r="II16" s="395"/>
      <c r="IJ16" s="395"/>
      <c r="IK16" s="395"/>
      <c r="IL16" s="395"/>
      <c r="IM16" s="395"/>
      <c r="IN16" s="395"/>
      <c r="IO16" s="395"/>
      <c r="IP16" s="395"/>
      <c r="IQ16" s="395"/>
      <c r="IR16" s="395"/>
      <c r="IS16" s="395"/>
      <c r="IT16" s="395"/>
      <c r="IU16" s="395"/>
      <c r="IV16" s="395"/>
    </row>
    <row r="17" spans="2:7" ht="4.5" customHeight="1" thickBot="1">
      <c r="B17" s="422"/>
      <c r="D17" s="393"/>
      <c r="F17" s="396"/>
      <c r="G17" s="396"/>
    </row>
    <row r="18" spans="2:8" ht="34.5" customHeight="1" thickBot="1">
      <c r="B18" s="698" t="s">
        <v>240</v>
      </c>
      <c r="C18" s="699"/>
      <c r="D18" s="699"/>
      <c r="E18" s="699"/>
      <c r="F18" s="700"/>
      <c r="H18" s="415"/>
    </row>
    <row r="21" ht="15.75">
      <c r="D21" s="393"/>
    </row>
  </sheetData>
  <sheetProtection/>
  <mergeCells count="4">
    <mergeCell ref="B2:F2"/>
    <mergeCell ref="B6:B13"/>
    <mergeCell ref="B15:B16"/>
    <mergeCell ref="B18:F18"/>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S13"/>
  <sheetViews>
    <sheetView zoomScalePageLayoutView="0" workbookViewId="0" topLeftCell="A1">
      <selection activeCell="B13" sqref="B13:M13"/>
    </sheetView>
  </sheetViews>
  <sheetFormatPr defaultColWidth="11.421875" defaultRowHeight="18.75" customHeight="1"/>
  <cols>
    <col min="1" max="1" width="1.421875" style="345" customWidth="1"/>
    <col min="2" max="2" width="23.00390625" style="345" customWidth="1"/>
    <col min="3" max="3" width="1.28515625" style="345" customWidth="1"/>
    <col min="4" max="5" width="18.7109375" style="345" customWidth="1"/>
    <col min="6" max="6" width="1.421875" style="345" customWidth="1"/>
    <col min="7" max="8" width="16.57421875" style="345" customWidth="1"/>
    <col min="9" max="9" width="1.421875" style="345" customWidth="1"/>
    <col min="10" max="11" width="18.7109375" style="345" customWidth="1"/>
    <col min="12" max="12" width="2.00390625" style="345" customWidth="1"/>
    <col min="13" max="13" width="16.57421875" style="345" customWidth="1"/>
    <col min="14" max="14" width="18.140625" style="345" customWidth="1"/>
    <col min="15" max="15" width="0.9921875" style="345" customWidth="1"/>
    <col min="16" max="16" width="18.140625" style="345" customWidth="1"/>
    <col min="17" max="243" width="11.421875" style="345" customWidth="1"/>
    <col min="244" max="244" width="1.421875" style="345" customWidth="1"/>
    <col min="245" max="245" width="22.7109375" style="345" customWidth="1"/>
    <col min="246" max="246" width="16.00390625" style="345" customWidth="1"/>
    <col min="247" max="247" width="17.421875" style="345" customWidth="1"/>
    <col min="248" max="248" width="21.421875" style="345" customWidth="1"/>
    <col min="249" max="253" width="11.421875" style="345" customWidth="1"/>
  </cols>
  <sheetData>
    <row r="1" spans="2:13" ht="18.75" customHeight="1" thickBot="1">
      <c r="B1" s="512"/>
      <c r="C1" s="512"/>
      <c r="D1" s="512"/>
      <c r="E1" s="512"/>
      <c r="F1" s="512"/>
      <c r="G1" s="512"/>
      <c r="H1" s="512"/>
      <c r="I1" s="512"/>
      <c r="J1" s="512"/>
      <c r="K1" s="512"/>
      <c r="L1" s="512"/>
      <c r="M1" s="512"/>
    </row>
    <row r="2" spans="2:13" ht="51" customHeight="1" thickBot="1">
      <c r="B2" s="701" t="s">
        <v>341</v>
      </c>
      <c r="C2" s="702"/>
      <c r="D2" s="702"/>
      <c r="E2" s="702"/>
      <c r="F2" s="702"/>
      <c r="G2" s="702"/>
      <c r="H2" s="702"/>
      <c r="I2" s="702"/>
      <c r="J2" s="702"/>
      <c r="K2" s="702"/>
      <c r="L2" s="702"/>
      <c r="M2" s="703"/>
    </row>
    <row r="3" ht="11.25" customHeight="1" thickBot="1">
      <c r="L3" s="513"/>
    </row>
    <row r="4" spans="2:13" ht="90.75" thickBot="1">
      <c r="B4" s="416" t="s">
        <v>199</v>
      </c>
      <c r="C4" s="512"/>
      <c r="D4" s="514" t="s">
        <v>344</v>
      </c>
      <c r="E4" s="514" t="s">
        <v>345</v>
      </c>
      <c r="F4" s="515"/>
      <c r="G4" s="514" t="s">
        <v>350</v>
      </c>
      <c r="H4" s="514" t="s">
        <v>349</v>
      </c>
      <c r="I4" s="515"/>
      <c r="J4" s="514" t="s">
        <v>346</v>
      </c>
      <c r="K4" s="514" t="s">
        <v>347</v>
      </c>
      <c r="L4" s="516"/>
      <c r="M4" s="514" t="s">
        <v>348</v>
      </c>
    </row>
    <row r="5" spans="1:253" ht="24" customHeight="1">
      <c r="A5" s="517"/>
      <c r="B5" s="518" t="s">
        <v>105</v>
      </c>
      <c r="C5" s="519"/>
      <c r="D5" s="520">
        <v>11.473838683613238</v>
      </c>
      <c r="E5" s="521">
        <v>0.2803041571367021</v>
      </c>
      <c r="F5" s="522"/>
      <c r="G5" s="520">
        <v>54.68195639513347</v>
      </c>
      <c r="H5" s="521">
        <v>0.015070542496729542</v>
      </c>
      <c r="I5" s="522"/>
      <c r="J5" s="520">
        <v>432.01217121124904</v>
      </c>
      <c r="K5" s="521">
        <v>0.5304830958848799</v>
      </c>
      <c r="L5" s="523"/>
      <c r="M5" s="524">
        <v>95.75822702421951</v>
      </c>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7"/>
      <c r="FB5" s="517"/>
      <c r="FC5" s="517"/>
      <c r="FD5" s="517"/>
      <c r="FE5" s="517"/>
      <c r="FF5" s="517"/>
      <c r="FG5" s="517"/>
      <c r="FH5" s="517"/>
      <c r="FI5" s="517"/>
      <c r="FJ5" s="517"/>
      <c r="FK5" s="517"/>
      <c r="FL5" s="517"/>
      <c r="FM5" s="517"/>
      <c r="FN5" s="517"/>
      <c r="FO5" s="517"/>
      <c r="FP5" s="517"/>
      <c r="FQ5" s="517"/>
      <c r="FR5" s="517"/>
      <c r="FS5" s="517"/>
      <c r="FT5" s="517"/>
      <c r="FU5" s="517"/>
      <c r="FV5" s="517"/>
      <c r="FW5" s="517"/>
      <c r="FX5" s="517"/>
      <c r="FY5" s="517"/>
      <c r="FZ5" s="517"/>
      <c r="GA5" s="517"/>
      <c r="GB5" s="517"/>
      <c r="GC5" s="517"/>
      <c r="GD5" s="517"/>
      <c r="GE5" s="517"/>
      <c r="GF5" s="517"/>
      <c r="GG5" s="517"/>
      <c r="GH5" s="517"/>
      <c r="GI5" s="517"/>
      <c r="GJ5" s="517"/>
      <c r="GK5" s="517"/>
      <c r="GL5" s="517"/>
      <c r="GM5" s="517"/>
      <c r="GN5" s="517"/>
      <c r="GO5" s="517"/>
      <c r="GP5" s="517"/>
      <c r="GQ5" s="517"/>
      <c r="GR5" s="517"/>
      <c r="GS5" s="517"/>
      <c r="GT5" s="517"/>
      <c r="GU5" s="517"/>
      <c r="GV5" s="517"/>
      <c r="GW5" s="517"/>
      <c r="GX5" s="517"/>
      <c r="GY5" s="517"/>
      <c r="GZ5" s="517"/>
      <c r="HA5" s="517"/>
      <c r="HB5" s="517"/>
      <c r="HC5" s="517"/>
      <c r="HD5" s="517"/>
      <c r="HE5" s="517"/>
      <c r="HF5" s="517"/>
      <c r="HG5" s="517"/>
      <c r="HH5" s="517"/>
      <c r="HI5" s="517"/>
      <c r="HJ5" s="517"/>
      <c r="HK5" s="517"/>
      <c r="HL5" s="517"/>
      <c r="HM5" s="517"/>
      <c r="HN5" s="517"/>
      <c r="HO5" s="517"/>
      <c r="HP5" s="517"/>
      <c r="HQ5" s="517"/>
      <c r="HR5" s="517"/>
      <c r="HS5" s="517"/>
      <c r="HT5" s="517"/>
      <c r="HU5" s="517"/>
      <c r="HV5" s="517"/>
      <c r="HW5" s="517"/>
      <c r="HX5" s="517"/>
      <c r="HY5" s="517"/>
      <c r="HZ5" s="517"/>
      <c r="IA5" s="517"/>
      <c r="IB5" s="517"/>
      <c r="IC5" s="517"/>
      <c r="ID5" s="517"/>
      <c r="IE5" s="517"/>
      <c r="IF5" s="517"/>
      <c r="IG5" s="517"/>
      <c r="IH5" s="517"/>
      <c r="II5" s="517"/>
      <c r="IJ5" s="517"/>
      <c r="IK5" s="517"/>
      <c r="IL5" s="517"/>
      <c r="IM5" s="517"/>
      <c r="IN5" s="517"/>
      <c r="IO5" s="517"/>
      <c r="IP5" s="517"/>
      <c r="IQ5" s="517"/>
      <c r="IR5" s="517"/>
      <c r="IS5" s="517"/>
    </row>
    <row r="6" spans="1:253" ht="22.5" customHeight="1">
      <c r="A6" s="517"/>
      <c r="B6" s="525" t="s">
        <v>106</v>
      </c>
      <c r="C6" s="519"/>
      <c r="D6" s="526">
        <v>1.4853538697783948</v>
      </c>
      <c r="E6" s="527">
        <v>0.03754357323340713</v>
      </c>
      <c r="F6" s="522"/>
      <c r="G6" s="526">
        <v>8.420262184911639</v>
      </c>
      <c r="H6" s="527">
        <v>0.03274609137219224</v>
      </c>
      <c r="I6" s="522"/>
      <c r="J6" s="526">
        <v>45.27457655485831</v>
      </c>
      <c r="K6" s="527">
        <v>0.6052381026032773</v>
      </c>
      <c r="L6" s="523"/>
      <c r="M6" s="528">
        <v>63.95226956821803</v>
      </c>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c r="EV6" s="517"/>
      <c r="EW6" s="517"/>
      <c r="EX6" s="517"/>
      <c r="EY6" s="517"/>
      <c r="EZ6" s="517"/>
      <c r="FA6" s="517"/>
      <c r="FB6" s="517"/>
      <c r="FC6" s="517"/>
      <c r="FD6" s="517"/>
      <c r="FE6" s="517"/>
      <c r="FF6" s="517"/>
      <c r="FG6" s="517"/>
      <c r="FH6" s="517"/>
      <c r="FI6" s="517"/>
      <c r="FJ6" s="517"/>
      <c r="FK6" s="517"/>
      <c r="FL6" s="517"/>
      <c r="FM6" s="517"/>
      <c r="FN6" s="517"/>
      <c r="FO6" s="517"/>
      <c r="FP6" s="517"/>
      <c r="FQ6" s="517"/>
      <c r="FR6" s="517"/>
      <c r="FS6" s="517"/>
      <c r="FT6" s="517"/>
      <c r="FU6" s="517"/>
      <c r="FV6" s="517"/>
      <c r="FW6" s="517"/>
      <c r="FX6" s="517"/>
      <c r="FY6" s="517"/>
      <c r="FZ6" s="517"/>
      <c r="GA6" s="517"/>
      <c r="GB6" s="517"/>
      <c r="GC6" s="517"/>
      <c r="GD6" s="517"/>
      <c r="GE6" s="517"/>
      <c r="GF6" s="517"/>
      <c r="GG6" s="517"/>
      <c r="GH6" s="517"/>
      <c r="GI6" s="517"/>
      <c r="GJ6" s="517"/>
      <c r="GK6" s="517"/>
      <c r="GL6" s="517"/>
      <c r="GM6" s="517"/>
      <c r="GN6" s="517"/>
      <c r="GO6" s="517"/>
      <c r="GP6" s="517"/>
      <c r="GQ6" s="517"/>
      <c r="GR6" s="517"/>
      <c r="GS6" s="517"/>
      <c r="GT6" s="517"/>
      <c r="GU6" s="517"/>
      <c r="GV6" s="517"/>
      <c r="GW6" s="517"/>
      <c r="GX6" s="517"/>
      <c r="GY6" s="517"/>
      <c r="GZ6" s="517"/>
      <c r="HA6" s="517"/>
      <c r="HB6" s="517"/>
      <c r="HC6" s="517"/>
      <c r="HD6" s="517"/>
      <c r="HE6" s="517"/>
      <c r="HF6" s="517"/>
      <c r="HG6" s="517"/>
      <c r="HH6" s="517"/>
      <c r="HI6" s="517"/>
      <c r="HJ6" s="517"/>
      <c r="HK6" s="517"/>
      <c r="HL6" s="517"/>
      <c r="HM6" s="517"/>
      <c r="HN6" s="517"/>
      <c r="HO6" s="517"/>
      <c r="HP6" s="517"/>
      <c r="HQ6" s="517"/>
      <c r="HR6" s="517"/>
      <c r="HS6" s="517"/>
      <c r="HT6" s="517"/>
      <c r="HU6" s="517"/>
      <c r="HV6" s="517"/>
      <c r="HW6" s="517"/>
      <c r="HX6" s="517"/>
      <c r="HY6" s="517"/>
      <c r="HZ6" s="517"/>
      <c r="IA6" s="517"/>
      <c r="IB6" s="517"/>
      <c r="IC6" s="517"/>
      <c r="ID6" s="517"/>
      <c r="IE6" s="517"/>
      <c r="IF6" s="517"/>
      <c r="IG6" s="517"/>
      <c r="IH6" s="517"/>
      <c r="II6" s="517"/>
      <c r="IJ6" s="517"/>
      <c r="IK6" s="517"/>
      <c r="IL6" s="517"/>
      <c r="IM6" s="517"/>
      <c r="IN6" s="517"/>
      <c r="IO6" s="517"/>
      <c r="IP6" s="517"/>
      <c r="IQ6" s="517"/>
      <c r="IR6" s="517"/>
      <c r="IS6" s="517"/>
    </row>
    <row r="7" spans="1:253" ht="23.25" customHeight="1">
      <c r="A7" s="517"/>
      <c r="B7" s="525" t="s">
        <v>103</v>
      </c>
      <c r="C7" s="519"/>
      <c r="D7" s="526">
        <v>4.2688235201086915</v>
      </c>
      <c r="E7" s="527">
        <v>0.13366954576440418</v>
      </c>
      <c r="F7" s="522"/>
      <c r="G7" s="526">
        <v>22.445027909696805</v>
      </c>
      <c r="H7" s="527">
        <v>0.2035945612308798</v>
      </c>
      <c r="I7" s="522"/>
      <c r="J7" s="526">
        <v>115.7346007977013</v>
      </c>
      <c r="K7" s="527">
        <v>4.060439030548359</v>
      </c>
      <c r="L7" s="523"/>
      <c r="M7" s="528">
        <v>448.6072547791628</v>
      </c>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7"/>
      <c r="EO7" s="517"/>
      <c r="EP7" s="517"/>
      <c r="EQ7" s="517"/>
      <c r="ER7" s="517"/>
      <c r="ES7" s="517"/>
      <c r="ET7" s="517"/>
      <c r="EU7" s="517"/>
      <c r="EV7" s="517"/>
      <c r="EW7" s="517"/>
      <c r="EX7" s="517"/>
      <c r="EY7" s="517"/>
      <c r="EZ7" s="517"/>
      <c r="FA7" s="517"/>
      <c r="FB7" s="517"/>
      <c r="FC7" s="517"/>
      <c r="FD7" s="517"/>
      <c r="FE7" s="517"/>
      <c r="FF7" s="517"/>
      <c r="FG7" s="517"/>
      <c r="FH7" s="517"/>
      <c r="FI7" s="517"/>
      <c r="FJ7" s="517"/>
      <c r="FK7" s="517"/>
      <c r="FL7" s="517"/>
      <c r="FM7" s="517"/>
      <c r="FN7" s="517"/>
      <c r="FO7" s="517"/>
      <c r="FP7" s="517"/>
      <c r="FQ7" s="517"/>
      <c r="FR7" s="517"/>
      <c r="FS7" s="517"/>
      <c r="FT7" s="517"/>
      <c r="FU7" s="517"/>
      <c r="FV7" s="517"/>
      <c r="FW7" s="517"/>
      <c r="FX7" s="517"/>
      <c r="FY7" s="517"/>
      <c r="FZ7" s="517"/>
      <c r="GA7" s="517"/>
      <c r="GB7" s="517"/>
      <c r="GC7" s="517"/>
      <c r="GD7" s="517"/>
      <c r="GE7" s="517"/>
      <c r="GF7" s="517"/>
      <c r="GG7" s="517"/>
      <c r="GH7" s="517"/>
      <c r="GI7" s="517"/>
      <c r="GJ7" s="517"/>
      <c r="GK7" s="517"/>
      <c r="GL7" s="517"/>
      <c r="GM7" s="517"/>
      <c r="GN7" s="517"/>
      <c r="GO7" s="517"/>
      <c r="GP7" s="517"/>
      <c r="GQ7" s="517"/>
      <c r="GR7" s="517"/>
      <c r="GS7" s="517"/>
      <c r="GT7" s="517"/>
      <c r="GU7" s="517"/>
      <c r="GV7" s="517"/>
      <c r="GW7" s="517"/>
      <c r="GX7" s="517"/>
      <c r="GY7" s="517"/>
      <c r="GZ7" s="517"/>
      <c r="HA7" s="517"/>
      <c r="HB7" s="517"/>
      <c r="HC7" s="517"/>
      <c r="HD7" s="517"/>
      <c r="HE7" s="517"/>
      <c r="HF7" s="517"/>
      <c r="HG7" s="517"/>
      <c r="HH7" s="517"/>
      <c r="HI7" s="517"/>
      <c r="HJ7" s="517"/>
      <c r="HK7" s="517"/>
      <c r="HL7" s="517"/>
      <c r="HM7" s="517"/>
      <c r="HN7" s="517"/>
      <c r="HO7" s="517"/>
      <c r="HP7" s="517"/>
      <c r="HQ7" s="517"/>
      <c r="HR7" s="517"/>
      <c r="HS7" s="517"/>
      <c r="HT7" s="517"/>
      <c r="HU7" s="517"/>
      <c r="HV7" s="517"/>
      <c r="HW7" s="517"/>
      <c r="HX7" s="517"/>
      <c r="HY7" s="517"/>
      <c r="HZ7" s="517"/>
      <c r="IA7" s="517"/>
      <c r="IB7" s="517"/>
      <c r="IC7" s="517"/>
      <c r="ID7" s="517"/>
      <c r="IE7" s="517"/>
      <c r="IF7" s="517"/>
      <c r="IG7" s="517"/>
      <c r="IH7" s="517"/>
      <c r="II7" s="517"/>
      <c r="IJ7" s="517"/>
      <c r="IK7" s="517"/>
      <c r="IL7" s="517"/>
      <c r="IM7" s="517"/>
      <c r="IN7" s="517"/>
      <c r="IO7" s="517"/>
      <c r="IP7" s="517"/>
      <c r="IQ7" s="517"/>
      <c r="IR7" s="517"/>
      <c r="IS7" s="517"/>
    </row>
    <row r="8" spans="1:253" ht="25.5" customHeight="1" thickBot="1">
      <c r="A8" s="517"/>
      <c r="B8" s="529" t="s">
        <v>104</v>
      </c>
      <c r="C8" s="519"/>
      <c r="D8" s="530">
        <v>12.158429776665201</v>
      </c>
      <c r="E8" s="531">
        <v>0.47839278187997336</v>
      </c>
      <c r="F8" s="522"/>
      <c r="G8" s="530">
        <v>131.227677960905</v>
      </c>
      <c r="H8" s="531">
        <v>1.5583140553449812</v>
      </c>
      <c r="I8" s="522"/>
      <c r="J8" s="530">
        <v>675.5795272802129</v>
      </c>
      <c r="K8" s="531">
        <v>103.01877462532084</v>
      </c>
      <c r="L8" s="523"/>
      <c r="M8" s="532">
        <v>4259.344665959367</v>
      </c>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c r="CL8" s="517"/>
      <c r="CM8" s="517"/>
      <c r="CN8" s="517"/>
      <c r="CO8" s="517"/>
      <c r="CP8" s="517"/>
      <c r="CQ8" s="517"/>
      <c r="CR8" s="517"/>
      <c r="CS8" s="517"/>
      <c r="CT8" s="517"/>
      <c r="CU8" s="517"/>
      <c r="CV8" s="517"/>
      <c r="CW8" s="517"/>
      <c r="CX8" s="517"/>
      <c r="CY8" s="517"/>
      <c r="CZ8" s="517"/>
      <c r="DA8" s="517"/>
      <c r="DB8" s="517"/>
      <c r="DC8" s="517"/>
      <c r="DD8" s="517"/>
      <c r="DE8" s="517"/>
      <c r="DF8" s="517"/>
      <c r="DG8" s="517"/>
      <c r="DH8" s="517"/>
      <c r="DI8" s="517"/>
      <c r="DJ8" s="517"/>
      <c r="DK8" s="517"/>
      <c r="DL8" s="517"/>
      <c r="DM8" s="517"/>
      <c r="DN8" s="517"/>
      <c r="DO8" s="517"/>
      <c r="DP8" s="517"/>
      <c r="DQ8" s="517"/>
      <c r="DR8" s="517"/>
      <c r="DS8" s="517"/>
      <c r="DT8" s="517"/>
      <c r="DU8" s="517"/>
      <c r="DV8" s="517"/>
      <c r="DW8" s="517"/>
      <c r="DX8" s="517"/>
      <c r="DY8" s="517"/>
      <c r="DZ8" s="517"/>
      <c r="EA8" s="517"/>
      <c r="EB8" s="517"/>
      <c r="EC8" s="517"/>
      <c r="ED8" s="517"/>
      <c r="EE8" s="517"/>
      <c r="EF8" s="517"/>
      <c r="EG8" s="517"/>
      <c r="EH8" s="517"/>
      <c r="EI8" s="517"/>
      <c r="EJ8" s="517"/>
      <c r="EK8" s="517"/>
      <c r="EL8" s="517"/>
      <c r="EM8" s="517"/>
      <c r="EN8" s="517"/>
      <c r="EO8" s="517"/>
      <c r="EP8" s="517"/>
      <c r="EQ8" s="517"/>
      <c r="ER8" s="517"/>
      <c r="ES8" s="517"/>
      <c r="ET8" s="517"/>
      <c r="EU8" s="517"/>
      <c r="EV8" s="517"/>
      <c r="EW8" s="517"/>
      <c r="EX8" s="517"/>
      <c r="EY8" s="517"/>
      <c r="EZ8" s="517"/>
      <c r="FA8" s="517"/>
      <c r="FB8" s="517"/>
      <c r="FC8" s="517"/>
      <c r="FD8" s="517"/>
      <c r="FE8" s="517"/>
      <c r="FF8" s="517"/>
      <c r="FG8" s="517"/>
      <c r="FH8" s="517"/>
      <c r="FI8" s="517"/>
      <c r="FJ8" s="517"/>
      <c r="FK8" s="517"/>
      <c r="FL8" s="517"/>
      <c r="FM8" s="517"/>
      <c r="FN8" s="517"/>
      <c r="FO8" s="517"/>
      <c r="FP8" s="517"/>
      <c r="FQ8" s="517"/>
      <c r="FR8" s="517"/>
      <c r="FS8" s="517"/>
      <c r="FT8" s="517"/>
      <c r="FU8" s="517"/>
      <c r="FV8" s="517"/>
      <c r="FW8" s="517"/>
      <c r="FX8" s="517"/>
      <c r="FY8" s="517"/>
      <c r="FZ8" s="517"/>
      <c r="GA8" s="517"/>
      <c r="GB8" s="517"/>
      <c r="GC8" s="517"/>
      <c r="GD8" s="517"/>
      <c r="GE8" s="517"/>
      <c r="GF8" s="517"/>
      <c r="GG8" s="517"/>
      <c r="GH8" s="517"/>
      <c r="GI8" s="517"/>
      <c r="GJ8" s="517"/>
      <c r="GK8" s="517"/>
      <c r="GL8" s="517"/>
      <c r="GM8" s="517"/>
      <c r="GN8" s="517"/>
      <c r="GO8" s="517"/>
      <c r="GP8" s="517"/>
      <c r="GQ8" s="517"/>
      <c r="GR8" s="517"/>
      <c r="GS8" s="517"/>
      <c r="GT8" s="517"/>
      <c r="GU8" s="517"/>
      <c r="GV8" s="517"/>
      <c r="GW8" s="517"/>
      <c r="GX8" s="517"/>
      <c r="GY8" s="517"/>
      <c r="GZ8" s="517"/>
      <c r="HA8" s="517"/>
      <c r="HB8" s="517"/>
      <c r="HC8" s="517"/>
      <c r="HD8" s="517"/>
      <c r="HE8" s="517"/>
      <c r="HF8" s="517"/>
      <c r="HG8" s="517"/>
      <c r="HH8" s="517"/>
      <c r="HI8" s="517"/>
      <c r="HJ8" s="517"/>
      <c r="HK8" s="517"/>
      <c r="HL8" s="517"/>
      <c r="HM8" s="517"/>
      <c r="HN8" s="517"/>
      <c r="HO8" s="517"/>
      <c r="HP8" s="517"/>
      <c r="HQ8" s="517"/>
      <c r="HR8" s="517"/>
      <c r="HS8" s="517"/>
      <c r="HT8" s="517"/>
      <c r="HU8" s="517"/>
      <c r="HV8" s="517"/>
      <c r="HW8" s="517"/>
      <c r="HX8" s="517"/>
      <c r="HY8" s="517"/>
      <c r="HZ8" s="517"/>
      <c r="IA8" s="517"/>
      <c r="IB8" s="517"/>
      <c r="IC8" s="517"/>
      <c r="ID8" s="517"/>
      <c r="IE8" s="517"/>
      <c r="IF8" s="517"/>
      <c r="IG8" s="517"/>
      <c r="IH8" s="517"/>
      <c r="II8" s="517"/>
      <c r="IJ8" s="517"/>
      <c r="IK8" s="517"/>
      <c r="IL8" s="517"/>
      <c r="IM8" s="517"/>
      <c r="IN8" s="517"/>
      <c r="IO8" s="517"/>
      <c r="IP8" s="517"/>
      <c r="IQ8" s="517"/>
      <c r="IR8" s="517"/>
      <c r="IS8" s="517"/>
    </row>
    <row r="9" spans="2:13" ht="30" customHeight="1" thickBot="1">
      <c r="B9" s="533" t="s">
        <v>30</v>
      </c>
      <c r="C9" s="534"/>
      <c r="D9" s="535">
        <v>4.753847915761815</v>
      </c>
      <c r="E9" s="536">
        <v>0.1475133722702532</v>
      </c>
      <c r="F9" s="537"/>
      <c r="G9" s="535">
        <v>34.93798924757768</v>
      </c>
      <c r="H9" s="536">
        <v>0.33138187634759325</v>
      </c>
      <c r="I9" s="537"/>
      <c r="J9" s="535">
        <v>188.56513262513454</v>
      </c>
      <c r="K9" s="536">
        <v>18.788422140659243</v>
      </c>
      <c r="L9" s="523"/>
      <c r="M9" s="538">
        <v>868.8663523152466</v>
      </c>
    </row>
    <row r="10" spans="2:12" ht="8.25" customHeight="1">
      <c r="B10" s="539"/>
      <c r="F10" s="346"/>
      <c r="G10" s="346"/>
      <c r="H10" s="346"/>
      <c r="I10" s="346"/>
      <c r="L10" s="513"/>
    </row>
    <row r="11" spans="2:13" ht="42.75" customHeight="1">
      <c r="B11" s="704" t="s">
        <v>343</v>
      </c>
      <c r="C11" s="704"/>
      <c r="D11" s="704"/>
      <c r="E11" s="704"/>
      <c r="F11" s="704"/>
      <c r="G11" s="704"/>
      <c r="H11" s="704"/>
      <c r="I11" s="704"/>
      <c r="J11" s="704"/>
      <c r="K11" s="704"/>
      <c r="L11" s="704"/>
      <c r="M11" s="704"/>
    </row>
    <row r="12" spans="2:13" ht="44.25" customHeight="1">
      <c r="B12" s="705" t="s">
        <v>326</v>
      </c>
      <c r="C12" s="706"/>
      <c r="D12" s="706"/>
      <c r="E12" s="706"/>
      <c r="F12" s="706"/>
      <c r="G12" s="706"/>
      <c r="H12" s="706"/>
      <c r="I12" s="706"/>
      <c r="J12" s="706"/>
      <c r="K12" s="706"/>
      <c r="L12" s="706"/>
      <c r="M12" s="707"/>
    </row>
    <row r="13" spans="2:13" ht="45.75" customHeight="1">
      <c r="B13" s="708" t="s">
        <v>342</v>
      </c>
      <c r="C13" s="709"/>
      <c r="D13" s="709"/>
      <c r="E13" s="709"/>
      <c r="F13" s="709"/>
      <c r="G13" s="709"/>
      <c r="H13" s="709"/>
      <c r="I13" s="709"/>
      <c r="J13" s="709"/>
      <c r="K13" s="709"/>
      <c r="L13" s="709"/>
      <c r="M13" s="710"/>
    </row>
  </sheetData>
  <sheetProtection/>
  <mergeCells count="4">
    <mergeCell ref="B2:M2"/>
    <mergeCell ref="B11:M11"/>
    <mergeCell ref="B12:M12"/>
    <mergeCell ref="B13:M1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U32"/>
  <sheetViews>
    <sheetView zoomScalePageLayoutView="0" workbookViewId="0" topLeftCell="A1">
      <selection activeCell="I28" sqref="I28"/>
    </sheetView>
  </sheetViews>
  <sheetFormatPr defaultColWidth="11.421875" defaultRowHeight="12.75"/>
  <cols>
    <col min="1" max="1" width="25.28125" style="0" customWidth="1"/>
    <col min="2" max="2" width="17.28125" style="0" customWidth="1"/>
    <col min="3" max="3" width="10.7109375" style="0" customWidth="1"/>
    <col min="4" max="4" width="9.421875" style="0" customWidth="1"/>
    <col min="5" max="5" width="6.140625" style="0" customWidth="1"/>
    <col min="6" max="6" width="12.421875" style="0" customWidth="1"/>
    <col min="10" max="10" width="21.140625" style="0" customWidth="1"/>
  </cols>
  <sheetData>
    <row r="1" ht="13.5" thickBot="1"/>
    <row r="2" spans="1:9" ht="19.5" thickBot="1">
      <c r="A2" s="711" t="s">
        <v>287</v>
      </c>
      <c r="B2" s="712"/>
      <c r="C2" s="712"/>
      <c r="D2" s="712"/>
      <c r="E2" s="712"/>
      <c r="F2" s="712"/>
      <c r="G2" s="712"/>
      <c r="H2" s="712"/>
      <c r="I2" s="713"/>
    </row>
    <row r="3" spans="1:9" ht="26.25" customHeight="1">
      <c r="A3" s="714" t="s">
        <v>353</v>
      </c>
      <c r="B3" s="715"/>
      <c r="C3" s="715"/>
      <c r="D3" s="715"/>
      <c r="E3" s="715"/>
      <c r="F3" s="715"/>
      <c r="G3" s="715"/>
      <c r="H3" s="715"/>
      <c r="I3" s="716"/>
    </row>
    <row r="4" spans="1:9" ht="18.75" thickBot="1">
      <c r="A4" s="563"/>
      <c r="B4" s="563"/>
      <c r="C4" s="563"/>
      <c r="D4" s="563"/>
      <c r="E4" s="563"/>
      <c r="F4" s="563"/>
      <c r="G4" s="563"/>
      <c r="H4" s="563"/>
      <c r="I4" s="563"/>
    </row>
    <row r="5" spans="1:8" s="568" customFormat="1" ht="16.5" customHeight="1">
      <c r="A5" s="564" t="s">
        <v>354</v>
      </c>
      <c r="B5" s="565" t="s">
        <v>355</v>
      </c>
      <c r="C5" s="566"/>
      <c r="D5" s="566"/>
      <c r="E5" s="566"/>
      <c r="F5" s="566"/>
      <c r="G5" s="566"/>
      <c r="H5" s="567"/>
    </row>
    <row r="6" spans="1:8" s="568" customFormat="1" ht="16.5" customHeight="1">
      <c r="A6" s="569" t="s">
        <v>356</v>
      </c>
      <c r="B6" s="570">
        <v>0.0012</v>
      </c>
      <c r="C6" s="571" t="s">
        <v>357</v>
      </c>
      <c r="D6" s="572">
        <v>2</v>
      </c>
      <c r="E6" s="573" t="s">
        <v>312</v>
      </c>
      <c r="F6" s="574"/>
      <c r="G6" s="575" t="s">
        <v>358</v>
      </c>
      <c r="H6" s="576">
        <f>D6*B6</f>
        <v>0.0024</v>
      </c>
    </row>
    <row r="7" spans="1:8" s="568" customFormat="1" ht="16.5" customHeight="1">
      <c r="A7" s="577" t="s">
        <v>359</v>
      </c>
      <c r="B7" s="578">
        <v>0.52</v>
      </c>
      <c r="C7" s="579"/>
      <c r="D7" s="579"/>
      <c r="E7" s="579"/>
      <c r="F7" s="579"/>
      <c r="G7" s="579"/>
      <c r="H7" s="580"/>
    </row>
    <row r="8" spans="1:8" s="568" customFormat="1" ht="15.75" thickBot="1">
      <c r="A8" s="581" t="s">
        <v>360</v>
      </c>
      <c r="B8" s="582">
        <f>H6*B7</f>
        <v>0.001248</v>
      </c>
      <c r="C8" s="583"/>
      <c r="D8" s="583"/>
      <c r="E8" s="583"/>
      <c r="F8" s="583"/>
      <c r="G8" s="583"/>
      <c r="H8" s="584"/>
    </row>
    <row r="9" s="568" customFormat="1" ht="15.75" thickBot="1">
      <c r="A9" s="585"/>
    </row>
    <row r="10" spans="1:8" s="590" customFormat="1" ht="15.75" hidden="1" thickBot="1">
      <c r="A10" s="586"/>
      <c r="B10" s="587"/>
      <c r="C10" s="588"/>
      <c r="D10" s="589"/>
      <c r="F10" s="568"/>
      <c r="G10" s="568"/>
      <c r="H10" s="568"/>
    </row>
    <row r="11" spans="1:21" s="592" customFormat="1" ht="15.75" hidden="1" thickBot="1">
      <c r="A11" s="591" t="s">
        <v>294</v>
      </c>
      <c r="N11" s="590"/>
      <c r="O11" s="590"/>
      <c r="T11" s="590"/>
      <c r="U11" s="590"/>
    </row>
    <row r="12" spans="1:21" s="592" customFormat="1" ht="15.75" hidden="1" thickBot="1">
      <c r="A12" s="592" t="s">
        <v>295</v>
      </c>
      <c r="C12" s="593" t="s">
        <v>296</v>
      </c>
      <c r="N12" s="590"/>
      <c r="O12" s="590"/>
      <c r="T12" s="590"/>
      <c r="U12" s="590"/>
    </row>
    <row r="13" spans="1:21" s="592" customFormat="1" ht="27" customHeight="1" hidden="1">
      <c r="A13" s="594" t="s">
        <v>297</v>
      </c>
      <c r="C13" s="593"/>
      <c r="F13" s="593" t="s">
        <v>298</v>
      </c>
      <c r="N13" s="590"/>
      <c r="O13" s="590"/>
      <c r="T13" s="590"/>
      <c r="U13" s="590"/>
    </row>
    <row r="14" spans="1:21" s="592" customFormat="1" ht="26.25" customHeight="1" thickBot="1">
      <c r="A14" s="717" t="s">
        <v>299</v>
      </c>
      <c r="B14" s="718"/>
      <c r="C14" s="718"/>
      <c r="D14" s="719"/>
      <c r="E14" s="585"/>
      <c r="F14" s="483" t="s">
        <v>313</v>
      </c>
      <c r="G14" s="484"/>
      <c r="H14" s="484"/>
      <c r="I14" s="484"/>
      <c r="J14" s="484"/>
      <c r="N14" s="590"/>
      <c r="O14" s="590"/>
      <c r="T14" s="590"/>
      <c r="U14" s="590"/>
    </row>
    <row r="15" spans="1:21" s="592" customFormat="1" ht="15.75">
      <c r="A15" s="595" t="s">
        <v>92</v>
      </c>
      <c r="B15" s="596">
        <f>H6</f>
        <v>0.0024</v>
      </c>
      <c r="C15" s="597" t="s">
        <v>300</v>
      </c>
      <c r="D15" s="598">
        <f>1-B15</f>
        <v>0.9976</v>
      </c>
      <c r="E15" s="585"/>
      <c r="F15" s="485" t="s">
        <v>301</v>
      </c>
      <c r="G15" s="486"/>
      <c r="H15" s="484"/>
      <c r="I15" s="484"/>
      <c r="J15" s="484"/>
      <c r="N15" s="590"/>
      <c r="O15" s="590"/>
      <c r="T15" s="590"/>
      <c r="U15" s="590"/>
    </row>
    <row r="16" spans="1:21" s="592" customFormat="1" ht="15.75">
      <c r="A16" s="599" t="s">
        <v>302</v>
      </c>
      <c r="B16" s="600">
        <f>B8</f>
        <v>0.001248</v>
      </c>
      <c r="C16" s="601" t="s">
        <v>303</v>
      </c>
      <c r="D16" s="602">
        <f>1-B16</f>
        <v>0.998752</v>
      </c>
      <c r="E16" s="585"/>
      <c r="F16" s="487" t="s">
        <v>304</v>
      </c>
      <c r="G16" s="486"/>
      <c r="H16" s="484"/>
      <c r="I16" s="484"/>
      <c r="J16" s="484"/>
      <c r="N16" s="590"/>
      <c r="O16" s="590"/>
      <c r="T16" s="590"/>
      <c r="U16" s="590"/>
    </row>
    <row r="17" spans="1:21" s="592" customFormat="1" ht="15.75">
      <c r="A17" s="604" t="s">
        <v>305</v>
      </c>
      <c r="B17" s="605">
        <f>(B15+B16)/2</f>
        <v>0.0018239999999999999</v>
      </c>
      <c r="C17" s="601" t="s">
        <v>306</v>
      </c>
      <c r="D17" s="602">
        <f>1-B17</f>
        <v>0.998176</v>
      </c>
      <c r="E17" s="585"/>
      <c r="F17" s="484"/>
      <c r="G17" s="484"/>
      <c r="H17" s="488"/>
      <c r="I17" s="484"/>
      <c r="J17" s="484"/>
      <c r="N17" s="590"/>
      <c r="O17" s="590"/>
      <c r="T17" s="590"/>
      <c r="U17" s="590"/>
    </row>
    <row r="18" spans="1:21" s="592" customFormat="1" ht="15.75">
      <c r="A18" s="606" t="s">
        <v>288</v>
      </c>
      <c r="B18" s="607">
        <v>0.05</v>
      </c>
      <c r="C18" s="608" t="s">
        <v>289</v>
      </c>
      <c r="D18" s="602">
        <f>-NORMSINV((B18*100/2)/100)</f>
        <v>1.9599639845400538</v>
      </c>
      <c r="E18" s="585"/>
      <c r="F18" s="489" t="s">
        <v>307</v>
      </c>
      <c r="G18" s="490"/>
      <c r="H18" s="491"/>
      <c r="I18" s="490"/>
      <c r="J18" s="492"/>
      <c r="N18" s="590"/>
      <c r="O18" s="590"/>
      <c r="T18" s="590"/>
      <c r="U18" s="590"/>
    </row>
    <row r="19" spans="1:21" s="592" customFormat="1" ht="15.75">
      <c r="A19" s="606" t="s">
        <v>290</v>
      </c>
      <c r="B19" s="607">
        <v>0.1</v>
      </c>
      <c r="C19" s="608" t="s">
        <v>291</v>
      </c>
      <c r="D19" s="602">
        <f>-NORMSINV(B19)</f>
        <v>1.2815515655446006</v>
      </c>
      <c r="E19" s="585"/>
      <c r="F19" s="493">
        <f>B15*B22</f>
        <v>69.19439999999999</v>
      </c>
      <c r="G19" s="494" t="s">
        <v>308</v>
      </c>
      <c r="H19" s="495"/>
      <c r="I19" s="496"/>
      <c r="J19" s="497"/>
      <c r="N19" s="590"/>
      <c r="O19" s="590"/>
      <c r="T19" s="590"/>
      <c r="U19" s="590"/>
    </row>
    <row r="20" spans="1:21" s="592" customFormat="1" ht="15.75">
      <c r="A20" s="606" t="s">
        <v>309</v>
      </c>
      <c r="B20" s="605">
        <f>2*B17*D17*(D18+D19)^2</f>
        <v>0.03826116343944085</v>
      </c>
      <c r="C20" s="609"/>
      <c r="D20" s="610"/>
      <c r="E20" s="585"/>
      <c r="F20" s="498">
        <f>B16*B22</f>
        <v>35.981088</v>
      </c>
      <c r="G20" s="499" t="s">
        <v>314</v>
      </c>
      <c r="H20" s="490"/>
      <c r="I20" s="490"/>
      <c r="J20" s="492"/>
      <c r="N20" s="590"/>
      <c r="O20" s="590"/>
      <c r="T20" s="590"/>
      <c r="U20" s="590"/>
    </row>
    <row r="21" spans="1:21" s="592" customFormat="1" ht="15.75">
      <c r="A21" s="606" t="s">
        <v>310</v>
      </c>
      <c r="B21" s="611">
        <f>(B15-B16)^2</f>
        <v>1.3271039999999997E-06</v>
      </c>
      <c r="C21" s="573"/>
      <c r="D21" s="610"/>
      <c r="E21" s="585"/>
      <c r="F21" s="500">
        <f>SUM(F19:F20)</f>
        <v>105.17548799999999</v>
      </c>
      <c r="G21" s="501" t="s">
        <v>311</v>
      </c>
      <c r="H21" s="490"/>
      <c r="I21" s="490"/>
      <c r="J21" s="492"/>
      <c r="N21" s="590"/>
      <c r="O21" s="590"/>
      <c r="T21" s="590"/>
      <c r="U21" s="590"/>
    </row>
    <row r="22" spans="1:21" s="592" customFormat="1" ht="15">
      <c r="A22" s="612" t="s">
        <v>292</v>
      </c>
      <c r="B22" s="613">
        <f>ROUNDUP(B20/B21,0)</f>
        <v>28831</v>
      </c>
      <c r="C22" s="614"/>
      <c r="D22" s="610"/>
      <c r="E22" s="585"/>
      <c r="F22" s="615"/>
      <c r="G22" s="616"/>
      <c r="H22" s="615"/>
      <c r="I22" s="585"/>
      <c r="J22" s="585"/>
      <c r="N22" s="590"/>
      <c r="O22" s="590"/>
      <c r="T22" s="590"/>
      <c r="U22" s="590"/>
    </row>
    <row r="23" spans="1:21" s="592" customFormat="1" ht="15.75" thickBot="1">
      <c r="A23" s="617" t="s">
        <v>293</v>
      </c>
      <c r="B23" s="618">
        <f>B22*2</f>
        <v>57662</v>
      </c>
      <c r="C23" s="619"/>
      <c r="D23" s="620"/>
      <c r="E23" s="585"/>
      <c r="F23" s="585"/>
      <c r="G23" s="585"/>
      <c r="H23" s="621"/>
      <c r="I23" s="585"/>
      <c r="J23" s="585"/>
      <c r="N23" s="590"/>
      <c r="O23" s="590"/>
      <c r="T23" s="590"/>
      <c r="U23" s="590"/>
    </row>
    <row r="24" spans="1:10" s="568" customFormat="1" ht="9" customHeight="1">
      <c r="A24" s="585"/>
      <c r="B24" s="585"/>
      <c r="C24" s="585"/>
      <c r="D24" s="585"/>
      <c r="E24" s="585"/>
      <c r="F24" s="585"/>
      <c r="G24" s="622"/>
      <c r="H24" s="585"/>
      <c r="I24" s="585"/>
      <c r="J24" s="585"/>
    </row>
    <row r="25" spans="1:10" s="568" customFormat="1" ht="15">
      <c r="A25" s="603" t="s">
        <v>361</v>
      </c>
      <c r="B25" s="615"/>
      <c r="C25" s="603" t="s">
        <v>362</v>
      </c>
      <c r="D25" s="585"/>
      <c r="E25" s="585"/>
      <c r="F25" s="585"/>
      <c r="G25" s="585"/>
      <c r="H25" s="585"/>
      <c r="I25" s="585"/>
      <c r="J25" s="585"/>
    </row>
    <row r="26" spans="1:10" s="568" customFormat="1" ht="6.75" customHeight="1">
      <c r="A26" s="585"/>
      <c r="B26" s="585"/>
      <c r="C26" s="585"/>
      <c r="D26" s="585"/>
      <c r="E26" s="585"/>
      <c r="F26" s="585"/>
      <c r="G26" s="585"/>
      <c r="H26" s="585"/>
      <c r="I26" s="585"/>
      <c r="J26" s="585"/>
    </row>
    <row r="27" spans="1:10" s="568" customFormat="1" ht="15">
      <c r="A27" s="623" t="s">
        <v>363</v>
      </c>
      <c r="B27" s="624">
        <v>0.05</v>
      </c>
      <c r="C27" s="372" t="s">
        <v>364</v>
      </c>
      <c r="D27" s="625">
        <f>B22*1/(1-B27)</f>
        <v>30348.42105263158</v>
      </c>
      <c r="H27" s="585"/>
      <c r="I27" s="585"/>
      <c r="J27" s="585"/>
    </row>
    <row r="28" spans="8:10" ht="12.75">
      <c r="H28" s="1"/>
      <c r="I28" s="1"/>
      <c r="J28" s="1"/>
    </row>
    <row r="29" spans="8:10" ht="12.75">
      <c r="H29" s="1"/>
      <c r="I29" s="1"/>
      <c r="J29" s="1"/>
    </row>
    <row r="30" spans="8:17" ht="12.75">
      <c r="H30" s="1"/>
      <c r="I30" s="7"/>
      <c r="J30" s="7"/>
      <c r="K30" s="626"/>
      <c r="L30" s="626"/>
      <c r="M30" s="626"/>
      <c r="N30" s="626"/>
      <c r="O30" s="626"/>
      <c r="P30" s="626"/>
      <c r="Q30" s="626"/>
    </row>
    <row r="31" spans="9:17" ht="12.75">
      <c r="I31" s="627"/>
      <c r="J31" s="628"/>
      <c r="K31" s="629"/>
      <c r="L31" s="627"/>
      <c r="M31" s="627"/>
      <c r="N31" s="628"/>
      <c r="O31" s="627"/>
      <c r="P31" s="627"/>
      <c r="Q31" s="630"/>
    </row>
    <row r="32" spans="4:17" ht="12.75">
      <c r="D32" s="631"/>
      <c r="I32" s="632"/>
      <c r="J32" s="633"/>
      <c r="K32" s="634"/>
      <c r="L32" s="635"/>
      <c r="M32" s="635"/>
      <c r="N32" s="635"/>
      <c r="O32" s="636"/>
      <c r="P32" s="635"/>
      <c r="Q32" s="637"/>
    </row>
  </sheetData>
  <sheetProtection/>
  <mergeCells count="3">
    <mergeCell ref="A2:I2"/>
    <mergeCell ref="A3:I3"/>
    <mergeCell ref="A14:D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E22"/>
  <sheetViews>
    <sheetView zoomScalePageLayoutView="0" workbookViewId="0" topLeftCell="A1">
      <selection activeCell="E11" sqref="E11"/>
    </sheetView>
  </sheetViews>
  <sheetFormatPr defaultColWidth="11.421875" defaultRowHeight="12.75"/>
  <cols>
    <col min="1" max="1" width="3.57421875" style="1" customWidth="1"/>
    <col min="2" max="2" width="73.00390625" style="1" customWidth="1"/>
    <col min="3" max="4" width="20.8515625" style="1" customWidth="1"/>
    <col min="5" max="5" width="23.00390625" style="1" customWidth="1"/>
    <col min="6" max="6" width="22.140625" style="1" customWidth="1"/>
    <col min="7" max="7" width="2.140625" style="11" customWidth="1"/>
    <col min="8" max="8" width="18.7109375" style="1" customWidth="1"/>
    <col min="9" max="9" width="19.00390625" style="172" customWidth="1"/>
    <col min="10" max="10" width="11.421875" style="1" customWidth="1"/>
    <col min="11" max="11" width="14.7109375" style="1" customWidth="1"/>
    <col min="12" max="12" width="15.140625" style="1" customWidth="1"/>
    <col min="13" max="16384" width="11.421875" style="1" customWidth="1"/>
  </cols>
  <sheetData>
    <row r="2" ht="18" customHeight="1">
      <c r="B2" s="726" t="s">
        <v>374</v>
      </c>
    </row>
    <row r="3" ht="13.5" thickBot="1"/>
    <row r="4" spans="2:4" ht="39.75" customHeight="1" thickBot="1">
      <c r="B4" s="720" t="s">
        <v>340</v>
      </c>
      <c r="C4" s="721"/>
      <c r="D4" s="722"/>
    </row>
    <row r="5" spans="2:4" ht="18.75">
      <c r="B5" s="558"/>
      <c r="C5" s="504"/>
      <c r="D5" s="504"/>
    </row>
    <row r="6" spans="2:4" ht="37.5" customHeight="1">
      <c r="B6" s="723" t="s">
        <v>352</v>
      </c>
      <c r="C6" s="724"/>
      <c r="D6" s="725"/>
    </row>
    <row r="7" spans="2:4" ht="56.25">
      <c r="B7" s="505"/>
      <c r="C7" s="559" t="s">
        <v>338</v>
      </c>
      <c r="D7" s="559" t="s">
        <v>339</v>
      </c>
    </row>
    <row r="8" spans="1:5" ht="18.75">
      <c r="A8" s="17"/>
      <c r="B8" s="505" t="s">
        <v>368</v>
      </c>
      <c r="C8" s="506"/>
      <c r="D8" s="506"/>
      <c r="E8" s="17"/>
    </row>
    <row r="9" spans="2:4" ht="18.75">
      <c r="B9" s="507" t="s">
        <v>323</v>
      </c>
      <c r="C9" s="510">
        <v>17037.37866383747</v>
      </c>
      <c r="D9" s="510">
        <v>17037.37866383747</v>
      </c>
    </row>
    <row r="10" spans="2:4" ht="18.75">
      <c r="B10" s="507" t="s">
        <v>321</v>
      </c>
      <c r="C10" s="510">
        <v>1.7418568193694477</v>
      </c>
      <c r="D10" s="510">
        <v>1.7418568193694477</v>
      </c>
    </row>
    <row r="11" spans="2:4" ht="18.75">
      <c r="B11" s="507" t="s">
        <v>322</v>
      </c>
      <c r="C11" s="510">
        <v>6.233256221379925</v>
      </c>
      <c r="D11" s="510">
        <v>6.233256221379925</v>
      </c>
    </row>
    <row r="12" spans="2:4" ht="18.75">
      <c r="B12" s="561"/>
      <c r="C12" s="562"/>
      <c r="D12" s="562"/>
    </row>
    <row r="13" spans="2:4" ht="18.75">
      <c r="B13" s="507" t="s">
        <v>324</v>
      </c>
      <c r="C13" s="510">
        <v>48.6337191066608</v>
      </c>
      <c r="D13" s="510">
        <v>25</v>
      </c>
    </row>
    <row r="14" spans="2:4" ht="18.75">
      <c r="B14" s="507" t="s">
        <v>325</v>
      </c>
      <c r="C14" s="510">
        <v>525</v>
      </c>
      <c r="D14" s="510">
        <v>410</v>
      </c>
    </row>
    <row r="15" spans="2:5" ht="37.5">
      <c r="B15" s="555" t="s">
        <v>328</v>
      </c>
      <c r="C15" s="510" t="s">
        <v>329</v>
      </c>
      <c r="D15" s="510" t="s">
        <v>329</v>
      </c>
      <c r="E15" s="508">
        <f>(2567+2702)/2</f>
        <v>2634.5</v>
      </c>
    </row>
    <row r="16" spans="2:4" ht="18.75">
      <c r="B16" s="556"/>
      <c r="C16" s="557"/>
      <c r="D16" s="557"/>
    </row>
    <row r="17" spans="2:4" ht="18.75">
      <c r="B17" s="505" t="s">
        <v>365</v>
      </c>
      <c r="C17" s="509"/>
      <c r="D17" s="509"/>
    </row>
    <row r="18" spans="2:4" ht="49.5" customHeight="1">
      <c r="B18" s="555" t="s">
        <v>337</v>
      </c>
      <c r="C18" s="640" t="s">
        <v>367</v>
      </c>
      <c r="D18" s="510">
        <v>774</v>
      </c>
    </row>
    <row r="19" spans="2:4" ht="15.75" customHeight="1">
      <c r="B19" s="638"/>
      <c r="C19" s="639"/>
      <c r="D19" s="562"/>
    </row>
    <row r="20" spans="2:4" ht="18.75">
      <c r="B20" s="505" t="s">
        <v>366</v>
      </c>
      <c r="C20" s="509"/>
      <c r="D20" s="509"/>
    </row>
    <row r="21" spans="2:4" ht="41.25" customHeight="1">
      <c r="B21" s="642" t="s">
        <v>370</v>
      </c>
      <c r="C21" s="511">
        <v>0</v>
      </c>
      <c r="D21" s="641" t="s">
        <v>369</v>
      </c>
    </row>
    <row r="22" ht="12.75">
      <c r="D22" s="560"/>
    </row>
  </sheetData>
  <sheetProtection/>
  <mergeCells count="2">
    <mergeCell ref="B4:D4"/>
    <mergeCell ref="B6:D6"/>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2016-01-30T08:21:54Z</cp:lastPrinted>
  <dcterms:created xsi:type="dcterms:W3CDTF">2009-05-28T14:19:22Z</dcterms:created>
  <dcterms:modified xsi:type="dcterms:W3CDTF">2016-12-07T13:57:07Z</dcterms:modified>
  <cp:category/>
  <cp:version/>
  <cp:contentType/>
  <cp:contentStatus/>
</cp:coreProperties>
</file>