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190322-RevGRADE VacMenB\03-Incl con ResSal\Benef\"/>
    </mc:Choice>
  </mc:AlternateContent>
  <bookViews>
    <workbookView xWindow="0" yWindow="0" windowWidth="20490" windowHeight="7530" tabRatio="633"/>
  </bookViews>
  <sheets>
    <sheet name="IncAcum" sheetId="12" r:id="rId1"/>
    <sheet name="Cohorte vacunada" sheetId="5" r:id="rId2"/>
    <sheet name="NNT desde R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2" l="1"/>
  <c r="C9" i="12"/>
  <c r="D8" i="12"/>
  <c r="D7" i="12"/>
  <c r="D9" i="12" l="1"/>
  <c r="B55" i="12" l="1"/>
  <c r="C54" i="12"/>
  <c r="B54" i="12"/>
  <c r="D41" i="12"/>
  <c r="D40" i="12"/>
  <c r="H22" i="12"/>
  <c r="B22" i="12"/>
  <c r="H21" i="12"/>
  <c r="B21" i="12"/>
  <c r="A21" i="12"/>
  <c r="C21" i="12" s="1"/>
  <c r="B56" i="12" s="1"/>
  <c r="I56" i="12" s="1"/>
  <c r="C14" i="12"/>
  <c r="M21" i="12"/>
  <c r="F14" i="12"/>
  <c r="I55" i="12" l="1"/>
  <c r="F22" i="12"/>
  <c r="B23" i="12"/>
  <c r="D42" i="12"/>
  <c r="D21" i="12"/>
  <c r="D54" i="12"/>
  <c r="J14" i="12"/>
  <c r="B58" i="12"/>
  <c r="B62" i="12" s="1"/>
  <c r="I21" i="12"/>
  <c r="A22" i="12"/>
  <c r="A23" i="12" s="1"/>
  <c r="C55" i="12"/>
  <c r="J55" i="12" s="1"/>
  <c r="A14" i="12"/>
  <c r="F21" i="12"/>
  <c r="E21" i="12"/>
  <c r="C23" i="12" l="1"/>
  <c r="J21" i="12"/>
  <c r="P28" i="12"/>
  <c r="V22" i="12"/>
  <c r="B14" i="12"/>
  <c r="D14" i="12" s="1"/>
  <c r="G14" i="12" s="1"/>
  <c r="B41" i="12"/>
  <c r="B46" i="12" s="1"/>
  <c r="B40" i="12"/>
  <c r="C22" i="12"/>
  <c r="M23" i="12"/>
  <c r="D22" i="12"/>
  <c r="K21" i="12"/>
  <c r="E22" i="12" l="1"/>
  <c r="C56" i="12"/>
  <c r="J56" i="12" s="1"/>
  <c r="E14" i="12"/>
  <c r="H14" i="12" s="1"/>
  <c r="D56" i="12" s="1"/>
  <c r="K14" i="12"/>
  <c r="D55" i="12"/>
  <c r="C58" i="12"/>
  <c r="C62" i="12" s="1"/>
  <c r="I26" i="12"/>
  <c r="I22" i="12"/>
  <c r="V21" i="12"/>
  <c r="V23" i="12" s="1"/>
  <c r="V24" i="12" s="1"/>
  <c r="V25" i="12" s="1"/>
  <c r="K22" i="12"/>
  <c r="J22" i="12"/>
  <c r="B42" i="12"/>
  <c r="B45" i="12"/>
  <c r="C41" i="12"/>
  <c r="C46" i="12" s="1"/>
  <c r="C40" i="12"/>
  <c r="L14" i="12" l="1"/>
  <c r="C42" i="12"/>
  <c r="C45" i="12"/>
  <c r="B48" i="12" s="1"/>
  <c r="M31" i="12"/>
  <c r="M32" i="12" s="1"/>
  <c r="J26" i="12"/>
  <c r="E55" i="12" s="1"/>
  <c r="M22" i="12"/>
  <c r="M24" i="12" s="1"/>
  <c r="M25" i="12" s="1"/>
  <c r="M26" i="12" s="1"/>
  <c r="E54" i="12"/>
  <c r="I27" i="12"/>
  <c r="I35" i="12" s="1"/>
  <c r="K26" i="12"/>
  <c r="D58" i="12"/>
  <c r="D62" i="12" s="1"/>
  <c r="J41" i="12"/>
  <c r="H40" i="12" s="1"/>
  <c r="F46" i="12" l="1"/>
  <c r="B49" i="12"/>
  <c r="I62" i="12" s="1"/>
  <c r="E56" i="12"/>
  <c r="K27" i="12"/>
  <c r="K32" i="12" s="1"/>
  <c r="J27" i="12"/>
  <c r="F54" i="12"/>
  <c r="I36" i="12"/>
  <c r="I29" i="12"/>
  <c r="I34" i="12"/>
  <c r="I31" i="12"/>
  <c r="I37" i="12"/>
  <c r="I32" i="12"/>
  <c r="I30" i="12"/>
  <c r="G56" i="12"/>
  <c r="G58" i="12" s="1"/>
  <c r="G62" i="12" s="1"/>
  <c r="M33" i="12"/>
  <c r="E58" i="12" l="1"/>
  <c r="E62" i="12" s="1"/>
  <c r="J35" i="12"/>
  <c r="K34" i="12"/>
  <c r="J29" i="12"/>
  <c r="K36" i="12"/>
  <c r="F56" i="12"/>
  <c r="J31" i="12"/>
  <c r="K37" i="12"/>
  <c r="J30" i="12"/>
  <c r="K35" i="12"/>
  <c r="J32" i="12"/>
  <c r="J34" i="12"/>
  <c r="K31" i="12"/>
  <c r="F55" i="12"/>
  <c r="F58" i="12" s="1"/>
  <c r="J36" i="12"/>
  <c r="K29" i="12"/>
  <c r="J37" i="12"/>
  <c r="K30" i="12"/>
  <c r="D16" i="3"/>
  <c r="F62" i="12" l="1"/>
  <c r="K8" i="5"/>
  <c r="K6" i="5"/>
  <c r="K5" i="5"/>
  <c r="K9" i="5" s="1"/>
  <c r="E9" i="5"/>
  <c r="F9" i="5"/>
  <c r="G9" i="5"/>
  <c r="H9" i="5"/>
  <c r="I9" i="5"/>
  <c r="J9" i="5"/>
  <c r="D9" i="5"/>
  <c r="D7" i="5"/>
  <c r="E7" i="5"/>
  <c r="F7" i="5"/>
  <c r="G7" i="5"/>
  <c r="H7" i="5"/>
  <c r="I7" i="5"/>
  <c r="J7" i="5"/>
  <c r="C7" i="5"/>
  <c r="K7" i="5" l="1"/>
  <c r="F17" i="3" l="1"/>
  <c r="E17" i="3"/>
  <c r="F16" i="3"/>
  <c r="E16" i="3"/>
  <c r="F15" i="3"/>
  <c r="E15" i="3"/>
  <c r="D19" i="3"/>
  <c r="C23" i="3" s="1"/>
  <c r="F19" i="3" l="1"/>
  <c r="E23" i="3" s="1"/>
  <c r="E19" i="3"/>
  <c r="D23" i="3" s="1"/>
  <c r="D9" i="3"/>
  <c r="C16" i="3" s="1"/>
  <c r="E9" i="3"/>
  <c r="F11" i="3" s="1"/>
  <c r="F9" i="3"/>
  <c r="E11" i="3" s="1"/>
  <c r="C19" i="3" l="1"/>
  <c r="B23" i="3" s="1"/>
  <c r="D11" i="3"/>
  <c r="G15" i="3" s="1"/>
  <c r="G16" i="3"/>
  <c r="F12" i="3"/>
  <c r="H17" i="3" s="1"/>
  <c r="E12" i="3"/>
  <c r="H16" i="3" s="1"/>
  <c r="G17" i="3"/>
  <c r="G19" i="3" l="1"/>
  <c r="F23" i="3" s="1"/>
  <c r="D12" i="3"/>
  <c r="H15" i="3" s="1"/>
  <c r="H19" i="3" s="1"/>
  <c r="G23" i="3" s="1"/>
</calcChain>
</file>

<file path=xl/sharedStrings.xml><?xml version="1.0" encoding="utf-8"?>
<sst xmlns="http://schemas.openxmlformats.org/spreadsheetml/2006/main" count="225" uniqueCount="188">
  <si>
    <t>Total</t>
  </si>
  <si>
    <t>(</t>
  </si>
  <si>
    <t>-</t>
  </si>
  <si>
    <t>)</t>
  </si>
  <si>
    <t>%</t>
  </si>
  <si>
    <t>a</t>
  </si>
  <si>
    <t>RR (IC 95%)</t>
  </si>
  <si>
    <t>RRR (IC 95%)</t>
  </si>
  <si>
    <t>RAR (IC 95%)</t>
  </si>
  <si>
    <t>NNT (IC 95%)</t>
  </si>
  <si>
    <t>Est puntual</t>
  </si>
  <si>
    <t>Lím inf IC 95%</t>
  </si>
  <si>
    <t>Lím sup IC 95%</t>
  </si>
  <si>
    <t>% RA interv</t>
  </si>
  <si>
    <t>% RA control</t>
  </si>
  <si>
    <t>RAR (IC95%)</t>
  </si>
  <si>
    <t>Cálculo de RAR y NNT a partir del RR de un metaanálisis y el % RA en el grupo control</t>
  </si>
  <si>
    <t xml:space="preserve">% RA control = </t>
  </si>
  <si>
    <t>RR (IC 95%) obtenido en el metaanálisis</t>
  </si>
  <si>
    <t>RA intervención</t>
  </si>
  <si>
    <t>% RA Intervención</t>
  </si>
  <si>
    <t>RAR (IC 95%) POR AÑO</t>
  </si>
  <si>
    <t>NNT (IC 95%) POR AÑO</t>
  </si>
  <si>
    <t>Nacidos en Jun-2015</t>
  </si>
  <si>
    <t>Nacidos en May-2015</t>
  </si>
  <si>
    <t>Nacidos en Jul-2015</t>
  </si>
  <si>
    <t>Nacidos en Ago-2015</t>
  </si>
  <si>
    <t>Nacidos en Sep-2015</t>
  </si>
  <si>
    <t>Nacidos en Oct-2015</t>
  </si>
  <si>
    <t>Denominador *</t>
  </si>
  <si>
    <t>* Mensualmente los denominadores representan entre el 90-95% de los niños registrados por los Médicos Generales en Inglaterra.</t>
  </si>
  <si>
    <t>Nacidos en Nov-2015**</t>
  </si>
  <si>
    <t>Nacidos en Dic-2015**</t>
  </si>
  <si>
    <t>n/a ***</t>
  </si>
  <si>
    <t>Nº de vacunados con la dosis 1</t>
  </si>
  <si>
    <t>Nº de vacunados con la dosis 2</t>
  </si>
  <si>
    <t>Suma Jun-Dic-2015</t>
  </si>
  <si>
    <t>Cohorte</t>
  </si>
  <si>
    <t>% Cobertura con la dosis 1</t>
  </si>
  <si>
    <t>% Cobertura con la dosis 2</t>
  </si>
  <si>
    <t>** Cobertura estimada proporcionada para el análisis antes de que los datos finales fueran publicados en 23/09/2016.</t>
  </si>
  <si>
    <t>*** n/a: no aplicable. Los niños nacidos en May-2015 fueron elegibles sólo para una única dosis de vacuna 4CMenB a los 4 meses.</t>
  </si>
  <si>
    <r>
      <t>Abreviaturas</t>
    </r>
    <r>
      <rPr>
        <sz val="11"/>
        <rFont val="Calibri"/>
        <family val="2"/>
        <scheme val="minor"/>
      </rPr>
      <t xml:space="preserve">: </t>
    </r>
    <r>
      <rPr>
        <b/>
        <sz val="11"/>
        <rFont val="Calibri"/>
        <family val="2"/>
        <scheme val="minor"/>
      </rPr>
      <t>RA</t>
    </r>
    <r>
      <rPr>
        <sz val="11"/>
        <rFont val="Calibri"/>
        <family val="2"/>
        <scheme val="minor"/>
      </rPr>
      <t xml:space="preserve">: Riesgo Absoluto; </t>
    </r>
    <r>
      <rPr>
        <b/>
        <sz val="11"/>
        <rFont val="Calibri"/>
        <family val="2"/>
        <scheme val="minor"/>
      </rPr>
      <t>HR</t>
    </r>
    <r>
      <rPr>
        <sz val="11"/>
        <rFont val="Calibri"/>
        <family val="2"/>
        <scheme val="minor"/>
      </rPr>
      <t xml:space="preserve">: Hazard Ratio; </t>
    </r>
    <r>
      <rPr>
        <b/>
        <sz val="11"/>
        <rFont val="Calibri"/>
        <family val="2"/>
        <scheme val="minor"/>
      </rPr>
      <t>RAR</t>
    </r>
    <r>
      <rPr>
        <sz val="11"/>
        <rFont val="Calibri"/>
        <family val="2"/>
        <scheme val="minor"/>
      </rPr>
      <t xml:space="preserve">: Reducción Absoluta del Riesgo; </t>
    </r>
    <r>
      <rPr>
        <b/>
        <sz val="11"/>
        <rFont val="Calibri"/>
        <family val="2"/>
        <scheme val="minor"/>
      </rPr>
      <t>NNT</t>
    </r>
    <r>
      <rPr>
        <sz val="11"/>
        <rFont val="Calibri"/>
        <family val="2"/>
        <scheme val="minor"/>
      </rPr>
      <t xml:space="preserve">: Número Necesario a Tratar para evitar un evento; NND: Número Necesario para Dañar a un paciente más que con el control; </t>
    </r>
    <r>
      <rPr>
        <b/>
        <sz val="11"/>
        <rFont val="Calibri"/>
        <family val="2"/>
        <scheme val="minor"/>
      </rPr>
      <t>IC 95%</t>
    </r>
    <r>
      <rPr>
        <sz val="11"/>
        <rFont val="Calibri"/>
        <family val="2"/>
        <scheme val="minor"/>
      </rPr>
      <t>: intervalo de confianza al 95%</t>
    </r>
  </si>
  <si>
    <r>
      <t xml:space="preserve">RR (IC 95%) </t>
    </r>
    <r>
      <rPr>
        <sz val="11"/>
        <color indexed="12"/>
        <rFont val="Calibri"/>
        <family val="2"/>
      </rPr>
      <t>(#)</t>
    </r>
  </si>
  <si>
    <r>
      <t xml:space="preserve">Medidas del efecto POR AÑO calculadas a partir de los RR obtenidos en el EstRet de Parikh et al, 2016 </t>
    </r>
    <r>
      <rPr>
        <b/>
        <sz val="10"/>
        <color rgb="FF0000FF"/>
        <rFont val="Calibri"/>
        <family val="2"/>
        <scheme val="minor"/>
      </rPr>
      <t>(#)</t>
    </r>
    <r>
      <rPr>
        <b/>
        <sz val="10"/>
        <rFont val="Calibri"/>
        <family val="2"/>
        <scheme val="minor"/>
      </rPr>
      <t>.</t>
    </r>
  </si>
  <si>
    <t>Parikh SR, Andrews NJ, Beebeejaun K, Campbell H, Ribeiro S, Ward C, White JM, Borrow R, Ramsay ME, Ladhani SN. Effectiveness and impact of a reduced infant schedule of 4CMenB vaccine against group B meningococcal disease in England: a national observational cohort study. Lancet. 2016 Dec 3;388(10061):2775-2782.</t>
  </si>
  <si>
    <t>RR</t>
  </si>
  <si>
    <t>RAR</t>
  </si>
  <si>
    <t>NNT</t>
  </si>
  <si>
    <t>Expuestos</t>
  </si>
  <si>
    <t>No expuestos</t>
  </si>
  <si>
    <t>Límite inferior del IC</t>
  </si>
  <si>
    <t>Límite superior del IC</t>
  </si>
  <si>
    <t>Nº event Interv (%)</t>
  </si>
  <si>
    <t>Nº event Control (%)</t>
  </si>
  <si>
    <t>/</t>
  </si>
  <si>
    <t>Cálculo por incidencias acumuladas de RR, RAR, NNT con sus IC 95%, potencia estadística y valor de p</t>
  </si>
  <si>
    <r>
      <t>Abreviaturas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RA</t>
    </r>
    <r>
      <rPr>
        <sz val="11"/>
        <rFont val="Calibri"/>
        <family val="2"/>
      </rPr>
      <t>: Riesgo Absoluto;</t>
    </r>
    <r>
      <rPr>
        <b/>
        <sz val="11"/>
        <rFont val="Calibri"/>
        <family val="2"/>
      </rPr>
      <t xml:space="preserve"> RR</t>
    </r>
    <r>
      <rPr>
        <sz val="11"/>
        <rFont val="Calibri"/>
        <family val="2"/>
      </rPr>
      <t xml:space="preserve">: Riesgo Relativo; </t>
    </r>
    <r>
      <rPr>
        <b/>
        <sz val="11"/>
        <rFont val="Calibri"/>
        <family val="2"/>
      </rPr>
      <t>RAR</t>
    </r>
    <r>
      <rPr>
        <sz val="11"/>
        <rFont val="Calibri"/>
        <family val="2"/>
      </rPr>
      <t xml:space="preserve">: Reducción Absoluta del Riesgo; </t>
    </r>
    <r>
      <rPr>
        <b/>
        <sz val="11"/>
        <rFont val="Calibri"/>
        <family val="2"/>
      </rPr>
      <t>NNT</t>
    </r>
    <r>
      <rPr>
        <sz val="11"/>
        <rFont val="Calibri"/>
        <family val="2"/>
      </rPr>
      <t xml:space="preserve">: Número Necesario a Tratar para evitar un evento; </t>
    </r>
    <r>
      <rPr>
        <b/>
        <sz val="11"/>
        <rFont val="Calibri"/>
        <family val="2"/>
      </rPr>
      <t>IC 95%</t>
    </r>
    <r>
      <rPr>
        <sz val="11"/>
        <rFont val="Calibri"/>
        <family val="2"/>
      </rPr>
      <t>: intervalo de confianza al 95%</t>
    </r>
  </si>
  <si>
    <t xml:space="preserve"> </t>
  </si>
  <si>
    <t>Enferman</t>
  </si>
  <si>
    <t>No enferman</t>
  </si>
  <si>
    <t>Con eventos</t>
  </si>
  <si>
    <t>Sin eventos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</si>
  <si>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</si>
  <si>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</si>
  <si>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</si>
  <si>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</si>
  <si>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</si>
  <si>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</si>
  <si>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</si>
  <si>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ln del LI IC</t>
  </si>
  <si>
    <t>ln del LS IC</t>
  </si>
  <si>
    <t>LI del IC</t>
  </si>
  <si>
    <t>LS del IC</t>
  </si>
  <si>
    <t>RRR</t>
  </si>
  <si>
    <t>Cálculo del intervalo de confianza (IC) cada una de las dos proporciones (Riesgo absoluto de la intervención y Riesgo absoluto del control)</t>
  </si>
  <si>
    <t xml:space="preserve">Mét. Newcombe, 1988 </t>
  </si>
  <si>
    <t>Aunque es mejor calcularlo por ji^2 de Pearson, puede utilizarse una aproximación al cálculo de la "p de la diferencia"</t>
  </si>
  <si>
    <r>
      <t>p</t>
    </r>
    <r>
      <rPr>
        <sz val="10"/>
        <color indexed="12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</si>
  <si>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</si>
  <si>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</si>
  <si>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</si>
  <si>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</si>
  <si>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</si>
  <si>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Nº con evento</t>
  </si>
  <si>
    <t>n (de muestra)</t>
  </si>
  <si>
    <t>p (proporción) = eventos / n</t>
  </si>
  <si>
    <t>Z α/2</t>
  </si>
  <si>
    <t>Estimación puntual de la proporción</t>
  </si>
  <si>
    <t>LI IC</t>
  </si>
  <si>
    <t>LS IC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</si>
  <si>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</si>
  <si>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</si>
  <si>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</si>
  <si>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</si>
  <si>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</si>
  <si>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</si>
  <si>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</si>
  <si>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</si>
  <si>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</si>
  <si>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</si>
  <si>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</si>
  <si>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</si>
  <si>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</si>
  <si>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</si>
  <si>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</si>
  <si>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Cálculo del IC del RAR y del NNT</t>
  </si>
  <si>
    <t>---------------------------------------------&gt;</t>
  </si>
  <si>
    <t>RAR =</t>
  </si>
  <si>
    <t xml:space="preserve"> β =&gt; probabilidad de no detectar una diferencia que sí exista.</t>
  </si>
  <si>
    <t>NNT =</t>
  </si>
  <si>
    <t>APLICAR SÓLO SI EL NNT Y SUS IC SON POSITIVOS</t>
  </si>
  <si>
    <t>====&gt;  NNT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</si>
  <si>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</si>
  <si>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</si>
  <si>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</si>
  <si>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t>Permanecerán sanos sin tomar el Mto de Intervención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</si>
  <si>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</si>
  <si>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</si>
  <si>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</si>
  <si>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t>Permanecerán sanos por tomar el Mto de Intervención</t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</si>
  <si>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</si>
  <si>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Enfermarán incluso tomando el Mto de Intervención</t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</si>
  <si>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</si>
  <si>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</si>
  <si>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APLICAR SÓLO SI EL NNT Y SUS IC SON NEGATIVOS</t>
  </si>
  <si>
    <t>====&gt;  NND</t>
  </si>
  <si>
    <t>Enfermarán por tomar el Mto de Intervención</t>
  </si>
  <si>
    <t>Chi cuadrado de Pearson</t>
  </si>
  <si>
    <t>Enfermarán incluso sin tomar el Mto de Intervención</t>
  </si>
  <si>
    <t>Esperadas</t>
  </si>
  <si>
    <t xml:space="preserve">χ² teórico alfa 0,05, y 1 g.l = 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</si>
  <si>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</si>
  <si>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</si>
  <si>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</si>
  <si>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</si>
  <si>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</si>
  <si>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</si>
  <si>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b/>
        <vertAlign val="subscript"/>
        <sz val="10"/>
        <rFont val="Calibri"/>
        <family val="2"/>
      </rPr>
      <t xml:space="preserve"> i </t>
    </r>
    <r>
      <rPr>
        <b/>
        <sz val="10"/>
        <rFont val="Calibri"/>
        <family val="2"/>
      </rPr>
      <t xml:space="preserve">- esperado 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)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 xml:space="preserve"> / esperado 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</si>
  <si>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</si>
  <si>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</si>
  <si>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</si>
  <si>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</si>
  <si>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</si>
  <si>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</si>
  <si>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CÁLCULOS EN incidencias acumuladas</t>
  </si>
  <si>
    <t xml:space="preserve">en </t>
  </si>
  <si>
    <t>…….</t>
  </si>
  <si>
    <t>años</t>
  </si>
  <si>
    <t>potencia</t>
  </si>
  <si>
    <t>Potencia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</si>
  <si>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</si>
  <si>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0,007%</t>
  </si>
  <si>
    <t>42% (15% a 60%)</t>
  </si>
  <si>
    <t>0,01% (0% a 0,01%)</t>
  </si>
  <si>
    <t>19729 (13810 a 55240)</t>
  </si>
  <si>
    <r>
      <t xml:space="preserve">0,0121% </t>
    </r>
    <r>
      <rPr>
        <b/>
        <sz val="10"/>
        <color rgb="FF0000FF"/>
        <rFont val="Calibri"/>
        <family val="2"/>
        <scheme val="minor"/>
      </rPr>
      <t>(*)</t>
    </r>
  </si>
  <si>
    <r>
      <rPr>
        <b/>
        <sz val="9"/>
        <color rgb="FF0000FF"/>
        <rFont val="Calibri"/>
        <family val="2"/>
      </rPr>
      <t>(*)</t>
    </r>
    <r>
      <rPr>
        <sz val="9"/>
        <rFont val="Calibri"/>
        <family val="2"/>
      </rPr>
      <t xml:space="preserve"> Datos de la Red Nacional de Vigilancia Epidemiológica. Instituto de Salud Carlos III.</t>
    </r>
  </si>
  <si>
    <r>
      <rPr>
        <sz val="9"/>
        <color rgb="FF0000FF"/>
        <rFont val="Calibri"/>
        <family val="2"/>
      </rPr>
      <t xml:space="preserve">(#) </t>
    </r>
    <r>
      <rPr>
        <sz val="9"/>
        <rFont val="Calibri"/>
        <family val="2"/>
      </rPr>
      <t>Parikh SR, Andrews NJ, Beebeejaun K, Campbell H, et al. Effectiveness and impact of a reduced infant schedule of 4CMenB vaccine against group B meningococcal disease in England: a national observational cohort study. Lancet. 2016 Dec 3;388(10061):2775-82.</t>
    </r>
  </si>
  <si>
    <t>no podemos estimarla</t>
  </si>
  <si>
    <t>no proporcionan datos</t>
  </si>
  <si>
    <r>
      <t xml:space="preserve">0,0011% </t>
    </r>
    <r>
      <rPr>
        <b/>
        <sz val="10"/>
        <color rgb="FF0000FF"/>
        <rFont val="Calibri"/>
        <family val="2"/>
        <scheme val="minor"/>
      </rPr>
      <t>(*)</t>
    </r>
  </si>
  <si>
    <t>Mortalidad por enfermedad meningocóca B</t>
  </si>
  <si>
    <t>% casos/año promedio de la población española de 0-1 años, esperable en el período 2015 si hubiera habido vacunación nacional</t>
  </si>
  <si>
    <t>% casos/año promedio de la población española de 0-1 años, en el período 2011-2014 sin vacuna</t>
  </si>
  <si>
    <t>0,58 (0,39-0,88)</t>
  </si>
  <si>
    <t>% casos/año promedio de la población de Inglaterra de 0-1 años, en 2015 tras programa de vacunación nacional</t>
  </si>
  <si>
    <t>% casos/año promedio de la población de Inglaterra de 0-1 años, en el período 2011-2014 sin vacuna tras corrección del -14% por la declinación de la incidencia</t>
  </si>
  <si>
    <t>no podemos estimarla porque no proporcionan datos</t>
  </si>
  <si>
    <t>37/365570 (0,0101%)</t>
  </si>
  <si>
    <r>
      <t>63/365570 (0,0173%)</t>
    </r>
    <r>
      <rPr>
        <sz val="10"/>
        <color rgb="FF0000FF"/>
        <rFont val="Calibri"/>
        <family val="2"/>
        <scheme val="minor"/>
      </rPr>
      <t xml:space="preserve"> (*)</t>
    </r>
  </si>
  <si>
    <r>
      <rPr>
        <b/>
        <sz val="9"/>
        <color rgb="FF0000FF"/>
        <rFont val="Calibri"/>
        <family val="2"/>
      </rPr>
      <t>(*)</t>
    </r>
    <r>
      <rPr>
        <sz val="9"/>
        <rFont val="Calibri"/>
        <family val="2"/>
      </rPr>
      <t xml:space="preserve"> Datos estimados en razón de que la cohorte es equivalente (de ahí el denominador 365.570) y que el promedio de casos en 2011-14 fue 75,73 (de ahí que aplicando el -14% a los 75,73, obtenemos  63,43).</t>
    </r>
  </si>
  <si>
    <t>Casos de enfermedad meningocócica B</t>
  </si>
  <si>
    <r>
      <t xml:space="preserve">0,58 (0,4-0,85) </t>
    </r>
    <r>
      <rPr>
        <b/>
        <sz val="10"/>
        <color rgb="FF0000FF"/>
        <rFont val="Calibri"/>
        <family val="2"/>
        <scheme val="minor"/>
      </rPr>
      <t>(**)</t>
    </r>
  </si>
  <si>
    <r>
      <rPr>
        <b/>
        <sz val="9"/>
        <color rgb="FF0000FF"/>
        <rFont val="Calibri"/>
        <family val="2"/>
      </rPr>
      <t>(**)</t>
    </r>
    <r>
      <rPr>
        <sz val="9"/>
        <rFont val="Calibri"/>
        <family val="2"/>
      </rPr>
      <t xml:space="preserve"> RR obtenido por Parikh et al, tras la corrección del -14%  (por la declinación entre la incidencia cruda observada en 2015-16 en niños de 1 a 5 años y la esperable matemáticamente en 2015-16 como función de tendencia de 2011 a 2014 en ese grupo etario).</t>
    </r>
  </si>
  <si>
    <t>0,01% (0,01% a 0,002%)</t>
  </si>
  <si>
    <t>13834 (7814 a 54026)</t>
  </si>
  <si>
    <t>20161203-EstRet UK niñ-6m, 4CMenB (post 15 vs pre 2011-14), -MenB. Parikh</t>
  </si>
  <si>
    <t>Primero se procede haciendo los IC de ambas proporciones por el método de Wilson, y después se aplica: IC = RAR - Raíz [(p1-Ls1)^2 + (Li2-p2)^2] hasta RAR + Raíz [(p2-Ls2)^2 + (Li1-p1)^2]</t>
  </si>
  <si>
    <t>Dif Proporc = RAR</t>
  </si>
  <si>
    <t>1-α = p (no rechazar Ho │ Ho verdadera)</t>
  </si>
  <si>
    <t>A continuación, se aplica: IC = RAR - Raíz [(p1-Li1)^2 + (Ls2-p2)^2] hasta RAR + Raíz [(p2-Li2)^2 + (Ls1-p1)^2], cuidando colocar arriba la proporción mayor y abajo la menor</t>
  </si>
  <si>
    <t>1-α = nivel e confianza = p (no rechazar Ho │ Ho verdadera)</t>
  </si>
  <si>
    <r>
      <rPr>
        <b/>
        <sz val="12"/>
        <color indexed="60"/>
        <rFont val="Calibri"/>
        <family val="2"/>
        <scheme val="minor"/>
      </rPr>
      <t xml:space="preserve">Tabla 8: </t>
    </r>
    <r>
      <rPr>
        <b/>
        <sz val="12"/>
        <color theme="1"/>
        <rFont val="Calibri"/>
        <family val="2"/>
        <scheme val="minor"/>
      </rPr>
      <t>Efectividad de la vacuna de meningococo B tetravalente (4CMenB) en la población de 0 a 1 años de Inglaterra en 2015 tras el programa nacional de vacunación, frente a los riesgos basales de Inglaterra del período 2011-2014 sin vacuna, tras la corrección del -14%  (por la declinación entre la incidencia cruda observada en 2015-16 en niños de 1 a 5 años y la esperable matemáticamente en 2015-16 como función de tendencia de 2011 a 2014 en ese grupo etario).</t>
    </r>
  </si>
  <si>
    <t>RAR (IC 95%) por año</t>
  </si>
  <si>
    <t>NNT (IC 95%) por año</t>
  </si>
  <si>
    <r>
      <rPr>
        <b/>
        <sz val="12"/>
        <color indexed="60"/>
        <rFont val="Calibri"/>
        <family val="2"/>
        <scheme val="minor"/>
      </rPr>
      <t xml:space="preserve">Tabla 9: </t>
    </r>
    <r>
      <rPr>
        <b/>
        <sz val="12"/>
        <color theme="1"/>
        <rFont val="Calibri"/>
        <family val="2"/>
        <scheme val="minor"/>
      </rPr>
      <t xml:space="preserve">Efecto esperable de la vacuna de meningococo B tetravalente (4CMenB)  en la población de 0 a 1 años de España en 2015 si hubiera habido vacunación nacional, tomando los riesgos basales de España del período 2011-2014 sin vacuna, y aplicándoles los Riesgos Relativos correspondientes obtenidos desde el EstRetr de Parikh et al, 2016  </t>
    </r>
    <r>
      <rPr>
        <b/>
        <sz val="12"/>
        <color rgb="FF0000FF"/>
        <rFont val="Calibri"/>
        <family val="2"/>
        <scheme val="minor"/>
      </rPr>
      <t>(#)</t>
    </r>
    <r>
      <rPr>
        <b/>
        <sz val="12"/>
        <color theme="1"/>
        <rFont val="Calibri"/>
        <family val="2"/>
        <scheme val="minor"/>
      </rPr>
      <t>.</t>
    </r>
  </si>
  <si>
    <r>
      <t xml:space="preserve">Medidas del efecto POR AÑO calculadas a partir de los datos obtenidos en el EstRet de Parikh et al, 2016 </t>
    </r>
    <r>
      <rPr>
        <b/>
        <sz val="9"/>
        <color rgb="FF0070C0"/>
        <rFont val="Calibri"/>
        <family val="2"/>
        <scheme val="minor"/>
      </rPr>
      <t>(29)</t>
    </r>
    <r>
      <rPr>
        <b/>
        <sz val="10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</si>
</sst>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\ _€_-;\-* #,##0.00\ _€_-;_-* &quot;-&quot;??\ _€_-;_-@_-"/>
    <numFmt numFmtId="164" formatCode="_-* #,##0.000\ _€_-;\-* #,##0.000\ _€_-;_-* &quot;-&quot;??\ _€_-;_-@_-"/>
    <numFmt numFmtId="165" formatCode="0.0000%"/>
    <numFmt numFmtId="166" formatCode="_-* #,##0.0000\ _€_-;\-* #,##0.0000\ _€_-;_-* &quot;-&quot;??\ _€_-;_-@_-"/>
    <numFmt numFmtId="167" formatCode="_-* #,##0.000000\ _€_-;\-* #,##0.000000\ _€_-;_-* &quot;-&quot;??\ _€_-;_-@_-"/>
    <numFmt numFmtId="168" formatCode="_-* #,##0.0000\ _€_-;\-* #,##0.0000\ _€_-;_-* &quot;-&quot;?\ _€_-;_-@_-"/>
    <numFmt numFmtId="169" formatCode="0.000%"/>
    <numFmt numFmtId="170" formatCode="_-* #,##0\ _€_-;\-* #,##0\ _€_-;_-* &quot;-&quot;??\ _€_-;_-@_-"/>
    <numFmt numFmtId="171" formatCode="0.0%"/>
    <numFmt numFmtId="172" formatCode="0.00000%"/>
    <numFmt numFmtId="173" formatCode="0.0"/>
    <numFmt numFmtId="174" formatCode="0.000"/>
    <numFmt numFmtId="175" formatCode="_-* #,##0.000\ _€_-;\-* #,##0.000\ _€_-;_-* &quot;-&quot;???\ _€_-;_-@_-"/>
    <numFmt numFmtId="176" formatCode="_-* #,##0.0\ _€_-;\-* #,##0.0\ _€_-;_-* &quot;-&quot;??\ _€_-;_-@_-"/>
    <numFmt numFmtId="177" formatCode="_-* #,##0.00000\ _€_-;\-* #,##0.00000\ _€_-;_-* &quot;-&quot;??\ _€_-;_-@_-"/>
    <numFmt numFmtId="178" formatCode="_-* #,##0.0\ _€_-;\-* #,##0.0\ _€_-;_-* &quot;-&quot;?\ _€_-;_-@_-"/>
    <numFmt numFmtId="179" formatCode="0.00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i/>
      <sz val="10"/>
      <color rgb="FF7030A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52"/>
      <name val="Calibri"/>
      <family val="2"/>
    </font>
    <font>
      <b/>
      <sz val="10"/>
      <color indexed="14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12"/>
      <name val="Calibri"/>
      <family val="2"/>
    </font>
    <font>
      <sz val="10"/>
      <color rgb="FF009900"/>
      <name val="Calibri"/>
      <family val="2"/>
      <scheme val="minor"/>
    </font>
    <font>
      <sz val="9"/>
      <name val="Calibri"/>
      <family val="2"/>
    </font>
    <font>
      <b/>
      <sz val="12"/>
      <color indexed="6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FF6600"/>
      <name val="Calibri"/>
      <family val="2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color rgb="FF0000FF"/>
      <name val="Calibri"/>
      <family val="2"/>
    </font>
    <font>
      <sz val="10"/>
      <color rgb="FF0000FF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5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10"/>
      <color indexed="12"/>
      <name val="Calibri"/>
      <family val="2"/>
    </font>
    <font>
      <sz val="10"/>
      <color indexed="63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vertAlign val="subscript"/>
      <sz val="10"/>
      <name val="Calibri"/>
      <family val="2"/>
    </font>
    <font>
      <b/>
      <u/>
      <sz val="14"/>
      <name val="Calibri"/>
      <family val="2"/>
      <scheme val="minor"/>
    </font>
    <font>
      <i/>
      <sz val="10"/>
      <color indexed="12"/>
      <name val="Calibri"/>
      <family val="2"/>
      <scheme val="minor"/>
    </font>
    <font>
      <i/>
      <sz val="10"/>
      <color indexed="12"/>
      <name val="Calibri"/>
      <family val="2"/>
    </font>
    <font>
      <b/>
      <sz val="9"/>
      <name val="Calibri"/>
      <family val="2"/>
      <scheme val="minor"/>
    </font>
    <font>
      <i/>
      <sz val="10"/>
      <name val="Calibri"/>
      <family val="2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i/>
      <sz val="10"/>
      <color indexed="20"/>
      <name val="Calibri"/>
      <family val="2"/>
      <scheme val="minor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u/>
      <sz val="12.5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vertAlign val="superscript"/>
      <sz val="10"/>
      <name val="Calibri"/>
      <family val="2"/>
    </font>
    <font>
      <b/>
      <i/>
      <sz val="10"/>
      <name val="Calibri"/>
      <family val="2"/>
    </font>
    <font>
      <b/>
      <sz val="12"/>
      <color rgb="FF0000FF"/>
      <name val="Calibri"/>
      <family val="2"/>
      <scheme val="minor"/>
    </font>
    <font>
      <b/>
      <sz val="9"/>
      <color rgb="FF0000FF"/>
      <name val="Calibri"/>
      <family val="2"/>
    </font>
    <font>
      <sz val="9"/>
      <color rgb="FFFF6600"/>
      <name val="Calibri"/>
      <family val="2"/>
    </font>
    <font>
      <b/>
      <sz val="9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</cellStyleXfs>
  <cellXfs count="458">
    <xf numFmtId="0" fontId="0" fillId="0" borderId="0" xfId="0"/>
    <xf numFmtId="0" fontId="4" fillId="0" borderId="0" xfId="0" applyFont="1"/>
    <xf numFmtId="170" fontId="7" fillId="0" borderId="33" xfId="1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70" fontId="9" fillId="0" borderId="33" xfId="1" applyNumberFormat="1" applyFont="1" applyBorder="1" applyAlignment="1">
      <alignment horizontal="center" vertical="center" wrapText="1"/>
    </xf>
    <xf numFmtId="171" fontId="10" fillId="0" borderId="33" xfId="2" applyNumberFormat="1" applyFont="1" applyBorder="1" applyAlignment="1">
      <alignment horizontal="center" vertical="center" wrapText="1"/>
    </xf>
    <xf numFmtId="171" fontId="11" fillId="0" borderId="33" xfId="2" applyNumberFormat="1" applyFont="1" applyBorder="1" applyAlignment="1">
      <alignment horizontal="center" vertical="center" wrapText="1"/>
    </xf>
    <xf numFmtId="170" fontId="9" fillId="0" borderId="34" xfId="1" applyNumberFormat="1" applyFont="1" applyBorder="1" applyAlignment="1">
      <alignment horizontal="center" vertical="center" wrapText="1"/>
    </xf>
    <xf numFmtId="171" fontId="11" fillId="0" borderId="34" xfId="2" applyNumberFormat="1" applyFont="1" applyBorder="1" applyAlignment="1">
      <alignment horizontal="center" vertical="center" wrapText="1"/>
    </xf>
    <xf numFmtId="170" fontId="9" fillId="0" borderId="5" xfId="0" applyNumberFormat="1" applyFont="1" applyBorder="1" applyAlignment="1">
      <alignment vertical="center" wrapText="1"/>
    </xf>
    <xf numFmtId="171" fontId="11" fillId="0" borderId="5" xfId="2" applyNumberFormat="1" applyFont="1" applyBorder="1" applyAlignment="1">
      <alignment horizontal="center" vertical="center" wrapText="1"/>
    </xf>
    <xf numFmtId="170" fontId="7" fillId="0" borderId="32" xfId="1" applyNumberFormat="1" applyFont="1" applyBorder="1" applyAlignment="1">
      <alignment horizontal="center" vertical="center" wrapText="1"/>
    </xf>
    <xf numFmtId="170" fontId="9" fillId="0" borderId="32" xfId="1" applyNumberFormat="1" applyFont="1" applyBorder="1" applyAlignment="1">
      <alignment horizontal="center" vertical="center" wrapText="1"/>
    </xf>
    <xf numFmtId="170" fontId="9" fillId="0" borderId="35" xfId="1" applyNumberFormat="1" applyFont="1" applyBorder="1" applyAlignment="1">
      <alignment horizontal="center" vertical="center" wrapText="1"/>
    </xf>
    <xf numFmtId="170" fontId="9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 indent="2"/>
    </xf>
    <xf numFmtId="0" fontId="8" fillId="0" borderId="5" xfId="0" applyFont="1" applyBorder="1" applyAlignment="1">
      <alignment horizontal="left" vertical="top" wrapText="1" indent="1"/>
    </xf>
    <xf numFmtId="0" fontId="6" fillId="0" borderId="3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center"/>
    </xf>
    <xf numFmtId="43" fontId="15" fillId="0" borderId="0" xfId="1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distributed"/>
    </xf>
    <xf numFmtId="0" fontId="13" fillId="0" borderId="0" xfId="0" applyFont="1" applyFill="1" applyBorder="1" applyAlignment="1">
      <alignment horizontal="right"/>
    </xf>
    <xf numFmtId="43" fontId="15" fillId="0" borderId="0" xfId="1" applyFont="1" applyFill="1" applyBorder="1" applyAlignment="1">
      <alignment horizontal="center" vertical="distributed"/>
    </xf>
    <xf numFmtId="0" fontId="19" fillId="0" borderId="0" xfId="0" applyFont="1" applyFill="1" applyBorder="1"/>
    <xf numFmtId="0" fontId="15" fillId="0" borderId="0" xfId="0" applyFont="1"/>
    <xf numFmtId="0" fontId="16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right" vertical="distributed"/>
    </xf>
    <xf numFmtId="0" fontId="16" fillId="0" borderId="0" xfId="0" applyFont="1" applyFill="1" applyBorder="1" applyAlignment="1">
      <alignment vertical="center" textRotation="90"/>
    </xf>
    <xf numFmtId="0" fontId="15" fillId="0" borderId="15" xfId="0" applyFont="1" applyBorder="1" applyAlignment="1">
      <alignment horizontal="center" vertical="distributed"/>
    </xf>
    <xf numFmtId="0" fontId="15" fillId="0" borderId="0" xfId="0" applyFont="1" applyBorder="1" applyAlignment="1">
      <alignment horizontal="center" vertical="distributed"/>
    </xf>
    <xf numFmtId="168" fontId="13" fillId="0" borderId="0" xfId="0" applyNumberFormat="1" applyFont="1" applyFill="1" applyBorder="1" applyAlignment="1">
      <alignment horizontal="center"/>
    </xf>
    <xf numFmtId="2" fontId="13" fillId="2" borderId="11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2" fontId="13" fillId="2" borderId="25" xfId="0" applyNumberFormat="1" applyFont="1" applyFill="1" applyBorder="1" applyAlignment="1">
      <alignment horizontal="center" vertical="center"/>
    </xf>
    <xf numFmtId="2" fontId="13" fillId="0" borderId="0" xfId="0" applyNumberFormat="1" applyFont="1"/>
    <xf numFmtId="164" fontId="15" fillId="0" borderId="0" xfId="1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3" fillId="0" borderId="26" xfId="0" applyNumberFormat="1" applyFont="1" applyBorder="1"/>
    <xf numFmtId="10" fontId="13" fillId="0" borderId="15" xfId="2" applyNumberFormat="1" applyFont="1" applyBorder="1" applyAlignment="1">
      <alignment horizontal="center"/>
    </xf>
    <xf numFmtId="10" fontId="13" fillId="0" borderId="25" xfId="2" applyNumberFormat="1" applyFont="1" applyBorder="1" applyAlignment="1">
      <alignment horizontal="center"/>
    </xf>
    <xf numFmtId="166" fontId="13" fillId="0" borderId="0" xfId="1" applyNumberFormat="1" applyFont="1" applyFill="1" applyBorder="1" applyAlignment="1">
      <alignment horizontal="center"/>
    </xf>
    <xf numFmtId="10" fontId="20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/>
    <xf numFmtId="0" fontId="13" fillId="0" borderId="11" xfId="0" applyFont="1" applyFill="1" applyBorder="1"/>
    <xf numFmtId="0" fontId="13" fillId="0" borderId="25" xfId="0" applyFont="1" applyFill="1" applyBorder="1" applyAlignment="1">
      <alignment horizontal="right"/>
    </xf>
    <xf numFmtId="10" fontId="15" fillId="0" borderId="15" xfId="0" applyNumberFormat="1" applyFont="1" applyFill="1" applyBorder="1" applyAlignment="1">
      <alignment horizontal="center"/>
    </xf>
    <xf numFmtId="0" fontId="13" fillId="0" borderId="14" xfId="0" applyFont="1" applyFill="1" applyBorder="1"/>
    <xf numFmtId="0" fontId="13" fillId="0" borderId="13" xfId="0" applyFont="1" applyFill="1" applyBorder="1" applyAlignment="1">
      <alignment horizontal="right"/>
    </xf>
    <xf numFmtId="1" fontId="15" fillId="0" borderId="11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3" fontId="13" fillId="0" borderId="0" xfId="1" applyFont="1" applyFill="1" applyBorder="1"/>
    <xf numFmtId="43" fontId="15" fillId="0" borderId="0" xfId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3" fillId="4" borderId="7" xfId="0" applyFont="1" applyFill="1" applyBorder="1"/>
    <xf numFmtId="0" fontId="13" fillId="4" borderId="19" xfId="0" applyFont="1" applyFill="1" applyBorder="1" applyAlignment="1">
      <alignment horizontal="center"/>
    </xf>
    <xf numFmtId="2" fontId="13" fillId="4" borderId="19" xfId="0" applyNumberFormat="1" applyFont="1" applyFill="1" applyBorder="1" applyAlignment="1">
      <alignment horizontal="center"/>
    </xf>
    <xf numFmtId="10" fontId="13" fillId="4" borderId="19" xfId="2" applyNumberFormat="1" applyFont="1" applyFill="1" applyBorder="1" applyAlignment="1">
      <alignment horizontal="center"/>
    </xf>
    <xf numFmtId="1" fontId="13" fillId="4" borderId="20" xfId="0" applyNumberFormat="1" applyFont="1" applyFill="1" applyBorder="1" applyAlignment="1">
      <alignment horizontal="center"/>
    </xf>
    <xf numFmtId="0" fontId="13" fillId="4" borderId="21" xfId="0" applyFont="1" applyFill="1" applyBorder="1"/>
    <xf numFmtId="2" fontId="13" fillId="4" borderId="0" xfId="0" applyNumberFormat="1" applyFont="1" applyFill="1" applyBorder="1" applyAlignment="1">
      <alignment horizontal="center"/>
    </xf>
    <xf numFmtId="10" fontId="13" fillId="4" borderId="0" xfId="2" applyNumberFormat="1" applyFont="1" applyFill="1" applyBorder="1" applyAlignment="1">
      <alignment horizontal="center"/>
    </xf>
    <xf numFmtId="1" fontId="13" fillId="4" borderId="22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distributed"/>
    </xf>
    <xf numFmtId="0" fontId="13" fillId="4" borderId="18" xfId="0" applyFont="1" applyFill="1" applyBorder="1"/>
    <xf numFmtId="0" fontId="13" fillId="4" borderId="2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3" fillId="0" borderId="0" xfId="0" applyFont="1" applyAlignment="1">
      <alignment horizontal="right"/>
    </xf>
    <xf numFmtId="0" fontId="22" fillId="0" borderId="0" xfId="0" applyFont="1" applyFill="1"/>
    <xf numFmtId="0" fontId="22" fillId="0" borderId="27" xfId="0" applyFont="1" applyBorder="1" applyAlignment="1">
      <alignment horizontal="left" vertical="center" wrapText="1"/>
    </xf>
    <xf numFmtId="169" fontId="22" fillId="0" borderId="28" xfId="2" applyNumberFormat="1" applyFont="1" applyBorder="1" applyAlignment="1">
      <alignment horizontal="center" vertical="center"/>
    </xf>
    <xf numFmtId="165" fontId="22" fillId="0" borderId="28" xfId="2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1" fontId="13" fillId="0" borderId="0" xfId="0" applyNumberFormat="1" applyFont="1"/>
    <xf numFmtId="172" fontId="13" fillId="2" borderId="25" xfId="2" applyNumberFormat="1" applyFont="1" applyFill="1" applyBorder="1" applyAlignment="1">
      <alignment horizontal="center" vertical="distributed"/>
    </xf>
    <xf numFmtId="2" fontId="13" fillId="0" borderId="0" xfId="0" applyNumberFormat="1" applyFont="1" applyAlignment="1">
      <alignment horizontal="center" vertical="center"/>
    </xf>
    <xf numFmtId="0" fontId="32" fillId="0" borderId="0" xfId="0" applyFont="1"/>
    <xf numFmtId="0" fontId="30" fillId="0" borderId="0" xfId="0" applyFont="1"/>
    <xf numFmtId="10" fontId="22" fillId="0" borderId="0" xfId="2" applyNumberFormat="1" applyFont="1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10" fontId="22" fillId="0" borderId="0" xfId="0" applyNumberFormat="1" applyFont="1" applyFill="1" applyBorder="1"/>
    <xf numFmtId="43" fontId="22" fillId="0" borderId="0" xfId="1" applyFont="1" applyFill="1" applyBorder="1"/>
    <xf numFmtId="43" fontId="22" fillId="0" borderId="0" xfId="0" applyNumberFormat="1" applyFont="1"/>
    <xf numFmtId="0" fontId="22" fillId="0" borderId="0" xfId="0" applyFont="1" applyFill="1" applyBorder="1" applyAlignment="1">
      <alignment horizontal="center" vertical="distributed"/>
    </xf>
    <xf numFmtId="0" fontId="22" fillId="0" borderId="0" xfId="0" applyFont="1" applyFill="1" applyBorder="1" applyAlignment="1">
      <alignment horizontal="left"/>
    </xf>
    <xf numFmtId="0" fontId="22" fillId="0" borderId="0" xfId="0" applyFont="1"/>
    <xf numFmtId="0" fontId="34" fillId="0" borderId="0" xfId="0" applyFont="1" applyFill="1" applyBorder="1" applyAlignment="1">
      <alignment horizontal="right"/>
    </xf>
    <xf numFmtId="0" fontId="22" fillId="0" borderId="0" xfId="0" applyFont="1" applyBorder="1"/>
    <xf numFmtId="43" fontId="22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22" xfId="0" applyFont="1" applyFill="1" applyBorder="1"/>
    <xf numFmtId="171" fontId="21" fillId="0" borderId="5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center"/>
    </xf>
    <xf numFmtId="10" fontId="22" fillId="0" borderId="0" xfId="2" applyNumberFormat="1" applyFont="1" applyFill="1" applyBorder="1" applyAlignment="1">
      <alignment horizontal="center"/>
    </xf>
    <xf numFmtId="0" fontId="36" fillId="0" borderId="0" xfId="0" applyFont="1" applyFill="1"/>
    <xf numFmtId="0" fontId="21" fillId="0" borderId="0" xfId="0" applyFont="1"/>
    <xf numFmtId="0" fontId="21" fillId="0" borderId="5" xfId="0" applyFont="1" applyFill="1" applyBorder="1" applyAlignment="1">
      <alignment horizontal="center" vertical="center" wrapText="1"/>
    </xf>
    <xf numFmtId="43" fontId="22" fillId="0" borderId="5" xfId="1" applyFont="1" applyFill="1" applyBorder="1"/>
    <xf numFmtId="49" fontId="22" fillId="3" borderId="5" xfId="0" applyNumberFormat="1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171" fontId="22" fillId="0" borderId="0" xfId="2" applyNumberFormat="1" applyFont="1"/>
    <xf numFmtId="0" fontId="21" fillId="3" borderId="5" xfId="0" applyFont="1" applyFill="1" applyBorder="1" applyAlignment="1">
      <alignment horizontal="center" vertical="distributed"/>
    </xf>
    <xf numFmtId="170" fontId="21" fillId="0" borderId="0" xfId="1" applyNumberFormat="1" applyFont="1" applyFill="1" applyBorder="1" applyAlignment="1"/>
    <xf numFmtId="170" fontId="40" fillId="0" borderId="0" xfId="1" applyNumberFormat="1" applyFont="1" applyFill="1" applyBorder="1" applyAlignment="1"/>
    <xf numFmtId="170" fontId="41" fillId="0" borderId="0" xfId="0" applyNumberFormat="1" applyFont="1" applyFill="1" applyBorder="1" applyAlignment="1">
      <alignment horizontal="left"/>
    </xf>
    <xf numFmtId="2" fontId="22" fillId="0" borderId="0" xfId="0" applyNumberFormat="1" applyFont="1" applyBorder="1"/>
    <xf numFmtId="10" fontId="36" fillId="0" borderId="0" xfId="2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0" fontId="22" fillId="0" borderId="0" xfId="0" applyNumberFormat="1" applyFont="1" applyFill="1" applyBorder="1" applyAlignment="1">
      <alignment horizontal="center"/>
    </xf>
    <xf numFmtId="10" fontId="22" fillId="0" borderId="0" xfId="2" applyNumberFormat="1" applyFont="1" applyBorder="1" applyAlignment="1">
      <alignment horizontal="center"/>
    </xf>
    <xf numFmtId="0" fontId="43" fillId="0" borderId="0" xfId="0" applyFont="1" applyFill="1" applyBorder="1" applyAlignment="1">
      <alignment vertical="distributed"/>
    </xf>
    <xf numFmtId="0" fontId="22" fillId="0" borderId="0" xfId="0" applyFont="1" applyFill="1" applyAlignment="1">
      <alignment horizontal="center"/>
    </xf>
    <xf numFmtId="10" fontId="22" fillId="0" borderId="0" xfId="0" applyNumberFormat="1" applyFont="1" applyFill="1" applyAlignment="1">
      <alignment horizontal="center"/>
    </xf>
    <xf numFmtId="0" fontId="47" fillId="0" borderId="0" xfId="0" applyFont="1"/>
    <xf numFmtId="18" fontId="22" fillId="0" borderId="0" xfId="1" applyNumberFormat="1" applyFont="1" applyBorder="1" applyAlignment="1">
      <alignment horizontal="center"/>
    </xf>
    <xf numFmtId="2" fontId="22" fillId="0" borderId="0" xfId="0" applyNumberFormat="1" applyFont="1"/>
    <xf numFmtId="43" fontId="22" fillId="0" borderId="0" xfId="1" applyFont="1" applyFill="1" applyAlignment="1">
      <alignment horizontal="center"/>
    </xf>
    <xf numFmtId="10" fontId="36" fillId="0" borderId="0" xfId="2" applyNumberFormat="1" applyFont="1" applyFill="1" applyBorder="1" applyAlignment="1">
      <alignment horizontal="center"/>
    </xf>
    <xf numFmtId="170" fontId="22" fillId="0" borderId="0" xfId="0" applyNumberFormat="1" applyFont="1" applyBorder="1"/>
    <xf numFmtId="9" fontId="22" fillId="0" borderId="0" xfId="0" applyNumberFormat="1" applyFont="1" applyBorder="1"/>
    <xf numFmtId="43" fontId="48" fillId="0" borderId="0" xfId="1" applyFont="1" applyFill="1" applyBorder="1" applyAlignment="1">
      <alignment horizontal="center"/>
    </xf>
    <xf numFmtId="43" fontId="22" fillId="0" borderId="0" xfId="1" applyFont="1" applyFill="1"/>
    <xf numFmtId="0" fontId="49" fillId="0" borderId="0" xfId="0" applyFont="1" applyFill="1"/>
    <xf numFmtId="164" fontId="22" fillId="0" borderId="0" xfId="0" applyNumberFormat="1" applyFont="1" applyBorder="1" applyAlignment="1">
      <alignment horizontal="center"/>
    </xf>
    <xf numFmtId="176" fontId="21" fillId="0" borderId="7" xfId="1" applyNumberFormat="1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20" xfId="0" applyFont="1" applyBorder="1"/>
    <xf numFmtId="0" fontId="21" fillId="0" borderId="18" xfId="0" applyFont="1" applyBorder="1"/>
    <xf numFmtId="0" fontId="21" fillId="0" borderId="3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6" xfId="0" applyFont="1" applyBorder="1" applyAlignment="1">
      <alignment horizontal="right"/>
    </xf>
    <xf numFmtId="170" fontId="22" fillId="0" borderId="5" xfId="0" applyNumberFormat="1" applyFont="1" applyBorder="1" applyAlignment="1">
      <alignment vertical="center"/>
    </xf>
    <xf numFmtId="170" fontId="22" fillId="2" borderId="5" xfId="1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center"/>
    </xf>
    <xf numFmtId="0" fontId="51" fillId="0" borderId="5" xfId="0" applyFont="1" applyBorder="1" applyAlignment="1">
      <alignment horizontal="right"/>
    </xf>
    <xf numFmtId="170" fontId="21" fillId="0" borderId="18" xfId="0" applyNumberFormat="1" applyFont="1" applyBorder="1" applyAlignment="1">
      <alignment horizontal="right"/>
    </xf>
    <xf numFmtId="170" fontId="21" fillId="0" borderId="4" xfId="0" applyNumberFormat="1" applyFont="1" applyBorder="1" applyAlignment="1">
      <alignment horizontal="right"/>
    </xf>
    <xf numFmtId="170" fontId="21" fillId="0" borderId="24" xfId="0" applyNumberFormat="1" applyFont="1" applyBorder="1" applyAlignment="1">
      <alignment horizontal="right"/>
    </xf>
    <xf numFmtId="10" fontId="22" fillId="0" borderId="0" xfId="2" applyNumberFormat="1" applyFont="1" applyFill="1"/>
    <xf numFmtId="10" fontId="22" fillId="0" borderId="0" xfId="0" applyNumberFormat="1" applyFont="1" applyFill="1"/>
    <xf numFmtId="0" fontId="39" fillId="0" borderId="0" xfId="0" applyFont="1" applyAlignment="1">
      <alignment horizontal="right"/>
    </xf>
    <xf numFmtId="1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43" fontId="22" fillId="0" borderId="0" xfId="0" applyNumberFormat="1" applyFont="1" applyFill="1" applyBorder="1" applyAlignment="1">
      <alignment horizontal="center"/>
    </xf>
    <xf numFmtId="43" fontId="21" fillId="0" borderId="37" xfId="1" applyFont="1" applyFill="1" applyBorder="1" applyAlignment="1">
      <alignment horizontal="center" vertical="distributed"/>
    </xf>
    <xf numFmtId="43" fontId="21" fillId="0" borderId="37" xfId="1" applyFont="1" applyBorder="1" applyAlignment="1">
      <alignment horizontal="center" vertical="distributed"/>
    </xf>
    <xf numFmtId="2" fontId="22" fillId="0" borderId="5" xfId="1" applyNumberFormat="1" applyFont="1" applyBorder="1" applyAlignment="1">
      <alignment horizontal="center" vertical="center" wrapText="1"/>
    </xf>
    <xf numFmtId="2" fontId="22" fillId="0" borderId="5" xfId="1" applyNumberFormat="1" applyFont="1" applyFill="1" applyBorder="1" applyAlignment="1">
      <alignment horizontal="center" vertical="center" wrapText="1"/>
    </xf>
    <xf numFmtId="2" fontId="22" fillId="0" borderId="6" xfId="1" applyNumberFormat="1" applyFont="1" applyFill="1" applyBorder="1" applyAlignment="1">
      <alignment horizontal="center" vertical="center" wrapText="1"/>
    </xf>
    <xf numFmtId="2" fontId="21" fillId="7" borderId="5" xfId="0" applyNumberFormat="1" applyFont="1" applyFill="1" applyBorder="1" applyAlignment="1">
      <alignment horizontal="center" vertical="center" wrapText="1"/>
    </xf>
    <xf numFmtId="2" fontId="21" fillId="8" borderId="5" xfId="0" applyNumberFormat="1" applyFont="1" applyFill="1" applyBorder="1" applyAlignment="1">
      <alignment horizontal="center" vertical="center" wrapText="1"/>
    </xf>
    <xf numFmtId="2" fontId="21" fillId="9" borderId="5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/>
    </xf>
    <xf numFmtId="43" fontId="21" fillId="0" borderId="0" xfId="0" applyNumberFormat="1" applyFont="1" applyFill="1" applyBorder="1"/>
    <xf numFmtId="43" fontId="50" fillId="0" borderId="0" xfId="1" applyFont="1" applyFill="1" applyBorder="1"/>
    <xf numFmtId="164" fontId="50" fillId="0" borderId="0" xfId="0" applyNumberFormat="1" applyFont="1" applyFill="1" applyBorder="1" applyAlignment="1">
      <alignment horizontal="right"/>
    </xf>
    <xf numFmtId="43" fontId="50" fillId="0" borderId="0" xfId="1" applyFont="1" applyFill="1" applyBorder="1" applyAlignment="1">
      <alignment horizontal="center"/>
    </xf>
    <xf numFmtId="43" fontId="50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3" fontId="50" fillId="0" borderId="0" xfId="1" applyFont="1" applyFill="1" applyAlignment="1">
      <alignment horizontal="right"/>
    </xf>
    <xf numFmtId="0" fontId="50" fillId="0" borderId="0" xfId="0" applyFont="1" applyFill="1" applyBorder="1"/>
    <xf numFmtId="43" fontId="22" fillId="0" borderId="0" xfId="0" applyNumberFormat="1" applyFont="1" applyFill="1"/>
    <xf numFmtId="166" fontId="50" fillId="0" borderId="0" xfId="0" applyNumberFormat="1" applyFont="1" applyFill="1" applyBorder="1"/>
    <xf numFmtId="177" fontId="50" fillId="0" borderId="0" xfId="1" applyNumberFormat="1" applyFont="1" applyFill="1" applyBorder="1" applyAlignment="1">
      <alignment horizontal="center"/>
    </xf>
    <xf numFmtId="176" fontId="50" fillId="0" borderId="0" xfId="0" applyNumberFormat="1" applyFont="1" applyFill="1" applyBorder="1" applyAlignment="1">
      <alignment horizontal="left"/>
    </xf>
    <xf numFmtId="176" fontId="22" fillId="0" borderId="0" xfId="0" applyNumberFormat="1" applyFont="1" applyFill="1" applyBorder="1"/>
    <xf numFmtId="178" fontId="22" fillId="0" borderId="0" xfId="0" applyNumberFormat="1" applyFont="1" applyFill="1"/>
    <xf numFmtId="0" fontId="53" fillId="0" borderId="0" xfId="0" applyFont="1"/>
    <xf numFmtId="0" fontId="21" fillId="0" borderId="0" xfId="0" applyFont="1" applyAlignment="1">
      <alignment horizontal="center"/>
    </xf>
    <xf numFmtId="170" fontId="22" fillId="0" borderId="0" xfId="0" applyNumberFormat="1" applyFont="1" applyFill="1" applyAlignment="1">
      <alignment horizontal="right"/>
    </xf>
    <xf numFmtId="0" fontId="21" fillId="0" borderId="0" xfId="0" applyFont="1" applyBorder="1"/>
    <xf numFmtId="176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67" fontId="22" fillId="0" borderId="0" xfId="1" applyNumberFormat="1" applyFont="1" applyFill="1" applyBorder="1" applyAlignment="1">
      <alignment horizontal="center"/>
    </xf>
    <xf numFmtId="43" fontId="21" fillId="0" borderId="0" xfId="1" applyFont="1" applyFill="1" applyBorder="1" applyAlignment="1"/>
    <xf numFmtId="0" fontId="43" fillId="0" borderId="0" xfId="0" applyFont="1" applyFill="1"/>
    <xf numFmtId="0" fontId="43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43" fillId="0" borderId="0" xfId="0" applyFont="1" applyBorder="1"/>
    <xf numFmtId="176" fontId="36" fillId="0" borderId="0" xfId="0" applyNumberFormat="1" applyFont="1" applyFill="1" applyBorder="1"/>
    <xf numFmtId="176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54" fillId="0" borderId="0" xfId="0" applyFont="1"/>
    <xf numFmtId="0" fontId="36" fillId="0" borderId="0" xfId="0" applyFont="1"/>
    <xf numFmtId="0" fontId="36" fillId="0" borderId="0" xfId="0" applyFont="1" applyFill="1" applyBorder="1"/>
    <xf numFmtId="43" fontId="43" fillId="0" borderId="0" xfId="1" applyFont="1" applyFill="1" applyBorder="1" applyAlignment="1"/>
    <xf numFmtId="0" fontId="34" fillId="0" borderId="0" xfId="0" applyFont="1" applyFill="1"/>
    <xf numFmtId="0" fontId="43" fillId="0" borderId="5" xfId="0" applyFont="1" applyFill="1" applyBorder="1" applyAlignment="1">
      <alignment horizontal="center" vertical="distributed"/>
    </xf>
    <xf numFmtId="0" fontId="43" fillId="0" borderId="5" xfId="0" applyFont="1" applyBorder="1" applyAlignment="1">
      <alignment horizontal="center" vertical="distributed"/>
    </xf>
    <xf numFmtId="0" fontId="43" fillId="0" borderId="5" xfId="0" applyFont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distributed"/>
    </xf>
    <xf numFmtId="0" fontId="43" fillId="0" borderId="37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distributed"/>
    </xf>
    <xf numFmtId="0" fontId="36" fillId="0" borderId="0" xfId="0" applyFont="1" applyFill="1" applyBorder="1" applyAlignment="1">
      <alignment vertical="center" textRotation="90"/>
    </xf>
    <xf numFmtId="0" fontId="22" fillId="0" borderId="7" xfId="0" applyFont="1" applyFill="1" applyBorder="1" applyAlignment="1">
      <alignment horizontal="left"/>
    </xf>
    <xf numFmtId="43" fontId="56" fillId="0" borderId="19" xfId="1" applyFont="1" applyFill="1" applyBorder="1" applyAlignment="1">
      <alignment horizontal="right"/>
    </xf>
    <xf numFmtId="0" fontId="22" fillId="0" borderId="19" xfId="0" applyFont="1" applyFill="1" applyBorder="1" applyAlignment="1">
      <alignment horizontal="left"/>
    </xf>
    <xf numFmtId="167" fontId="22" fillId="0" borderId="19" xfId="1" applyNumberFormat="1" applyFont="1" applyFill="1" applyBorder="1" applyAlignment="1">
      <alignment horizontal="center"/>
    </xf>
    <xf numFmtId="43" fontId="22" fillId="0" borderId="19" xfId="1" applyFont="1" applyFill="1" applyBorder="1" applyAlignment="1">
      <alignment horizontal="center"/>
    </xf>
    <xf numFmtId="43" fontId="21" fillId="0" borderId="19" xfId="1" applyFont="1" applyFill="1" applyBorder="1" applyAlignment="1"/>
    <xf numFmtId="43" fontId="21" fillId="0" borderId="20" xfId="1" applyFont="1" applyFill="1" applyBorder="1" applyAlignment="1"/>
    <xf numFmtId="0" fontId="22" fillId="0" borderId="7" xfId="0" applyFont="1" applyFill="1" applyBorder="1"/>
    <xf numFmtId="0" fontId="22" fillId="0" borderId="19" xfId="0" applyFont="1" applyBorder="1"/>
    <xf numFmtId="0" fontId="22" fillId="0" borderId="20" xfId="0" applyFont="1" applyBorder="1"/>
    <xf numFmtId="170" fontId="36" fillId="0" borderId="5" xfId="0" applyNumberFormat="1" applyFont="1" applyFill="1" applyBorder="1" applyAlignment="1">
      <alignment horizontal="center"/>
    </xf>
    <xf numFmtId="10" fontId="36" fillId="7" borderId="5" xfId="2" applyNumberFormat="1" applyFont="1" applyFill="1" applyBorder="1" applyAlignment="1">
      <alignment horizontal="center"/>
    </xf>
    <xf numFmtId="43" fontId="36" fillId="0" borderId="5" xfId="1" applyFont="1" applyBorder="1" applyAlignment="1">
      <alignment horizontal="center"/>
    </xf>
    <xf numFmtId="170" fontId="36" fillId="0" borderId="5" xfId="0" applyNumberFormat="1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43" fontId="36" fillId="0" borderId="6" xfId="1" applyFont="1" applyFill="1" applyBorder="1" applyAlignment="1">
      <alignment horizontal="center"/>
    </xf>
    <xf numFmtId="10" fontId="43" fillId="7" borderId="5" xfId="2" applyNumberFormat="1" applyFont="1" applyFill="1" applyBorder="1" applyAlignment="1">
      <alignment horizontal="center"/>
    </xf>
    <xf numFmtId="10" fontId="43" fillId="8" borderId="5" xfId="2" applyNumberFormat="1" applyFont="1" applyFill="1" applyBorder="1" applyAlignment="1">
      <alignment horizontal="center"/>
    </xf>
    <xf numFmtId="10" fontId="43" fillId="9" borderId="5" xfId="2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43" fontId="21" fillId="0" borderId="22" xfId="1" applyFont="1" applyFill="1" applyBorder="1" applyAlignment="1"/>
    <xf numFmtId="10" fontId="22" fillId="0" borderId="21" xfId="2" applyNumberFormat="1" applyFont="1" applyFill="1" applyBorder="1"/>
    <xf numFmtId="0" fontId="22" fillId="0" borderId="22" xfId="0" applyFont="1" applyBorder="1"/>
    <xf numFmtId="2" fontId="22" fillId="0" borderId="21" xfId="1" applyNumberFormat="1" applyFont="1" applyFill="1" applyBorder="1" applyAlignment="1">
      <alignment horizontal="center"/>
    </xf>
    <xf numFmtId="168" fontId="22" fillId="0" borderId="21" xfId="0" applyNumberFormat="1" applyFont="1" applyBorder="1"/>
    <xf numFmtId="170" fontId="60" fillId="0" borderId="5" xfId="0" applyNumberFormat="1" applyFont="1" applyFill="1" applyBorder="1" applyAlignment="1">
      <alignment horizontal="center"/>
    </xf>
    <xf numFmtId="10" fontId="60" fillId="0" borderId="5" xfId="2" applyNumberFormat="1" applyFont="1" applyFill="1" applyBorder="1" applyAlignment="1">
      <alignment horizontal="center"/>
    </xf>
    <xf numFmtId="43" fontId="36" fillId="0" borderId="0" xfId="1" applyFont="1" applyBorder="1" applyAlignment="1">
      <alignment horizontal="center"/>
    </xf>
    <xf numFmtId="43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3" fontId="36" fillId="0" borderId="0" xfId="1" applyFont="1" applyFill="1" applyBorder="1" applyAlignment="1">
      <alignment horizontal="center"/>
    </xf>
    <xf numFmtId="10" fontId="43" fillId="0" borderId="0" xfId="2" applyNumberFormat="1" applyFont="1" applyFill="1" applyBorder="1" applyAlignment="1"/>
    <xf numFmtId="171" fontId="22" fillId="0" borderId="21" xfId="2" applyNumberFormat="1" applyFont="1" applyFill="1" applyBorder="1" applyAlignment="1">
      <alignment horizontal="center"/>
    </xf>
    <xf numFmtId="164" fontId="21" fillId="0" borderId="21" xfId="1" applyNumberFormat="1" applyFont="1" applyFill="1" applyBorder="1"/>
    <xf numFmtId="174" fontId="22" fillId="0" borderId="21" xfId="0" applyNumberFormat="1" applyFont="1" applyFill="1" applyBorder="1" applyAlignment="1">
      <alignment horizontal="center"/>
    </xf>
    <xf numFmtId="166" fontId="22" fillId="7" borderId="21" xfId="1" applyNumberFormat="1" applyFont="1" applyFill="1" applyBorder="1"/>
    <xf numFmtId="10" fontId="22" fillId="6" borderId="21" xfId="2" applyNumberFormat="1" applyFont="1" applyFill="1" applyBorder="1" applyAlignment="1">
      <alignment horizontal="center"/>
    </xf>
    <xf numFmtId="167" fontId="22" fillId="0" borderId="0" xfId="0" applyNumberFormat="1" applyFont="1" applyBorder="1"/>
    <xf numFmtId="10" fontId="62" fillId="0" borderId="21" xfId="0" applyNumberFormat="1" applyFont="1" applyBorder="1"/>
    <xf numFmtId="0" fontId="63" fillId="0" borderId="0" xfId="0" applyFont="1" applyBorder="1"/>
    <xf numFmtId="0" fontId="64" fillId="0" borderId="0" xfId="0" applyFont="1"/>
    <xf numFmtId="0" fontId="43" fillId="0" borderId="0" xfId="0" applyFont="1" applyAlignment="1">
      <alignment horizontal="center"/>
    </xf>
    <xf numFmtId="49" fontId="29" fillId="0" borderId="0" xfId="0" applyNumberFormat="1" applyFont="1"/>
    <xf numFmtId="0" fontId="21" fillId="0" borderId="11" xfId="0" applyFont="1" applyBorder="1"/>
    <xf numFmtId="10" fontId="21" fillId="7" borderId="11" xfId="2" applyNumberFormat="1" applyFont="1" applyFill="1" applyBorder="1" applyAlignment="1">
      <alignment horizontal="center"/>
    </xf>
    <xf numFmtId="10" fontId="21" fillId="9" borderId="11" xfId="2" applyNumberFormat="1" applyFont="1" applyFill="1" applyBorder="1" applyAlignment="1">
      <alignment horizontal="center"/>
    </xf>
    <xf numFmtId="10" fontId="21" fillId="8" borderId="15" xfId="2" applyNumberFormat="1" applyFont="1" applyFill="1" applyBorder="1" applyAlignment="1">
      <alignment horizontal="center"/>
    </xf>
    <xf numFmtId="10" fontId="22" fillId="0" borderId="18" xfId="2" applyNumberFormat="1" applyFont="1" applyBorder="1" applyAlignment="1">
      <alignment horizontal="center"/>
    </xf>
    <xf numFmtId="0" fontId="63" fillId="0" borderId="23" xfId="0" applyFont="1" applyBorder="1"/>
    <xf numFmtId="0" fontId="22" fillId="0" borderId="23" xfId="0" applyFont="1" applyBorder="1"/>
    <xf numFmtId="175" fontId="22" fillId="0" borderId="23" xfId="0" applyNumberFormat="1" applyFont="1" applyBorder="1"/>
    <xf numFmtId="0" fontId="22" fillId="0" borderId="24" xfId="0" applyFont="1" applyBorder="1"/>
    <xf numFmtId="0" fontId="22" fillId="0" borderId="18" xfId="0" applyFont="1" applyFill="1" applyBorder="1"/>
    <xf numFmtId="0" fontId="22" fillId="0" borderId="23" xfId="0" applyFont="1" applyFill="1" applyBorder="1"/>
    <xf numFmtId="0" fontId="22" fillId="0" borderId="24" xfId="0" applyFont="1" applyFill="1" applyBorder="1"/>
    <xf numFmtId="10" fontId="22" fillId="0" borderId="0" xfId="2" applyNumberFormat="1" applyFont="1"/>
    <xf numFmtId="10" fontId="22" fillId="0" borderId="0" xfId="0" applyNumberFormat="1" applyFont="1"/>
    <xf numFmtId="0" fontId="21" fillId="0" borderId="15" xfId="0" applyFont="1" applyBorder="1"/>
    <xf numFmtId="1" fontId="21" fillId="7" borderId="11" xfId="0" applyNumberFormat="1" applyFont="1" applyFill="1" applyBorder="1" applyAlignment="1">
      <alignment horizontal="center"/>
    </xf>
    <xf numFmtId="1" fontId="21" fillId="9" borderId="11" xfId="0" applyNumberFormat="1" applyFont="1" applyFill="1" applyBorder="1" applyAlignment="1">
      <alignment horizontal="center"/>
    </xf>
    <xf numFmtId="1" fontId="21" fillId="8" borderId="15" xfId="0" applyNumberFormat="1" applyFont="1" applyFill="1" applyBorder="1" applyAlignment="1">
      <alignment horizontal="center"/>
    </xf>
    <xf numFmtId="10" fontId="22" fillId="0" borderId="0" xfId="1" applyNumberFormat="1" applyFont="1" applyFill="1" applyBorder="1"/>
    <xf numFmtId="170" fontId="22" fillId="0" borderId="0" xfId="1" applyNumberFormat="1" applyFont="1"/>
    <xf numFmtId="1" fontId="22" fillId="0" borderId="0" xfId="0" applyNumberFormat="1" applyFont="1"/>
    <xf numFmtId="2" fontId="22" fillId="0" borderId="0" xfId="0" applyNumberFormat="1" applyFont="1" applyAlignment="1">
      <alignment horizontal="right"/>
    </xf>
    <xf numFmtId="0" fontId="22" fillId="0" borderId="7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right"/>
    </xf>
    <xf numFmtId="179" fontId="22" fillId="0" borderId="19" xfId="1" applyNumberFormat="1" applyFont="1" applyBorder="1" applyAlignment="1">
      <alignment horizontal="center" vertical="center"/>
    </xf>
    <xf numFmtId="2" fontId="22" fillId="0" borderId="19" xfId="0" applyNumberFormat="1" applyFont="1" applyBorder="1"/>
    <xf numFmtId="10" fontId="34" fillId="0" borderId="6" xfId="2" applyNumberFormat="1" applyFont="1" applyFill="1" applyBorder="1"/>
    <xf numFmtId="0" fontId="22" fillId="0" borderId="16" xfId="0" applyFont="1" applyBorder="1"/>
    <xf numFmtId="0" fontId="21" fillId="0" borderId="5" xfId="0" applyFont="1" applyBorder="1" applyAlignment="1">
      <alignment horizontal="right"/>
    </xf>
    <xf numFmtId="49" fontId="29" fillId="0" borderId="5" xfId="1" applyNumberFormat="1" applyFont="1" applyBorder="1" applyAlignment="1">
      <alignment horizontal="right"/>
    </xf>
    <xf numFmtId="1" fontId="65" fillId="0" borderId="0" xfId="0" applyNumberFormat="1" applyFont="1" applyFill="1" applyBorder="1" applyAlignment="1">
      <alignment horizontal="center"/>
    </xf>
    <xf numFmtId="43" fontId="21" fillId="0" borderId="21" xfId="1" applyFont="1" applyFill="1" applyBorder="1" applyAlignment="1">
      <alignment horizontal="left"/>
    </xf>
    <xf numFmtId="0" fontId="48" fillId="0" borderId="0" xfId="0" applyFont="1" applyFill="1" applyBorder="1"/>
    <xf numFmtId="43" fontId="22" fillId="0" borderId="0" xfId="1" applyFont="1" applyFill="1" applyBorder="1" applyAlignment="1"/>
    <xf numFmtId="164" fontId="22" fillId="0" borderId="0" xfId="1" applyNumberFormat="1" applyFont="1" applyFill="1" applyBorder="1"/>
    <xf numFmtId="10" fontId="34" fillId="0" borderId="0" xfId="2" applyNumberFormat="1" applyFont="1" applyFill="1" applyBorder="1" applyAlignment="1">
      <alignment horizontal="center"/>
    </xf>
    <xf numFmtId="0" fontId="34" fillId="10" borderId="18" xfId="0" applyFont="1" applyFill="1" applyBorder="1"/>
    <xf numFmtId="0" fontId="22" fillId="10" borderId="23" xfId="0" applyFont="1" applyFill="1" applyBorder="1"/>
    <xf numFmtId="0" fontId="21" fillId="10" borderId="16" xfId="0" applyFont="1" applyFill="1" applyBorder="1" applyAlignment="1">
      <alignment horizontal="right"/>
    </xf>
    <xf numFmtId="1" fontId="21" fillId="10" borderId="5" xfId="0" applyNumberFormat="1" applyFont="1" applyFill="1" applyBorder="1" applyAlignment="1">
      <alignment horizontal="center" vertical="distributed"/>
    </xf>
    <xf numFmtId="0" fontId="22" fillId="0" borderId="21" xfId="0" applyFont="1" applyBorder="1"/>
    <xf numFmtId="0" fontId="22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170" fontId="34" fillId="0" borderId="0" xfId="1" applyNumberFormat="1" applyFont="1" applyFill="1" applyBorder="1" applyAlignment="1">
      <alignment horizontal="center"/>
    </xf>
    <xf numFmtId="0" fontId="34" fillId="11" borderId="5" xfId="0" applyFont="1" applyFill="1" applyBorder="1" applyAlignment="1">
      <alignment horizontal="center"/>
    </xf>
    <xf numFmtId="0" fontId="22" fillId="11" borderId="5" xfId="0" applyFont="1" applyFill="1" applyBorder="1"/>
    <xf numFmtId="0" fontId="21" fillId="11" borderId="5" xfId="0" applyFont="1" applyFill="1" applyBorder="1" applyAlignment="1">
      <alignment horizontal="right"/>
    </xf>
    <xf numFmtId="1" fontId="21" fillId="11" borderId="5" xfId="0" applyNumberFormat="1" applyFont="1" applyFill="1" applyBorder="1" applyAlignment="1">
      <alignment horizontal="center" vertical="distributed"/>
    </xf>
    <xf numFmtId="164" fontId="22" fillId="0" borderId="0" xfId="0" applyNumberFormat="1" applyFont="1" applyFill="1" applyBorder="1"/>
    <xf numFmtId="170" fontId="34" fillId="12" borderId="6" xfId="0" applyNumberFormat="1" applyFont="1" applyFill="1" applyBorder="1" applyAlignment="1">
      <alignment horizontal="center"/>
    </xf>
    <xf numFmtId="43" fontId="48" fillId="12" borderId="16" xfId="1" applyFont="1" applyFill="1" applyBorder="1"/>
    <xf numFmtId="43" fontId="21" fillId="12" borderId="16" xfId="1" applyFont="1" applyFill="1" applyBorder="1" applyAlignment="1">
      <alignment horizontal="right"/>
    </xf>
    <xf numFmtId="1" fontId="21" fillId="12" borderId="5" xfId="0" applyNumberFormat="1" applyFont="1" applyFill="1" applyBorder="1" applyAlignment="1">
      <alignment horizontal="center" vertical="distributed"/>
    </xf>
    <xf numFmtId="49" fontId="22" fillId="0" borderId="0" xfId="0" applyNumberFormat="1" applyFont="1" applyFill="1" applyBorder="1"/>
    <xf numFmtId="1" fontId="22" fillId="0" borderId="0" xfId="0" applyNumberFormat="1" applyFont="1" applyAlignment="1">
      <alignment horizontal="center"/>
    </xf>
    <xf numFmtId="43" fontId="22" fillId="0" borderId="23" xfId="1" applyFont="1" applyFill="1" applyBorder="1" applyAlignment="1">
      <alignment horizontal="center"/>
    </xf>
    <xf numFmtId="43" fontId="21" fillId="0" borderId="23" xfId="1" applyFont="1" applyFill="1" applyBorder="1" applyAlignment="1"/>
    <xf numFmtId="0" fontId="22" fillId="0" borderId="6" xfId="0" applyFont="1" applyFill="1" applyBorder="1"/>
    <xf numFmtId="0" fontId="22" fillId="0" borderId="16" xfId="0" applyFont="1" applyFill="1" applyBorder="1"/>
    <xf numFmtId="0" fontId="34" fillId="10" borderId="21" xfId="0" applyFont="1" applyFill="1" applyBorder="1"/>
    <xf numFmtId="0" fontId="22" fillId="10" borderId="0" xfId="0" applyFont="1" applyFill="1" applyBorder="1"/>
    <xf numFmtId="0" fontId="21" fillId="10" borderId="19" xfId="0" applyFont="1" applyFill="1" applyBorder="1" applyAlignment="1">
      <alignment horizontal="right"/>
    </xf>
    <xf numFmtId="49" fontId="36" fillId="0" borderId="0" xfId="0" applyNumberFormat="1" applyFont="1"/>
    <xf numFmtId="0" fontId="34" fillId="8" borderId="6" xfId="0" applyFont="1" applyFill="1" applyBorder="1" applyAlignment="1">
      <alignment horizontal="center"/>
    </xf>
    <xf numFmtId="0" fontId="22" fillId="8" borderId="16" xfId="0" applyFont="1" applyFill="1" applyBorder="1"/>
    <xf numFmtId="0" fontId="21" fillId="8" borderId="17" xfId="0" applyFont="1" applyFill="1" applyBorder="1" applyAlignment="1">
      <alignment horizontal="right"/>
    </xf>
    <xf numFmtId="1" fontId="21" fillId="8" borderId="17" xfId="0" applyNumberFormat="1" applyFont="1" applyFill="1" applyBorder="1" applyAlignment="1">
      <alignment horizontal="center" vertical="distributed"/>
    </xf>
    <xf numFmtId="1" fontId="21" fillId="8" borderId="5" xfId="0" applyNumberFormat="1" applyFont="1" applyFill="1" applyBorder="1" applyAlignment="1">
      <alignment horizontal="center" vertical="distributed"/>
    </xf>
    <xf numFmtId="0" fontId="66" fillId="0" borderId="0" xfId="0" applyFont="1" applyFill="1"/>
    <xf numFmtId="0" fontId="67" fillId="0" borderId="0" xfId="0" applyFont="1" applyFill="1" applyBorder="1"/>
    <xf numFmtId="170" fontId="34" fillId="12" borderId="18" xfId="0" applyNumberFormat="1" applyFont="1" applyFill="1" applyBorder="1" applyAlignment="1">
      <alignment horizontal="center"/>
    </xf>
    <xf numFmtId="43" fontId="48" fillId="12" borderId="0" xfId="1" applyFont="1" applyFill="1" applyBorder="1"/>
    <xf numFmtId="43" fontId="21" fillId="12" borderId="0" xfId="1" applyFont="1" applyFill="1" applyBorder="1" applyAlignment="1">
      <alignment horizontal="right"/>
    </xf>
    <xf numFmtId="0" fontId="22" fillId="0" borderId="7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43" fontId="48" fillId="0" borderId="0" xfId="1" applyFont="1" applyFill="1" applyBorder="1"/>
    <xf numFmtId="43" fontId="21" fillId="0" borderId="0" xfId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 horizontal="right"/>
    </xf>
    <xf numFmtId="0" fontId="22" fillId="0" borderId="18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6" fillId="0" borderId="5" xfId="0" applyFont="1" applyBorder="1" applyAlignment="1">
      <alignment horizontal="right"/>
    </xf>
    <xf numFmtId="170" fontId="36" fillId="0" borderId="5" xfId="1" applyNumberFormat="1" applyFont="1" applyFill="1" applyBorder="1"/>
    <xf numFmtId="0" fontId="36" fillId="0" borderId="5" xfId="0" applyFont="1" applyFill="1" applyBorder="1"/>
    <xf numFmtId="0" fontId="68" fillId="0" borderId="5" xfId="0" applyFont="1" applyFill="1" applyBorder="1" applyAlignment="1">
      <alignment horizontal="right"/>
    </xf>
    <xf numFmtId="170" fontId="21" fillId="0" borderId="0" xfId="0" applyNumberFormat="1" applyFont="1" applyFill="1" applyBorder="1"/>
    <xf numFmtId="0" fontId="50" fillId="0" borderId="5" xfId="0" applyFont="1" applyBorder="1" applyAlignment="1">
      <alignment horizontal="right"/>
    </xf>
    <xf numFmtId="0" fontId="36" fillId="0" borderId="6" xfId="0" applyFont="1" applyBorder="1"/>
    <xf numFmtId="0" fontId="36" fillId="0" borderId="17" xfId="0" applyFont="1" applyBorder="1" applyAlignment="1">
      <alignment horizontal="right"/>
    </xf>
    <xf numFmtId="170" fontId="43" fillId="0" borderId="5" xfId="0" applyNumberFormat="1" applyFont="1" applyBorder="1" applyAlignment="1">
      <alignment horizontal="center"/>
    </xf>
    <xf numFmtId="170" fontId="43" fillId="0" borderId="5" xfId="1" applyNumberFormat="1" applyFont="1" applyFill="1" applyBorder="1"/>
    <xf numFmtId="0" fontId="21" fillId="0" borderId="0" xfId="0" applyFont="1" applyBorder="1" applyAlignment="1">
      <alignment horizontal="right"/>
    </xf>
    <xf numFmtId="170" fontId="21" fillId="0" borderId="0" xfId="0" applyNumberFormat="1" applyFont="1" applyFill="1" applyBorder="1" applyAlignment="1">
      <alignment horizontal="center"/>
    </xf>
    <xf numFmtId="170" fontId="36" fillId="0" borderId="0" xfId="1" applyNumberFormat="1" applyFont="1" applyFill="1" applyBorder="1"/>
    <xf numFmtId="170" fontId="43" fillId="0" borderId="0" xfId="1" applyNumberFormat="1" applyFont="1" applyFill="1" applyBorder="1"/>
    <xf numFmtId="170" fontId="69" fillId="0" borderId="0" xfId="0" applyNumberFormat="1" applyFont="1" applyFill="1" applyBorder="1"/>
    <xf numFmtId="0" fontId="37" fillId="0" borderId="38" xfId="0" applyFont="1" applyBorder="1"/>
    <xf numFmtId="170" fontId="36" fillId="0" borderId="0" xfId="1" applyNumberFormat="1" applyFont="1"/>
    <xf numFmtId="43" fontId="37" fillId="0" borderId="5" xfId="1" applyFont="1" applyBorder="1"/>
    <xf numFmtId="43" fontId="43" fillId="0" borderId="0" xfId="1" applyFont="1"/>
    <xf numFmtId="170" fontId="22" fillId="0" borderId="0" xfId="0" applyNumberFormat="1" applyFont="1"/>
    <xf numFmtId="0" fontId="43" fillId="0" borderId="0" xfId="0" applyFont="1" applyBorder="1" applyAlignment="1">
      <alignment horizontal="right"/>
    </xf>
    <xf numFmtId="43" fontId="36" fillId="6" borderId="0" xfId="0" applyNumberFormat="1" applyFont="1" applyFill="1"/>
    <xf numFmtId="43" fontId="22" fillId="0" borderId="0" xfId="1" applyFont="1" applyBorder="1"/>
    <xf numFmtId="43" fontId="21" fillId="0" borderId="5" xfId="0" applyNumberFormat="1" applyFont="1" applyBorder="1"/>
    <xf numFmtId="43" fontId="36" fillId="0" borderId="0" xfId="0" applyNumberFormat="1" applyFont="1"/>
    <xf numFmtId="176" fontId="22" fillId="0" borderId="0" xfId="0" applyNumberFormat="1" applyFont="1"/>
    <xf numFmtId="0" fontId="22" fillId="0" borderId="5" xfId="0" applyFont="1" applyFill="1" applyBorder="1" applyAlignment="1">
      <alignment horizontal="right"/>
    </xf>
    <xf numFmtId="164" fontId="21" fillId="6" borderId="5" xfId="1" applyNumberFormat="1" applyFont="1" applyFill="1" applyBorder="1"/>
    <xf numFmtId="167" fontId="36" fillId="0" borderId="0" xfId="0" applyNumberFormat="1" applyFont="1" applyFill="1" applyBorder="1"/>
    <xf numFmtId="0" fontId="21" fillId="0" borderId="0" xfId="0" applyFont="1" applyBorder="1" applyAlignment="1">
      <alignment horizontal="center"/>
    </xf>
    <xf numFmtId="9" fontId="22" fillId="0" borderId="0" xfId="2" applyFont="1" applyFill="1" applyBorder="1"/>
    <xf numFmtId="49" fontId="22" fillId="3" borderId="11" xfId="0" applyNumberFormat="1" applyFont="1" applyFill="1" applyBorder="1"/>
    <xf numFmtId="49" fontId="22" fillId="3" borderId="26" xfId="0" applyNumberFormat="1" applyFont="1" applyFill="1" applyBorder="1"/>
    <xf numFmtId="49" fontId="22" fillId="3" borderId="28" xfId="0" applyNumberFormat="1" applyFont="1" applyFill="1" applyBorder="1" applyAlignment="1">
      <alignment horizontal="right"/>
    </xf>
    <xf numFmtId="0" fontId="22" fillId="0" borderId="10" xfId="0" applyFont="1" applyBorder="1"/>
    <xf numFmtId="49" fontId="22" fillId="3" borderId="8" xfId="0" applyNumberFormat="1" applyFont="1" applyFill="1" applyBorder="1"/>
    <xf numFmtId="170" fontId="22" fillId="3" borderId="0" xfId="0" applyNumberFormat="1" applyFont="1" applyFill="1" applyBorder="1"/>
    <xf numFmtId="2" fontId="22" fillId="3" borderId="0" xfId="0" applyNumberFormat="1" applyFont="1" applyFill="1" applyBorder="1"/>
    <xf numFmtId="10" fontId="22" fillId="3" borderId="0" xfId="0" applyNumberFormat="1" applyFont="1" applyFill="1" applyBorder="1"/>
    <xf numFmtId="1" fontId="22" fillId="3" borderId="0" xfId="0" applyNumberFormat="1" applyFont="1" applyFill="1" applyBorder="1" applyAlignment="1">
      <alignment horizontal="center"/>
    </xf>
    <xf numFmtId="0" fontId="22" fillId="0" borderId="39" xfId="0" applyFont="1" applyBorder="1"/>
    <xf numFmtId="49" fontId="22" fillId="3" borderId="38" xfId="0" applyNumberFormat="1" applyFont="1" applyFill="1" applyBorder="1"/>
    <xf numFmtId="10" fontId="22" fillId="3" borderId="39" xfId="0" applyNumberFormat="1" applyFont="1" applyFill="1" applyBorder="1" applyAlignment="1">
      <alignment horizontal="center"/>
    </xf>
    <xf numFmtId="0" fontId="35" fillId="0" borderId="0" xfId="0" applyFont="1" applyFill="1" applyBorder="1"/>
    <xf numFmtId="49" fontId="22" fillId="3" borderId="6" xfId="0" applyNumberFormat="1" applyFont="1" applyFill="1" applyBorder="1" applyAlignment="1">
      <alignment horizontal="center"/>
    </xf>
    <xf numFmtId="0" fontId="22" fillId="3" borderId="40" xfId="0" applyFont="1" applyFill="1" applyBorder="1" applyAlignment="1">
      <alignment horizontal="center"/>
    </xf>
    <xf numFmtId="0" fontId="22" fillId="3" borderId="38" xfId="0" applyFont="1" applyFill="1" applyBorder="1"/>
    <xf numFmtId="49" fontId="22" fillId="3" borderId="14" xfId="0" applyNumberFormat="1" applyFont="1" applyFill="1" applyBorder="1"/>
    <xf numFmtId="0" fontId="22" fillId="3" borderId="41" xfId="0" applyFont="1" applyFill="1" applyBorder="1"/>
    <xf numFmtId="0" fontId="22" fillId="3" borderId="13" xfId="0" applyFont="1" applyFill="1" applyBorder="1"/>
    <xf numFmtId="49" fontId="21" fillId="3" borderId="5" xfId="0" applyNumberFormat="1" applyFont="1" applyFill="1" applyBorder="1" applyAlignment="1">
      <alignment horizontal="center" vertical="distributed"/>
    </xf>
    <xf numFmtId="0" fontId="22" fillId="0" borderId="0" xfId="0" applyFont="1" applyAlignment="1">
      <alignment vertical="distributed"/>
    </xf>
    <xf numFmtId="0" fontId="22" fillId="0" borderId="5" xfId="0" applyFont="1" applyBorder="1" applyAlignment="1">
      <alignment horizontal="center" vertical="distributed"/>
    </xf>
    <xf numFmtId="164" fontId="22" fillId="0" borderId="0" xfId="0" applyNumberFormat="1" applyFont="1"/>
    <xf numFmtId="174" fontId="22" fillId="0" borderId="5" xfId="0" applyNumberFormat="1" applyFont="1" applyBorder="1" applyAlignment="1">
      <alignment horizontal="center" vertical="distributed"/>
    </xf>
    <xf numFmtId="164" fontId="22" fillId="0" borderId="0" xfId="0" applyNumberFormat="1" applyFont="1" applyFill="1" applyBorder="1" applyAlignment="1">
      <alignment horizontal="center"/>
    </xf>
    <xf numFmtId="3" fontId="13" fillId="0" borderId="0" xfId="0" applyNumberFormat="1" applyFont="1" applyAlignment="1"/>
    <xf numFmtId="0" fontId="21" fillId="0" borderId="4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4" fillId="5" borderId="46" xfId="0" applyFont="1" applyFill="1" applyBorder="1" applyAlignment="1">
      <alignment horizontal="center" vertical="center"/>
    </xf>
    <xf numFmtId="169" fontId="22" fillId="0" borderId="29" xfId="2" applyNumberFormat="1" applyFont="1" applyBorder="1" applyAlignment="1">
      <alignment horizontal="center" vertical="center" wrapText="1"/>
    </xf>
    <xf numFmtId="165" fontId="22" fillId="0" borderId="29" xfId="2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0" fontId="24" fillId="5" borderId="53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/>
    <xf numFmtId="173" fontId="22" fillId="0" borderId="0" xfId="0" applyNumberFormat="1" applyFont="1" applyFill="1" applyBorder="1"/>
    <xf numFmtId="2" fontId="35" fillId="0" borderId="0" xfId="0" applyNumberFormat="1" applyFont="1" applyFill="1" applyBorder="1"/>
    <xf numFmtId="10" fontId="22" fillId="0" borderId="53" xfId="0" applyNumberFormat="1" applyFont="1" applyFill="1" applyBorder="1" applyAlignment="1">
      <alignment horizontal="center" vertical="center"/>
    </xf>
    <xf numFmtId="169" fontId="13" fillId="4" borderId="0" xfId="0" applyNumberFormat="1" applyFont="1" applyFill="1" applyBorder="1" applyAlignment="1">
      <alignment horizontal="center"/>
    </xf>
    <xf numFmtId="165" fontId="13" fillId="4" borderId="0" xfId="0" applyNumberFormat="1" applyFont="1" applyFill="1" applyBorder="1" applyAlignment="1">
      <alignment horizontal="center"/>
    </xf>
    <xf numFmtId="43" fontId="22" fillId="2" borderId="5" xfId="0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169" fontId="22" fillId="0" borderId="49" xfId="2" applyNumberFormat="1" applyFont="1" applyBorder="1" applyAlignment="1">
      <alignment horizontal="center" vertical="center" wrapText="1"/>
    </xf>
    <xf numFmtId="169" fontId="22" fillId="0" borderId="50" xfId="2" applyNumberFormat="1" applyFont="1" applyBorder="1" applyAlignment="1">
      <alignment horizontal="center" vertical="center" wrapText="1"/>
    </xf>
    <xf numFmtId="169" fontId="22" fillId="0" borderId="51" xfId="2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distributed"/>
    </xf>
    <xf numFmtId="0" fontId="42" fillId="0" borderId="2" xfId="0" applyFont="1" applyBorder="1" applyAlignment="1">
      <alignment horizontal="left" vertical="distributed"/>
    </xf>
    <xf numFmtId="0" fontId="42" fillId="0" borderId="3" xfId="0" applyFont="1" applyBorder="1" applyAlignment="1">
      <alignment horizontal="left" vertical="distributed"/>
    </xf>
    <xf numFmtId="0" fontId="44" fillId="0" borderId="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distributed"/>
    </xf>
    <xf numFmtId="0" fontId="21" fillId="0" borderId="17" xfId="0" applyFont="1" applyBorder="1" applyAlignment="1">
      <alignment horizontal="center" vertical="distributed"/>
    </xf>
    <xf numFmtId="0" fontId="29" fillId="0" borderId="1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distributed"/>
    </xf>
    <xf numFmtId="0" fontId="14" fillId="0" borderId="2" xfId="0" applyFont="1" applyBorder="1" applyAlignment="1">
      <alignment horizontal="left" vertical="distributed"/>
    </xf>
    <xf numFmtId="0" fontId="14" fillId="0" borderId="3" xfId="0" applyFont="1" applyBorder="1" applyAlignment="1">
      <alignment horizontal="left" vertical="distributed"/>
    </xf>
    <xf numFmtId="0" fontId="16" fillId="0" borderId="4" xfId="0" applyFont="1" applyBorder="1" applyAlignment="1">
      <alignment horizontal="left" vertical="distributed"/>
    </xf>
    <xf numFmtId="0" fontId="15" fillId="0" borderId="26" xfId="0" applyFont="1" applyBorder="1" applyAlignment="1">
      <alignment horizontal="center" vertical="distributed"/>
    </xf>
    <xf numFmtId="0" fontId="15" fillId="0" borderId="25" xfId="0" applyFont="1" applyBorder="1" applyAlignment="1">
      <alignment horizontal="center" vertical="distributed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 wrapText="1"/>
    </xf>
    <xf numFmtId="165" fontId="28" fillId="0" borderId="0" xfId="2" applyNumberFormat="1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colors>
    <mruColors>
      <color rgb="FF0000FF"/>
      <color rgb="FFCCFFFF"/>
      <color rgb="FFCCECFF"/>
      <color rgb="FFDDDDD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182563</xdr:colOff>
      <xdr:row>8</xdr:row>
      <xdr:rowOff>214312</xdr:rowOff>
    </xdr:from>
    <xdr:to>
      <xdr:col>2</xdr:col>
      <xdr:colOff>404813</xdr:colOff>
      <xdr:row>12</xdr:row>
      <xdr:rowOff>23813</xdr:rowOff>
    </xdr:to>
    <xdr:cxnSp macro="">
      <xdr:nvCxnSpPr>
        <xdr:cNvPr id="3" name="Conector recto de flecha 2"/>
        <xdr:cNvCxnSpPr/>
      </xdr:nvCxnSpPr>
      <xdr:spPr>
        <a:xfrm flipH="1">
          <a:off x="373063" y="2286000"/>
          <a:ext cx="1285875" cy="611188"/>
        </a:xfrm>
        <a:prstGeom prst="straightConnector1">
          <a:avLst/>
        </a:prstGeom>
        <a:ln>
          <a:solidFill>
            <a:schemeClr val="accent4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8</xdr:row>
      <xdr:rowOff>95250</xdr:rowOff>
    </xdr:from>
    <xdr:to>
      <xdr:col>2</xdr:col>
      <xdr:colOff>1009650</xdr:colOff>
      <xdr:row>8</xdr:row>
      <xdr:rowOff>95250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695575" y="1857375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zoomScale="120" zoomScaleNormal="120" workbookViewId="0"/>
  </sheetViews>
  <sheetFormatPr baseColWidth="10" defaultRowHeight="12.75" x14ac:dyDescent="0.2"/>
  <cols>
    <col min="1" max="1" width="27.42578125" style="103" customWidth="1"/>
    <col min="2" max="2" width="21.7109375" style="103" customWidth="1"/>
    <col min="3" max="3" width="22" style="103" customWidth="1"/>
    <col min="4" max="4" width="17.140625" style="103" customWidth="1"/>
    <col min="5" max="5" width="21.42578125" style="103" customWidth="1"/>
    <col min="6" max="6" width="19.5703125" style="103" customWidth="1"/>
    <col min="7" max="7" width="20.42578125" style="103" customWidth="1"/>
    <col min="8" max="8" width="8.42578125" style="103" customWidth="1"/>
    <col min="9" max="9" width="14.42578125" style="103" bestFit="1" customWidth="1"/>
    <col min="10" max="10" width="16.140625" style="103" bestFit="1" customWidth="1"/>
    <col min="11" max="11" width="14.42578125" style="103" bestFit="1" customWidth="1"/>
    <col min="12" max="12" width="13.42578125" style="103" customWidth="1"/>
    <col min="13" max="13" width="14.7109375" style="103" bestFit="1" customWidth="1"/>
    <col min="14" max="14" width="14.28515625" style="85" bestFit="1" customWidth="1"/>
    <col min="15" max="15" width="14.28515625" style="85" customWidth="1"/>
    <col min="16" max="16" width="14" style="103" bestFit="1" customWidth="1"/>
    <col min="17" max="17" width="11.5703125" style="103" bestFit="1" customWidth="1"/>
    <col min="18" max="18" width="13.85546875" style="103" bestFit="1" customWidth="1"/>
    <col min="19" max="19" width="11.42578125" style="103"/>
    <col min="20" max="21" width="11.42578125" style="85"/>
    <col min="22" max="256" width="11.42578125" style="103"/>
    <col min="257" max="257" width="20.28515625" style="103" customWidth="1"/>
    <col min="258" max="258" width="21.7109375" style="103" customWidth="1"/>
    <col min="259" max="259" width="22" style="103" customWidth="1"/>
    <col min="260" max="260" width="17.140625" style="103" customWidth="1"/>
    <col min="261" max="261" width="21.42578125" style="103" customWidth="1"/>
    <col min="262" max="262" width="19.5703125" style="103" customWidth="1"/>
    <col min="263" max="263" width="14.140625" style="103" bestFit="1" customWidth="1"/>
    <col min="264" max="264" width="8.42578125" style="103" customWidth="1"/>
    <col min="265" max="265" width="14.42578125" style="103" bestFit="1" customWidth="1"/>
    <col min="266" max="266" width="16.140625" style="103" bestFit="1" customWidth="1"/>
    <col min="267" max="267" width="14.42578125" style="103" bestFit="1" customWidth="1"/>
    <col min="268" max="268" width="13.42578125" style="103" customWidth="1"/>
    <col min="269" max="269" width="14.7109375" style="103" bestFit="1" customWidth="1"/>
    <col min="270" max="270" width="14.28515625" style="103" bestFit="1" customWidth="1"/>
    <col min="271" max="271" width="14.28515625" style="103" customWidth="1"/>
    <col min="272" max="272" width="14" style="103" bestFit="1" customWidth="1"/>
    <col min="273" max="273" width="11.5703125" style="103" bestFit="1" customWidth="1"/>
    <col min="274" max="274" width="13.85546875" style="103" bestFit="1" customWidth="1"/>
    <col min="275" max="512" width="11.42578125" style="103"/>
    <col min="513" max="513" width="20.28515625" style="103" customWidth="1"/>
    <col min="514" max="514" width="21.7109375" style="103" customWidth="1"/>
    <col min="515" max="515" width="22" style="103" customWidth="1"/>
    <col min="516" max="516" width="17.140625" style="103" customWidth="1"/>
    <col min="517" max="517" width="21.42578125" style="103" customWidth="1"/>
    <col min="518" max="518" width="19.5703125" style="103" customWidth="1"/>
    <col min="519" max="519" width="14.140625" style="103" bestFit="1" customWidth="1"/>
    <col min="520" max="520" width="8.42578125" style="103" customWidth="1"/>
    <col min="521" max="521" width="14.42578125" style="103" bestFit="1" customWidth="1"/>
    <col min="522" max="522" width="16.140625" style="103" bestFit="1" customWidth="1"/>
    <col min="523" max="523" width="14.42578125" style="103" bestFit="1" customWidth="1"/>
    <col min="524" max="524" width="13.42578125" style="103" customWidth="1"/>
    <col min="525" max="525" width="14.7109375" style="103" bestFit="1" customWidth="1"/>
    <col min="526" max="526" width="14.28515625" style="103" bestFit="1" customWidth="1"/>
    <col min="527" max="527" width="14.28515625" style="103" customWidth="1"/>
    <col min="528" max="528" width="14" style="103" bestFit="1" customWidth="1"/>
    <col min="529" max="529" width="11.5703125" style="103" bestFit="1" customWidth="1"/>
    <col min="530" max="530" width="13.85546875" style="103" bestFit="1" customWidth="1"/>
    <col min="531" max="768" width="11.42578125" style="103"/>
    <col min="769" max="769" width="20.28515625" style="103" customWidth="1"/>
    <col min="770" max="770" width="21.7109375" style="103" customWidth="1"/>
    <col min="771" max="771" width="22" style="103" customWidth="1"/>
    <col min="772" max="772" width="17.140625" style="103" customWidth="1"/>
    <col min="773" max="773" width="21.42578125" style="103" customWidth="1"/>
    <col min="774" max="774" width="19.5703125" style="103" customWidth="1"/>
    <col min="775" max="775" width="14.140625" style="103" bestFit="1" customWidth="1"/>
    <col min="776" max="776" width="8.42578125" style="103" customWidth="1"/>
    <col min="777" max="777" width="14.42578125" style="103" bestFit="1" customWidth="1"/>
    <col min="778" max="778" width="16.140625" style="103" bestFit="1" customWidth="1"/>
    <col min="779" max="779" width="14.42578125" style="103" bestFit="1" customWidth="1"/>
    <col min="780" max="780" width="13.42578125" style="103" customWidth="1"/>
    <col min="781" max="781" width="14.7109375" style="103" bestFit="1" customWidth="1"/>
    <col min="782" max="782" width="14.28515625" style="103" bestFit="1" customWidth="1"/>
    <col min="783" max="783" width="14.28515625" style="103" customWidth="1"/>
    <col min="784" max="784" width="14" style="103" bestFit="1" customWidth="1"/>
    <col min="785" max="785" width="11.5703125" style="103" bestFit="1" customWidth="1"/>
    <col min="786" max="786" width="13.85546875" style="103" bestFit="1" customWidth="1"/>
    <col min="787" max="1024" width="11.42578125" style="103"/>
    <col min="1025" max="1025" width="20.28515625" style="103" customWidth="1"/>
    <col min="1026" max="1026" width="21.7109375" style="103" customWidth="1"/>
    <col min="1027" max="1027" width="22" style="103" customWidth="1"/>
    <col min="1028" max="1028" width="17.140625" style="103" customWidth="1"/>
    <col min="1029" max="1029" width="21.42578125" style="103" customWidth="1"/>
    <col min="1030" max="1030" width="19.5703125" style="103" customWidth="1"/>
    <col min="1031" max="1031" width="14.140625" style="103" bestFit="1" customWidth="1"/>
    <col min="1032" max="1032" width="8.42578125" style="103" customWidth="1"/>
    <col min="1033" max="1033" width="14.42578125" style="103" bestFit="1" customWidth="1"/>
    <col min="1034" max="1034" width="16.140625" style="103" bestFit="1" customWidth="1"/>
    <col min="1035" max="1035" width="14.42578125" style="103" bestFit="1" customWidth="1"/>
    <col min="1036" max="1036" width="13.42578125" style="103" customWidth="1"/>
    <col min="1037" max="1037" width="14.7109375" style="103" bestFit="1" customWidth="1"/>
    <col min="1038" max="1038" width="14.28515625" style="103" bestFit="1" customWidth="1"/>
    <col min="1039" max="1039" width="14.28515625" style="103" customWidth="1"/>
    <col min="1040" max="1040" width="14" style="103" bestFit="1" customWidth="1"/>
    <col min="1041" max="1041" width="11.5703125" style="103" bestFit="1" customWidth="1"/>
    <col min="1042" max="1042" width="13.85546875" style="103" bestFit="1" customWidth="1"/>
    <col min="1043" max="1280" width="11.42578125" style="103"/>
    <col min="1281" max="1281" width="20.28515625" style="103" customWidth="1"/>
    <col min="1282" max="1282" width="21.7109375" style="103" customWidth="1"/>
    <col min="1283" max="1283" width="22" style="103" customWidth="1"/>
    <col min="1284" max="1284" width="17.140625" style="103" customWidth="1"/>
    <col min="1285" max="1285" width="21.42578125" style="103" customWidth="1"/>
    <col min="1286" max="1286" width="19.5703125" style="103" customWidth="1"/>
    <col min="1287" max="1287" width="14.140625" style="103" bestFit="1" customWidth="1"/>
    <col min="1288" max="1288" width="8.42578125" style="103" customWidth="1"/>
    <col min="1289" max="1289" width="14.42578125" style="103" bestFit="1" customWidth="1"/>
    <col min="1290" max="1290" width="16.140625" style="103" bestFit="1" customWidth="1"/>
    <col min="1291" max="1291" width="14.42578125" style="103" bestFit="1" customWidth="1"/>
    <col min="1292" max="1292" width="13.42578125" style="103" customWidth="1"/>
    <col min="1293" max="1293" width="14.7109375" style="103" bestFit="1" customWidth="1"/>
    <col min="1294" max="1294" width="14.28515625" style="103" bestFit="1" customWidth="1"/>
    <col min="1295" max="1295" width="14.28515625" style="103" customWidth="1"/>
    <col min="1296" max="1296" width="14" style="103" bestFit="1" customWidth="1"/>
    <col min="1297" max="1297" width="11.5703125" style="103" bestFit="1" customWidth="1"/>
    <col min="1298" max="1298" width="13.85546875" style="103" bestFit="1" customWidth="1"/>
    <col min="1299" max="1536" width="11.42578125" style="103"/>
    <col min="1537" max="1537" width="20.28515625" style="103" customWidth="1"/>
    <col min="1538" max="1538" width="21.7109375" style="103" customWidth="1"/>
    <col min="1539" max="1539" width="22" style="103" customWidth="1"/>
    <col min="1540" max="1540" width="17.140625" style="103" customWidth="1"/>
    <col min="1541" max="1541" width="21.42578125" style="103" customWidth="1"/>
    <col min="1542" max="1542" width="19.5703125" style="103" customWidth="1"/>
    <col min="1543" max="1543" width="14.140625" style="103" bestFit="1" customWidth="1"/>
    <col min="1544" max="1544" width="8.42578125" style="103" customWidth="1"/>
    <col min="1545" max="1545" width="14.42578125" style="103" bestFit="1" customWidth="1"/>
    <col min="1546" max="1546" width="16.140625" style="103" bestFit="1" customWidth="1"/>
    <col min="1547" max="1547" width="14.42578125" style="103" bestFit="1" customWidth="1"/>
    <col min="1548" max="1548" width="13.42578125" style="103" customWidth="1"/>
    <col min="1549" max="1549" width="14.7109375" style="103" bestFit="1" customWidth="1"/>
    <col min="1550" max="1550" width="14.28515625" style="103" bestFit="1" customWidth="1"/>
    <col min="1551" max="1551" width="14.28515625" style="103" customWidth="1"/>
    <col min="1552" max="1552" width="14" style="103" bestFit="1" customWidth="1"/>
    <col min="1553" max="1553" width="11.5703125" style="103" bestFit="1" customWidth="1"/>
    <col min="1554" max="1554" width="13.85546875" style="103" bestFit="1" customWidth="1"/>
    <col min="1555" max="1792" width="11.42578125" style="103"/>
    <col min="1793" max="1793" width="20.28515625" style="103" customWidth="1"/>
    <col min="1794" max="1794" width="21.7109375" style="103" customWidth="1"/>
    <col min="1795" max="1795" width="22" style="103" customWidth="1"/>
    <col min="1796" max="1796" width="17.140625" style="103" customWidth="1"/>
    <col min="1797" max="1797" width="21.42578125" style="103" customWidth="1"/>
    <col min="1798" max="1798" width="19.5703125" style="103" customWidth="1"/>
    <col min="1799" max="1799" width="14.140625" style="103" bestFit="1" customWidth="1"/>
    <col min="1800" max="1800" width="8.42578125" style="103" customWidth="1"/>
    <col min="1801" max="1801" width="14.42578125" style="103" bestFit="1" customWidth="1"/>
    <col min="1802" max="1802" width="16.140625" style="103" bestFit="1" customWidth="1"/>
    <col min="1803" max="1803" width="14.42578125" style="103" bestFit="1" customWidth="1"/>
    <col min="1804" max="1804" width="13.42578125" style="103" customWidth="1"/>
    <col min="1805" max="1805" width="14.7109375" style="103" bestFit="1" customWidth="1"/>
    <col min="1806" max="1806" width="14.28515625" style="103" bestFit="1" customWidth="1"/>
    <col min="1807" max="1807" width="14.28515625" style="103" customWidth="1"/>
    <col min="1808" max="1808" width="14" style="103" bestFit="1" customWidth="1"/>
    <col min="1809" max="1809" width="11.5703125" style="103" bestFit="1" customWidth="1"/>
    <col min="1810" max="1810" width="13.85546875" style="103" bestFit="1" customWidth="1"/>
    <col min="1811" max="2048" width="11.42578125" style="103"/>
    <col min="2049" max="2049" width="20.28515625" style="103" customWidth="1"/>
    <col min="2050" max="2050" width="21.7109375" style="103" customWidth="1"/>
    <col min="2051" max="2051" width="22" style="103" customWidth="1"/>
    <col min="2052" max="2052" width="17.140625" style="103" customWidth="1"/>
    <col min="2053" max="2053" width="21.42578125" style="103" customWidth="1"/>
    <col min="2054" max="2054" width="19.5703125" style="103" customWidth="1"/>
    <col min="2055" max="2055" width="14.140625" style="103" bestFit="1" customWidth="1"/>
    <col min="2056" max="2056" width="8.42578125" style="103" customWidth="1"/>
    <col min="2057" max="2057" width="14.42578125" style="103" bestFit="1" customWidth="1"/>
    <col min="2058" max="2058" width="16.140625" style="103" bestFit="1" customWidth="1"/>
    <col min="2059" max="2059" width="14.42578125" style="103" bestFit="1" customWidth="1"/>
    <col min="2060" max="2060" width="13.42578125" style="103" customWidth="1"/>
    <col min="2061" max="2061" width="14.7109375" style="103" bestFit="1" customWidth="1"/>
    <col min="2062" max="2062" width="14.28515625" style="103" bestFit="1" customWidth="1"/>
    <col min="2063" max="2063" width="14.28515625" style="103" customWidth="1"/>
    <col min="2064" max="2064" width="14" style="103" bestFit="1" customWidth="1"/>
    <col min="2065" max="2065" width="11.5703125" style="103" bestFit="1" customWidth="1"/>
    <col min="2066" max="2066" width="13.85546875" style="103" bestFit="1" customWidth="1"/>
    <col min="2067" max="2304" width="11.42578125" style="103"/>
    <col min="2305" max="2305" width="20.28515625" style="103" customWidth="1"/>
    <col min="2306" max="2306" width="21.7109375" style="103" customWidth="1"/>
    <col min="2307" max="2307" width="22" style="103" customWidth="1"/>
    <col min="2308" max="2308" width="17.140625" style="103" customWidth="1"/>
    <col min="2309" max="2309" width="21.42578125" style="103" customWidth="1"/>
    <col min="2310" max="2310" width="19.5703125" style="103" customWidth="1"/>
    <col min="2311" max="2311" width="14.140625" style="103" bestFit="1" customWidth="1"/>
    <col min="2312" max="2312" width="8.42578125" style="103" customWidth="1"/>
    <col min="2313" max="2313" width="14.42578125" style="103" bestFit="1" customWidth="1"/>
    <col min="2314" max="2314" width="16.140625" style="103" bestFit="1" customWidth="1"/>
    <col min="2315" max="2315" width="14.42578125" style="103" bestFit="1" customWidth="1"/>
    <col min="2316" max="2316" width="13.42578125" style="103" customWidth="1"/>
    <col min="2317" max="2317" width="14.7109375" style="103" bestFit="1" customWidth="1"/>
    <col min="2318" max="2318" width="14.28515625" style="103" bestFit="1" customWidth="1"/>
    <col min="2319" max="2319" width="14.28515625" style="103" customWidth="1"/>
    <col min="2320" max="2320" width="14" style="103" bestFit="1" customWidth="1"/>
    <col min="2321" max="2321" width="11.5703125" style="103" bestFit="1" customWidth="1"/>
    <col min="2322" max="2322" width="13.85546875" style="103" bestFit="1" customWidth="1"/>
    <col min="2323" max="2560" width="11.42578125" style="103"/>
    <col min="2561" max="2561" width="20.28515625" style="103" customWidth="1"/>
    <col min="2562" max="2562" width="21.7109375" style="103" customWidth="1"/>
    <col min="2563" max="2563" width="22" style="103" customWidth="1"/>
    <col min="2564" max="2564" width="17.140625" style="103" customWidth="1"/>
    <col min="2565" max="2565" width="21.42578125" style="103" customWidth="1"/>
    <col min="2566" max="2566" width="19.5703125" style="103" customWidth="1"/>
    <col min="2567" max="2567" width="14.140625" style="103" bestFit="1" customWidth="1"/>
    <col min="2568" max="2568" width="8.42578125" style="103" customWidth="1"/>
    <col min="2569" max="2569" width="14.42578125" style="103" bestFit="1" customWidth="1"/>
    <col min="2570" max="2570" width="16.140625" style="103" bestFit="1" customWidth="1"/>
    <col min="2571" max="2571" width="14.42578125" style="103" bestFit="1" customWidth="1"/>
    <col min="2572" max="2572" width="13.42578125" style="103" customWidth="1"/>
    <col min="2573" max="2573" width="14.7109375" style="103" bestFit="1" customWidth="1"/>
    <col min="2574" max="2574" width="14.28515625" style="103" bestFit="1" customWidth="1"/>
    <col min="2575" max="2575" width="14.28515625" style="103" customWidth="1"/>
    <col min="2576" max="2576" width="14" style="103" bestFit="1" customWidth="1"/>
    <col min="2577" max="2577" width="11.5703125" style="103" bestFit="1" customWidth="1"/>
    <col min="2578" max="2578" width="13.85546875" style="103" bestFit="1" customWidth="1"/>
    <col min="2579" max="2816" width="11.42578125" style="103"/>
    <col min="2817" max="2817" width="20.28515625" style="103" customWidth="1"/>
    <col min="2818" max="2818" width="21.7109375" style="103" customWidth="1"/>
    <col min="2819" max="2819" width="22" style="103" customWidth="1"/>
    <col min="2820" max="2820" width="17.140625" style="103" customWidth="1"/>
    <col min="2821" max="2821" width="21.42578125" style="103" customWidth="1"/>
    <col min="2822" max="2822" width="19.5703125" style="103" customWidth="1"/>
    <col min="2823" max="2823" width="14.140625" style="103" bestFit="1" customWidth="1"/>
    <col min="2824" max="2824" width="8.42578125" style="103" customWidth="1"/>
    <col min="2825" max="2825" width="14.42578125" style="103" bestFit="1" customWidth="1"/>
    <col min="2826" max="2826" width="16.140625" style="103" bestFit="1" customWidth="1"/>
    <col min="2827" max="2827" width="14.42578125" style="103" bestFit="1" customWidth="1"/>
    <col min="2828" max="2828" width="13.42578125" style="103" customWidth="1"/>
    <col min="2829" max="2829" width="14.7109375" style="103" bestFit="1" customWidth="1"/>
    <col min="2830" max="2830" width="14.28515625" style="103" bestFit="1" customWidth="1"/>
    <col min="2831" max="2831" width="14.28515625" style="103" customWidth="1"/>
    <col min="2832" max="2832" width="14" style="103" bestFit="1" customWidth="1"/>
    <col min="2833" max="2833" width="11.5703125" style="103" bestFit="1" customWidth="1"/>
    <col min="2834" max="2834" width="13.85546875" style="103" bestFit="1" customWidth="1"/>
    <col min="2835" max="3072" width="11.42578125" style="103"/>
    <col min="3073" max="3073" width="20.28515625" style="103" customWidth="1"/>
    <col min="3074" max="3074" width="21.7109375" style="103" customWidth="1"/>
    <col min="3075" max="3075" width="22" style="103" customWidth="1"/>
    <col min="3076" max="3076" width="17.140625" style="103" customWidth="1"/>
    <col min="3077" max="3077" width="21.42578125" style="103" customWidth="1"/>
    <col min="3078" max="3078" width="19.5703125" style="103" customWidth="1"/>
    <col min="3079" max="3079" width="14.140625" style="103" bestFit="1" customWidth="1"/>
    <col min="3080" max="3080" width="8.42578125" style="103" customWidth="1"/>
    <col min="3081" max="3081" width="14.42578125" style="103" bestFit="1" customWidth="1"/>
    <col min="3082" max="3082" width="16.140625" style="103" bestFit="1" customWidth="1"/>
    <col min="3083" max="3083" width="14.42578125" style="103" bestFit="1" customWidth="1"/>
    <col min="3084" max="3084" width="13.42578125" style="103" customWidth="1"/>
    <col min="3085" max="3085" width="14.7109375" style="103" bestFit="1" customWidth="1"/>
    <col min="3086" max="3086" width="14.28515625" style="103" bestFit="1" customWidth="1"/>
    <col min="3087" max="3087" width="14.28515625" style="103" customWidth="1"/>
    <col min="3088" max="3088" width="14" style="103" bestFit="1" customWidth="1"/>
    <col min="3089" max="3089" width="11.5703125" style="103" bestFit="1" customWidth="1"/>
    <col min="3090" max="3090" width="13.85546875" style="103" bestFit="1" customWidth="1"/>
    <col min="3091" max="3328" width="11.42578125" style="103"/>
    <col min="3329" max="3329" width="20.28515625" style="103" customWidth="1"/>
    <col min="3330" max="3330" width="21.7109375" style="103" customWidth="1"/>
    <col min="3331" max="3331" width="22" style="103" customWidth="1"/>
    <col min="3332" max="3332" width="17.140625" style="103" customWidth="1"/>
    <col min="3333" max="3333" width="21.42578125" style="103" customWidth="1"/>
    <col min="3334" max="3334" width="19.5703125" style="103" customWidth="1"/>
    <col min="3335" max="3335" width="14.140625" style="103" bestFit="1" customWidth="1"/>
    <col min="3336" max="3336" width="8.42578125" style="103" customWidth="1"/>
    <col min="3337" max="3337" width="14.42578125" style="103" bestFit="1" customWidth="1"/>
    <col min="3338" max="3338" width="16.140625" style="103" bestFit="1" customWidth="1"/>
    <col min="3339" max="3339" width="14.42578125" style="103" bestFit="1" customWidth="1"/>
    <col min="3340" max="3340" width="13.42578125" style="103" customWidth="1"/>
    <col min="3341" max="3341" width="14.7109375" style="103" bestFit="1" customWidth="1"/>
    <col min="3342" max="3342" width="14.28515625" style="103" bestFit="1" customWidth="1"/>
    <col min="3343" max="3343" width="14.28515625" style="103" customWidth="1"/>
    <col min="3344" max="3344" width="14" style="103" bestFit="1" customWidth="1"/>
    <col min="3345" max="3345" width="11.5703125" style="103" bestFit="1" customWidth="1"/>
    <col min="3346" max="3346" width="13.85546875" style="103" bestFit="1" customWidth="1"/>
    <col min="3347" max="3584" width="11.42578125" style="103"/>
    <col min="3585" max="3585" width="20.28515625" style="103" customWidth="1"/>
    <col min="3586" max="3586" width="21.7109375" style="103" customWidth="1"/>
    <col min="3587" max="3587" width="22" style="103" customWidth="1"/>
    <col min="3588" max="3588" width="17.140625" style="103" customWidth="1"/>
    <col min="3589" max="3589" width="21.42578125" style="103" customWidth="1"/>
    <col min="3590" max="3590" width="19.5703125" style="103" customWidth="1"/>
    <col min="3591" max="3591" width="14.140625" style="103" bestFit="1" customWidth="1"/>
    <col min="3592" max="3592" width="8.42578125" style="103" customWidth="1"/>
    <col min="3593" max="3593" width="14.42578125" style="103" bestFit="1" customWidth="1"/>
    <col min="3594" max="3594" width="16.140625" style="103" bestFit="1" customWidth="1"/>
    <col min="3595" max="3595" width="14.42578125" style="103" bestFit="1" customWidth="1"/>
    <col min="3596" max="3596" width="13.42578125" style="103" customWidth="1"/>
    <col min="3597" max="3597" width="14.7109375" style="103" bestFit="1" customWidth="1"/>
    <col min="3598" max="3598" width="14.28515625" style="103" bestFit="1" customWidth="1"/>
    <col min="3599" max="3599" width="14.28515625" style="103" customWidth="1"/>
    <col min="3600" max="3600" width="14" style="103" bestFit="1" customWidth="1"/>
    <col min="3601" max="3601" width="11.5703125" style="103" bestFit="1" customWidth="1"/>
    <col min="3602" max="3602" width="13.85546875" style="103" bestFit="1" customWidth="1"/>
    <col min="3603" max="3840" width="11.42578125" style="103"/>
    <col min="3841" max="3841" width="20.28515625" style="103" customWidth="1"/>
    <col min="3842" max="3842" width="21.7109375" style="103" customWidth="1"/>
    <col min="3843" max="3843" width="22" style="103" customWidth="1"/>
    <col min="3844" max="3844" width="17.140625" style="103" customWidth="1"/>
    <col min="3845" max="3845" width="21.42578125" style="103" customWidth="1"/>
    <col min="3846" max="3846" width="19.5703125" style="103" customWidth="1"/>
    <col min="3847" max="3847" width="14.140625" style="103" bestFit="1" customWidth="1"/>
    <col min="3848" max="3848" width="8.42578125" style="103" customWidth="1"/>
    <col min="3849" max="3849" width="14.42578125" style="103" bestFit="1" customWidth="1"/>
    <col min="3850" max="3850" width="16.140625" style="103" bestFit="1" customWidth="1"/>
    <col min="3851" max="3851" width="14.42578125" style="103" bestFit="1" customWidth="1"/>
    <col min="3852" max="3852" width="13.42578125" style="103" customWidth="1"/>
    <col min="3853" max="3853" width="14.7109375" style="103" bestFit="1" customWidth="1"/>
    <col min="3854" max="3854" width="14.28515625" style="103" bestFit="1" customWidth="1"/>
    <col min="3855" max="3855" width="14.28515625" style="103" customWidth="1"/>
    <col min="3856" max="3856" width="14" style="103" bestFit="1" customWidth="1"/>
    <col min="3857" max="3857" width="11.5703125" style="103" bestFit="1" customWidth="1"/>
    <col min="3858" max="3858" width="13.85546875" style="103" bestFit="1" customWidth="1"/>
    <col min="3859" max="4096" width="11.42578125" style="103"/>
    <col min="4097" max="4097" width="20.28515625" style="103" customWidth="1"/>
    <col min="4098" max="4098" width="21.7109375" style="103" customWidth="1"/>
    <col min="4099" max="4099" width="22" style="103" customWidth="1"/>
    <col min="4100" max="4100" width="17.140625" style="103" customWidth="1"/>
    <col min="4101" max="4101" width="21.42578125" style="103" customWidth="1"/>
    <col min="4102" max="4102" width="19.5703125" style="103" customWidth="1"/>
    <col min="4103" max="4103" width="14.140625" style="103" bestFit="1" customWidth="1"/>
    <col min="4104" max="4104" width="8.42578125" style="103" customWidth="1"/>
    <col min="4105" max="4105" width="14.42578125" style="103" bestFit="1" customWidth="1"/>
    <col min="4106" max="4106" width="16.140625" style="103" bestFit="1" customWidth="1"/>
    <col min="4107" max="4107" width="14.42578125" style="103" bestFit="1" customWidth="1"/>
    <col min="4108" max="4108" width="13.42578125" style="103" customWidth="1"/>
    <col min="4109" max="4109" width="14.7109375" style="103" bestFit="1" customWidth="1"/>
    <col min="4110" max="4110" width="14.28515625" style="103" bestFit="1" customWidth="1"/>
    <col min="4111" max="4111" width="14.28515625" style="103" customWidth="1"/>
    <col min="4112" max="4112" width="14" style="103" bestFit="1" customWidth="1"/>
    <col min="4113" max="4113" width="11.5703125" style="103" bestFit="1" customWidth="1"/>
    <col min="4114" max="4114" width="13.85546875" style="103" bestFit="1" customWidth="1"/>
    <col min="4115" max="4352" width="11.42578125" style="103"/>
    <col min="4353" max="4353" width="20.28515625" style="103" customWidth="1"/>
    <col min="4354" max="4354" width="21.7109375" style="103" customWidth="1"/>
    <col min="4355" max="4355" width="22" style="103" customWidth="1"/>
    <col min="4356" max="4356" width="17.140625" style="103" customWidth="1"/>
    <col min="4357" max="4357" width="21.42578125" style="103" customWidth="1"/>
    <col min="4358" max="4358" width="19.5703125" style="103" customWidth="1"/>
    <col min="4359" max="4359" width="14.140625" style="103" bestFit="1" customWidth="1"/>
    <col min="4360" max="4360" width="8.42578125" style="103" customWidth="1"/>
    <col min="4361" max="4361" width="14.42578125" style="103" bestFit="1" customWidth="1"/>
    <col min="4362" max="4362" width="16.140625" style="103" bestFit="1" customWidth="1"/>
    <col min="4363" max="4363" width="14.42578125" style="103" bestFit="1" customWidth="1"/>
    <col min="4364" max="4364" width="13.42578125" style="103" customWidth="1"/>
    <col min="4365" max="4365" width="14.7109375" style="103" bestFit="1" customWidth="1"/>
    <col min="4366" max="4366" width="14.28515625" style="103" bestFit="1" customWidth="1"/>
    <col min="4367" max="4367" width="14.28515625" style="103" customWidth="1"/>
    <col min="4368" max="4368" width="14" style="103" bestFit="1" customWidth="1"/>
    <col min="4369" max="4369" width="11.5703125" style="103" bestFit="1" customWidth="1"/>
    <col min="4370" max="4370" width="13.85546875" style="103" bestFit="1" customWidth="1"/>
    <col min="4371" max="4608" width="11.42578125" style="103"/>
    <col min="4609" max="4609" width="20.28515625" style="103" customWidth="1"/>
    <col min="4610" max="4610" width="21.7109375" style="103" customWidth="1"/>
    <col min="4611" max="4611" width="22" style="103" customWidth="1"/>
    <col min="4612" max="4612" width="17.140625" style="103" customWidth="1"/>
    <col min="4613" max="4613" width="21.42578125" style="103" customWidth="1"/>
    <col min="4614" max="4614" width="19.5703125" style="103" customWidth="1"/>
    <col min="4615" max="4615" width="14.140625" style="103" bestFit="1" customWidth="1"/>
    <col min="4616" max="4616" width="8.42578125" style="103" customWidth="1"/>
    <col min="4617" max="4617" width="14.42578125" style="103" bestFit="1" customWidth="1"/>
    <col min="4618" max="4618" width="16.140625" style="103" bestFit="1" customWidth="1"/>
    <col min="4619" max="4619" width="14.42578125" style="103" bestFit="1" customWidth="1"/>
    <col min="4620" max="4620" width="13.42578125" style="103" customWidth="1"/>
    <col min="4621" max="4621" width="14.7109375" style="103" bestFit="1" customWidth="1"/>
    <col min="4622" max="4622" width="14.28515625" style="103" bestFit="1" customWidth="1"/>
    <col min="4623" max="4623" width="14.28515625" style="103" customWidth="1"/>
    <col min="4624" max="4624" width="14" style="103" bestFit="1" customWidth="1"/>
    <col min="4625" max="4625" width="11.5703125" style="103" bestFit="1" customWidth="1"/>
    <col min="4626" max="4626" width="13.85546875" style="103" bestFit="1" customWidth="1"/>
    <col min="4627" max="4864" width="11.42578125" style="103"/>
    <col min="4865" max="4865" width="20.28515625" style="103" customWidth="1"/>
    <col min="4866" max="4866" width="21.7109375" style="103" customWidth="1"/>
    <col min="4867" max="4867" width="22" style="103" customWidth="1"/>
    <col min="4868" max="4868" width="17.140625" style="103" customWidth="1"/>
    <col min="4869" max="4869" width="21.42578125" style="103" customWidth="1"/>
    <col min="4870" max="4870" width="19.5703125" style="103" customWidth="1"/>
    <col min="4871" max="4871" width="14.140625" style="103" bestFit="1" customWidth="1"/>
    <col min="4872" max="4872" width="8.42578125" style="103" customWidth="1"/>
    <col min="4873" max="4873" width="14.42578125" style="103" bestFit="1" customWidth="1"/>
    <col min="4874" max="4874" width="16.140625" style="103" bestFit="1" customWidth="1"/>
    <col min="4875" max="4875" width="14.42578125" style="103" bestFit="1" customWidth="1"/>
    <col min="4876" max="4876" width="13.42578125" style="103" customWidth="1"/>
    <col min="4877" max="4877" width="14.7109375" style="103" bestFit="1" customWidth="1"/>
    <col min="4878" max="4878" width="14.28515625" style="103" bestFit="1" customWidth="1"/>
    <col min="4879" max="4879" width="14.28515625" style="103" customWidth="1"/>
    <col min="4880" max="4880" width="14" style="103" bestFit="1" customWidth="1"/>
    <col min="4881" max="4881" width="11.5703125" style="103" bestFit="1" customWidth="1"/>
    <col min="4882" max="4882" width="13.85546875" style="103" bestFit="1" customWidth="1"/>
    <col min="4883" max="5120" width="11.42578125" style="103"/>
    <col min="5121" max="5121" width="20.28515625" style="103" customWidth="1"/>
    <col min="5122" max="5122" width="21.7109375" style="103" customWidth="1"/>
    <col min="5123" max="5123" width="22" style="103" customWidth="1"/>
    <col min="5124" max="5124" width="17.140625" style="103" customWidth="1"/>
    <col min="5125" max="5125" width="21.42578125" style="103" customWidth="1"/>
    <col min="5126" max="5126" width="19.5703125" style="103" customWidth="1"/>
    <col min="5127" max="5127" width="14.140625" style="103" bestFit="1" customWidth="1"/>
    <col min="5128" max="5128" width="8.42578125" style="103" customWidth="1"/>
    <col min="5129" max="5129" width="14.42578125" style="103" bestFit="1" customWidth="1"/>
    <col min="5130" max="5130" width="16.140625" style="103" bestFit="1" customWidth="1"/>
    <col min="5131" max="5131" width="14.42578125" style="103" bestFit="1" customWidth="1"/>
    <col min="5132" max="5132" width="13.42578125" style="103" customWidth="1"/>
    <col min="5133" max="5133" width="14.7109375" style="103" bestFit="1" customWidth="1"/>
    <col min="5134" max="5134" width="14.28515625" style="103" bestFit="1" customWidth="1"/>
    <col min="5135" max="5135" width="14.28515625" style="103" customWidth="1"/>
    <col min="5136" max="5136" width="14" style="103" bestFit="1" customWidth="1"/>
    <col min="5137" max="5137" width="11.5703125" style="103" bestFit="1" customWidth="1"/>
    <col min="5138" max="5138" width="13.85546875" style="103" bestFit="1" customWidth="1"/>
    <col min="5139" max="5376" width="11.42578125" style="103"/>
    <col min="5377" max="5377" width="20.28515625" style="103" customWidth="1"/>
    <col min="5378" max="5378" width="21.7109375" style="103" customWidth="1"/>
    <col min="5379" max="5379" width="22" style="103" customWidth="1"/>
    <col min="5380" max="5380" width="17.140625" style="103" customWidth="1"/>
    <col min="5381" max="5381" width="21.42578125" style="103" customWidth="1"/>
    <col min="5382" max="5382" width="19.5703125" style="103" customWidth="1"/>
    <col min="5383" max="5383" width="14.140625" style="103" bestFit="1" customWidth="1"/>
    <col min="5384" max="5384" width="8.42578125" style="103" customWidth="1"/>
    <col min="5385" max="5385" width="14.42578125" style="103" bestFit="1" customWidth="1"/>
    <col min="5386" max="5386" width="16.140625" style="103" bestFit="1" customWidth="1"/>
    <col min="5387" max="5387" width="14.42578125" style="103" bestFit="1" customWidth="1"/>
    <col min="5388" max="5388" width="13.42578125" style="103" customWidth="1"/>
    <col min="5389" max="5389" width="14.7109375" style="103" bestFit="1" customWidth="1"/>
    <col min="5390" max="5390" width="14.28515625" style="103" bestFit="1" customWidth="1"/>
    <col min="5391" max="5391" width="14.28515625" style="103" customWidth="1"/>
    <col min="5392" max="5392" width="14" style="103" bestFit="1" customWidth="1"/>
    <col min="5393" max="5393" width="11.5703125" style="103" bestFit="1" customWidth="1"/>
    <col min="5394" max="5394" width="13.85546875" style="103" bestFit="1" customWidth="1"/>
    <col min="5395" max="5632" width="11.42578125" style="103"/>
    <col min="5633" max="5633" width="20.28515625" style="103" customWidth="1"/>
    <col min="5634" max="5634" width="21.7109375" style="103" customWidth="1"/>
    <col min="5635" max="5635" width="22" style="103" customWidth="1"/>
    <col min="5636" max="5636" width="17.140625" style="103" customWidth="1"/>
    <col min="5637" max="5637" width="21.42578125" style="103" customWidth="1"/>
    <col min="5638" max="5638" width="19.5703125" style="103" customWidth="1"/>
    <col min="5639" max="5639" width="14.140625" style="103" bestFit="1" customWidth="1"/>
    <col min="5640" max="5640" width="8.42578125" style="103" customWidth="1"/>
    <col min="5641" max="5641" width="14.42578125" style="103" bestFit="1" customWidth="1"/>
    <col min="5642" max="5642" width="16.140625" style="103" bestFit="1" customWidth="1"/>
    <col min="5643" max="5643" width="14.42578125" style="103" bestFit="1" customWidth="1"/>
    <col min="5644" max="5644" width="13.42578125" style="103" customWidth="1"/>
    <col min="5645" max="5645" width="14.7109375" style="103" bestFit="1" customWidth="1"/>
    <col min="5646" max="5646" width="14.28515625" style="103" bestFit="1" customWidth="1"/>
    <col min="5647" max="5647" width="14.28515625" style="103" customWidth="1"/>
    <col min="5648" max="5648" width="14" style="103" bestFit="1" customWidth="1"/>
    <col min="5649" max="5649" width="11.5703125" style="103" bestFit="1" customWidth="1"/>
    <col min="5650" max="5650" width="13.85546875" style="103" bestFit="1" customWidth="1"/>
    <col min="5651" max="5888" width="11.42578125" style="103"/>
    <col min="5889" max="5889" width="20.28515625" style="103" customWidth="1"/>
    <col min="5890" max="5890" width="21.7109375" style="103" customWidth="1"/>
    <col min="5891" max="5891" width="22" style="103" customWidth="1"/>
    <col min="5892" max="5892" width="17.140625" style="103" customWidth="1"/>
    <col min="5893" max="5893" width="21.42578125" style="103" customWidth="1"/>
    <col min="5894" max="5894" width="19.5703125" style="103" customWidth="1"/>
    <col min="5895" max="5895" width="14.140625" style="103" bestFit="1" customWidth="1"/>
    <col min="5896" max="5896" width="8.42578125" style="103" customWidth="1"/>
    <col min="5897" max="5897" width="14.42578125" style="103" bestFit="1" customWidth="1"/>
    <col min="5898" max="5898" width="16.140625" style="103" bestFit="1" customWidth="1"/>
    <col min="5899" max="5899" width="14.42578125" style="103" bestFit="1" customWidth="1"/>
    <col min="5900" max="5900" width="13.42578125" style="103" customWidth="1"/>
    <col min="5901" max="5901" width="14.7109375" style="103" bestFit="1" customWidth="1"/>
    <col min="5902" max="5902" width="14.28515625" style="103" bestFit="1" customWidth="1"/>
    <col min="5903" max="5903" width="14.28515625" style="103" customWidth="1"/>
    <col min="5904" max="5904" width="14" style="103" bestFit="1" customWidth="1"/>
    <col min="5905" max="5905" width="11.5703125" style="103" bestFit="1" customWidth="1"/>
    <col min="5906" max="5906" width="13.85546875" style="103" bestFit="1" customWidth="1"/>
    <col min="5907" max="6144" width="11.42578125" style="103"/>
    <col min="6145" max="6145" width="20.28515625" style="103" customWidth="1"/>
    <col min="6146" max="6146" width="21.7109375" style="103" customWidth="1"/>
    <col min="6147" max="6147" width="22" style="103" customWidth="1"/>
    <col min="6148" max="6148" width="17.140625" style="103" customWidth="1"/>
    <col min="6149" max="6149" width="21.42578125" style="103" customWidth="1"/>
    <col min="6150" max="6150" width="19.5703125" style="103" customWidth="1"/>
    <col min="6151" max="6151" width="14.140625" style="103" bestFit="1" customWidth="1"/>
    <col min="6152" max="6152" width="8.42578125" style="103" customWidth="1"/>
    <col min="6153" max="6153" width="14.42578125" style="103" bestFit="1" customWidth="1"/>
    <col min="6154" max="6154" width="16.140625" style="103" bestFit="1" customWidth="1"/>
    <col min="6155" max="6155" width="14.42578125" style="103" bestFit="1" customWidth="1"/>
    <col min="6156" max="6156" width="13.42578125" style="103" customWidth="1"/>
    <col min="6157" max="6157" width="14.7109375" style="103" bestFit="1" customWidth="1"/>
    <col min="6158" max="6158" width="14.28515625" style="103" bestFit="1" customWidth="1"/>
    <col min="6159" max="6159" width="14.28515625" style="103" customWidth="1"/>
    <col min="6160" max="6160" width="14" style="103" bestFit="1" customWidth="1"/>
    <col min="6161" max="6161" width="11.5703125" style="103" bestFit="1" customWidth="1"/>
    <col min="6162" max="6162" width="13.85546875" style="103" bestFit="1" customWidth="1"/>
    <col min="6163" max="6400" width="11.42578125" style="103"/>
    <col min="6401" max="6401" width="20.28515625" style="103" customWidth="1"/>
    <col min="6402" max="6402" width="21.7109375" style="103" customWidth="1"/>
    <col min="6403" max="6403" width="22" style="103" customWidth="1"/>
    <col min="6404" max="6404" width="17.140625" style="103" customWidth="1"/>
    <col min="6405" max="6405" width="21.42578125" style="103" customWidth="1"/>
    <col min="6406" max="6406" width="19.5703125" style="103" customWidth="1"/>
    <col min="6407" max="6407" width="14.140625" style="103" bestFit="1" customWidth="1"/>
    <col min="6408" max="6408" width="8.42578125" style="103" customWidth="1"/>
    <col min="6409" max="6409" width="14.42578125" style="103" bestFit="1" customWidth="1"/>
    <col min="6410" max="6410" width="16.140625" style="103" bestFit="1" customWidth="1"/>
    <col min="6411" max="6411" width="14.42578125" style="103" bestFit="1" customWidth="1"/>
    <col min="6412" max="6412" width="13.42578125" style="103" customWidth="1"/>
    <col min="6413" max="6413" width="14.7109375" style="103" bestFit="1" customWidth="1"/>
    <col min="6414" max="6414" width="14.28515625" style="103" bestFit="1" customWidth="1"/>
    <col min="6415" max="6415" width="14.28515625" style="103" customWidth="1"/>
    <col min="6416" max="6416" width="14" style="103" bestFit="1" customWidth="1"/>
    <col min="6417" max="6417" width="11.5703125" style="103" bestFit="1" customWidth="1"/>
    <col min="6418" max="6418" width="13.85546875" style="103" bestFit="1" customWidth="1"/>
    <col min="6419" max="6656" width="11.42578125" style="103"/>
    <col min="6657" max="6657" width="20.28515625" style="103" customWidth="1"/>
    <col min="6658" max="6658" width="21.7109375" style="103" customWidth="1"/>
    <col min="6659" max="6659" width="22" style="103" customWidth="1"/>
    <col min="6660" max="6660" width="17.140625" style="103" customWidth="1"/>
    <col min="6661" max="6661" width="21.42578125" style="103" customWidth="1"/>
    <col min="6662" max="6662" width="19.5703125" style="103" customWidth="1"/>
    <col min="6663" max="6663" width="14.140625" style="103" bestFit="1" customWidth="1"/>
    <col min="6664" max="6664" width="8.42578125" style="103" customWidth="1"/>
    <col min="6665" max="6665" width="14.42578125" style="103" bestFit="1" customWidth="1"/>
    <col min="6666" max="6666" width="16.140625" style="103" bestFit="1" customWidth="1"/>
    <col min="6667" max="6667" width="14.42578125" style="103" bestFit="1" customWidth="1"/>
    <col min="6668" max="6668" width="13.42578125" style="103" customWidth="1"/>
    <col min="6669" max="6669" width="14.7109375" style="103" bestFit="1" customWidth="1"/>
    <col min="6670" max="6670" width="14.28515625" style="103" bestFit="1" customWidth="1"/>
    <col min="6671" max="6671" width="14.28515625" style="103" customWidth="1"/>
    <col min="6672" max="6672" width="14" style="103" bestFit="1" customWidth="1"/>
    <col min="6673" max="6673" width="11.5703125" style="103" bestFit="1" customWidth="1"/>
    <col min="6674" max="6674" width="13.85546875" style="103" bestFit="1" customWidth="1"/>
    <col min="6675" max="6912" width="11.42578125" style="103"/>
    <col min="6913" max="6913" width="20.28515625" style="103" customWidth="1"/>
    <col min="6914" max="6914" width="21.7109375" style="103" customWidth="1"/>
    <col min="6915" max="6915" width="22" style="103" customWidth="1"/>
    <col min="6916" max="6916" width="17.140625" style="103" customWidth="1"/>
    <col min="6917" max="6917" width="21.42578125" style="103" customWidth="1"/>
    <col min="6918" max="6918" width="19.5703125" style="103" customWidth="1"/>
    <col min="6919" max="6919" width="14.140625" style="103" bestFit="1" customWidth="1"/>
    <col min="6920" max="6920" width="8.42578125" style="103" customWidth="1"/>
    <col min="6921" max="6921" width="14.42578125" style="103" bestFit="1" customWidth="1"/>
    <col min="6922" max="6922" width="16.140625" style="103" bestFit="1" customWidth="1"/>
    <col min="6923" max="6923" width="14.42578125" style="103" bestFit="1" customWidth="1"/>
    <col min="6924" max="6924" width="13.42578125" style="103" customWidth="1"/>
    <col min="6925" max="6925" width="14.7109375" style="103" bestFit="1" customWidth="1"/>
    <col min="6926" max="6926" width="14.28515625" style="103" bestFit="1" customWidth="1"/>
    <col min="6927" max="6927" width="14.28515625" style="103" customWidth="1"/>
    <col min="6928" max="6928" width="14" style="103" bestFit="1" customWidth="1"/>
    <col min="6929" max="6929" width="11.5703125" style="103" bestFit="1" customWidth="1"/>
    <col min="6930" max="6930" width="13.85546875" style="103" bestFit="1" customWidth="1"/>
    <col min="6931" max="7168" width="11.42578125" style="103"/>
    <col min="7169" max="7169" width="20.28515625" style="103" customWidth="1"/>
    <col min="7170" max="7170" width="21.7109375" style="103" customWidth="1"/>
    <col min="7171" max="7171" width="22" style="103" customWidth="1"/>
    <col min="7172" max="7172" width="17.140625" style="103" customWidth="1"/>
    <col min="7173" max="7173" width="21.42578125" style="103" customWidth="1"/>
    <col min="7174" max="7174" width="19.5703125" style="103" customWidth="1"/>
    <col min="7175" max="7175" width="14.140625" style="103" bestFit="1" customWidth="1"/>
    <col min="7176" max="7176" width="8.42578125" style="103" customWidth="1"/>
    <col min="7177" max="7177" width="14.42578125" style="103" bestFit="1" customWidth="1"/>
    <col min="7178" max="7178" width="16.140625" style="103" bestFit="1" customWidth="1"/>
    <col min="7179" max="7179" width="14.42578125" style="103" bestFit="1" customWidth="1"/>
    <col min="7180" max="7180" width="13.42578125" style="103" customWidth="1"/>
    <col min="7181" max="7181" width="14.7109375" style="103" bestFit="1" customWidth="1"/>
    <col min="7182" max="7182" width="14.28515625" style="103" bestFit="1" customWidth="1"/>
    <col min="7183" max="7183" width="14.28515625" style="103" customWidth="1"/>
    <col min="7184" max="7184" width="14" style="103" bestFit="1" customWidth="1"/>
    <col min="7185" max="7185" width="11.5703125" style="103" bestFit="1" customWidth="1"/>
    <col min="7186" max="7186" width="13.85546875" style="103" bestFit="1" customWidth="1"/>
    <col min="7187" max="7424" width="11.42578125" style="103"/>
    <col min="7425" max="7425" width="20.28515625" style="103" customWidth="1"/>
    <col min="7426" max="7426" width="21.7109375" style="103" customWidth="1"/>
    <col min="7427" max="7427" width="22" style="103" customWidth="1"/>
    <col min="7428" max="7428" width="17.140625" style="103" customWidth="1"/>
    <col min="7429" max="7429" width="21.42578125" style="103" customWidth="1"/>
    <col min="7430" max="7430" width="19.5703125" style="103" customWidth="1"/>
    <col min="7431" max="7431" width="14.140625" style="103" bestFit="1" customWidth="1"/>
    <col min="7432" max="7432" width="8.42578125" style="103" customWidth="1"/>
    <col min="7433" max="7433" width="14.42578125" style="103" bestFit="1" customWidth="1"/>
    <col min="7434" max="7434" width="16.140625" style="103" bestFit="1" customWidth="1"/>
    <col min="7435" max="7435" width="14.42578125" style="103" bestFit="1" customWidth="1"/>
    <col min="7436" max="7436" width="13.42578125" style="103" customWidth="1"/>
    <col min="7437" max="7437" width="14.7109375" style="103" bestFit="1" customWidth="1"/>
    <col min="7438" max="7438" width="14.28515625" style="103" bestFit="1" customWidth="1"/>
    <col min="7439" max="7439" width="14.28515625" style="103" customWidth="1"/>
    <col min="7440" max="7440" width="14" style="103" bestFit="1" customWidth="1"/>
    <col min="7441" max="7441" width="11.5703125" style="103" bestFit="1" customWidth="1"/>
    <col min="7442" max="7442" width="13.85546875" style="103" bestFit="1" customWidth="1"/>
    <col min="7443" max="7680" width="11.42578125" style="103"/>
    <col min="7681" max="7681" width="20.28515625" style="103" customWidth="1"/>
    <col min="7682" max="7682" width="21.7109375" style="103" customWidth="1"/>
    <col min="7683" max="7683" width="22" style="103" customWidth="1"/>
    <col min="7684" max="7684" width="17.140625" style="103" customWidth="1"/>
    <col min="7685" max="7685" width="21.42578125" style="103" customWidth="1"/>
    <col min="7686" max="7686" width="19.5703125" style="103" customWidth="1"/>
    <col min="7687" max="7687" width="14.140625" style="103" bestFit="1" customWidth="1"/>
    <col min="7688" max="7688" width="8.42578125" style="103" customWidth="1"/>
    <col min="7689" max="7689" width="14.42578125" style="103" bestFit="1" customWidth="1"/>
    <col min="7690" max="7690" width="16.140625" style="103" bestFit="1" customWidth="1"/>
    <col min="7691" max="7691" width="14.42578125" style="103" bestFit="1" customWidth="1"/>
    <col min="7692" max="7692" width="13.42578125" style="103" customWidth="1"/>
    <col min="7693" max="7693" width="14.7109375" style="103" bestFit="1" customWidth="1"/>
    <col min="7694" max="7694" width="14.28515625" style="103" bestFit="1" customWidth="1"/>
    <col min="7695" max="7695" width="14.28515625" style="103" customWidth="1"/>
    <col min="7696" max="7696" width="14" style="103" bestFit="1" customWidth="1"/>
    <col min="7697" max="7697" width="11.5703125" style="103" bestFit="1" customWidth="1"/>
    <col min="7698" max="7698" width="13.85546875" style="103" bestFit="1" customWidth="1"/>
    <col min="7699" max="7936" width="11.42578125" style="103"/>
    <col min="7937" max="7937" width="20.28515625" style="103" customWidth="1"/>
    <col min="7938" max="7938" width="21.7109375" style="103" customWidth="1"/>
    <col min="7939" max="7939" width="22" style="103" customWidth="1"/>
    <col min="7940" max="7940" width="17.140625" style="103" customWidth="1"/>
    <col min="7941" max="7941" width="21.42578125" style="103" customWidth="1"/>
    <col min="7942" max="7942" width="19.5703125" style="103" customWidth="1"/>
    <col min="7943" max="7943" width="14.140625" style="103" bestFit="1" customWidth="1"/>
    <col min="7944" max="7944" width="8.42578125" style="103" customWidth="1"/>
    <col min="7945" max="7945" width="14.42578125" style="103" bestFit="1" customWidth="1"/>
    <col min="7946" max="7946" width="16.140625" style="103" bestFit="1" customWidth="1"/>
    <col min="7947" max="7947" width="14.42578125" style="103" bestFit="1" customWidth="1"/>
    <col min="7948" max="7948" width="13.42578125" style="103" customWidth="1"/>
    <col min="7949" max="7949" width="14.7109375" style="103" bestFit="1" customWidth="1"/>
    <col min="7950" max="7950" width="14.28515625" style="103" bestFit="1" customWidth="1"/>
    <col min="7951" max="7951" width="14.28515625" style="103" customWidth="1"/>
    <col min="7952" max="7952" width="14" style="103" bestFit="1" customWidth="1"/>
    <col min="7953" max="7953" width="11.5703125" style="103" bestFit="1" customWidth="1"/>
    <col min="7954" max="7954" width="13.85546875" style="103" bestFit="1" customWidth="1"/>
    <col min="7955" max="8192" width="11.42578125" style="103"/>
    <col min="8193" max="8193" width="20.28515625" style="103" customWidth="1"/>
    <col min="8194" max="8194" width="21.7109375" style="103" customWidth="1"/>
    <col min="8195" max="8195" width="22" style="103" customWidth="1"/>
    <col min="8196" max="8196" width="17.140625" style="103" customWidth="1"/>
    <col min="8197" max="8197" width="21.42578125" style="103" customWidth="1"/>
    <col min="8198" max="8198" width="19.5703125" style="103" customWidth="1"/>
    <col min="8199" max="8199" width="14.140625" style="103" bestFit="1" customWidth="1"/>
    <col min="8200" max="8200" width="8.42578125" style="103" customWidth="1"/>
    <col min="8201" max="8201" width="14.42578125" style="103" bestFit="1" customWidth="1"/>
    <col min="8202" max="8202" width="16.140625" style="103" bestFit="1" customWidth="1"/>
    <col min="8203" max="8203" width="14.42578125" style="103" bestFit="1" customWidth="1"/>
    <col min="8204" max="8204" width="13.42578125" style="103" customWidth="1"/>
    <col min="8205" max="8205" width="14.7109375" style="103" bestFit="1" customWidth="1"/>
    <col min="8206" max="8206" width="14.28515625" style="103" bestFit="1" customWidth="1"/>
    <col min="8207" max="8207" width="14.28515625" style="103" customWidth="1"/>
    <col min="8208" max="8208" width="14" style="103" bestFit="1" customWidth="1"/>
    <col min="8209" max="8209" width="11.5703125" style="103" bestFit="1" customWidth="1"/>
    <col min="8210" max="8210" width="13.85546875" style="103" bestFit="1" customWidth="1"/>
    <col min="8211" max="8448" width="11.42578125" style="103"/>
    <col min="8449" max="8449" width="20.28515625" style="103" customWidth="1"/>
    <col min="8450" max="8450" width="21.7109375" style="103" customWidth="1"/>
    <col min="8451" max="8451" width="22" style="103" customWidth="1"/>
    <col min="8452" max="8452" width="17.140625" style="103" customWidth="1"/>
    <col min="8453" max="8453" width="21.42578125" style="103" customWidth="1"/>
    <col min="8454" max="8454" width="19.5703125" style="103" customWidth="1"/>
    <col min="8455" max="8455" width="14.140625" style="103" bestFit="1" customWidth="1"/>
    <col min="8456" max="8456" width="8.42578125" style="103" customWidth="1"/>
    <col min="8457" max="8457" width="14.42578125" style="103" bestFit="1" customWidth="1"/>
    <col min="8458" max="8458" width="16.140625" style="103" bestFit="1" customWidth="1"/>
    <col min="8459" max="8459" width="14.42578125" style="103" bestFit="1" customWidth="1"/>
    <col min="8460" max="8460" width="13.42578125" style="103" customWidth="1"/>
    <col min="8461" max="8461" width="14.7109375" style="103" bestFit="1" customWidth="1"/>
    <col min="8462" max="8462" width="14.28515625" style="103" bestFit="1" customWidth="1"/>
    <col min="8463" max="8463" width="14.28515625" style="103" customWidth="1"/>
    <col min="8464" max="8464" width="14" style="103" bestFit="1" customWidth="1"/>
    <col min="8465" max="8465" width="11.5703125" style="103" bestFit="1" customWidth="1"/>
    <col min="8466" max="8466" width="13.85546875" style="103" bestFit="1" customWidth="1"/>
    <col min="8467" max="8704" width="11.42578125" style="103"/>
    <col min="8705" max="8705" width="20.28515625" style="103" customWidth="1"/>
    <col min="8706" max="8706" width="21.7109375" style="103" customWidth="1"/>
    <col min="8707" max="8707" width="22" style="103" customWidth="1"/>
    <col min="8708" max="8708" width="17.140625" style="103" customWidth="1"/>
    <col min="8709" max="8709" width="21.42578125" style="103" customWidth="1"/>
    <col min="8710" max="8710" width="19.5703125" style="103" customWidth="1"/>
    <col min="8711" max="8711" width="14.140625" style="103" bestFit="1" customWidth="1"/>
    <col min="8712" max="8712" width="8.42578125" style="103" customWidth="1"/>
    <col min="8713" max="8713" width="14.42578125" style="103" bestFit="1" customWidth="1"/>
    <col min="8714" max="8714" width="16.140625" style="103" bestFit="1" customWidth="1"/>
    <col min="8715" max="8715" width="14.42578125" style="103" bestFit="1" customWidth="1"/>
    <col min="8716" max="8716" width="13.42578125" style="103" customWidth="1"/>
    <col min="8717" max="8717" width="14.7109375" style="103" bestFit="1" customWidth="1"/>
    <col min="8718" max="8718" width="14.28515625" style="103" bestFit="1" customWidth="1"/>
    <col min="8719" max="8719" width="14.28515625" style="103" customWidth="1"/>
    <col min="8720" max="8720" width="14" style="103" bestFit="1" customWidth="1"/>
    <col min="8721" max="8721" width="11.5703125" style="103" bestFit="1" customWidth="1"/>
    <col min="8722" max="8722" width="13.85546875" style="103" bestFit="1" customWidth="1"/>
    <col min="8723" max="8960" width="11.42578125" style="103"/>
    <col min="8961" max="8961" width="20.28515625" style="103" customWidth="1"/>
    <col min="8962" max="8962" width="21.7109375" style="103" customWidth="1"/>
    <col min="8963" max="8963" width="22" style="103" customWidth="1"/>
    <col min="8964" max="8964" width="17.140625" style="103" customWidth="1"/>
    <col min="8965" max="8965" width="21.42578125" style="103" customWidth="1"/>
    <col min="8966" max="8966" width="19.5703125" style="103" customWidth="1"/>
    <col min="8967" max="8967" width="14.140625" style="103" bestFit="1" customWidth="1"/>
    <col min="8968" max="8968" width="8.42578125" style="103" customWidth="1"/>
    <col min="8969" max="8969" width="14.42578125" style="103" bestFit="1" customWidth="1"/>
    <col min="8970" max="8970" width="16.140625" style="103" bestFit="1" customWidth="1"/>
    <col min="8971" max="8971" width="14.42578125" style="103" bestFit="1" customWidth="1"/>
    <col min="8972" max="8972" width="13.42578125" style="103" customWidth="1"/>
    <col min="8973" max="8973" width="14.7109375" style="103" bestFit="1" customWidth="1"/>
    <col min="8974" max="8974" width="14.28515625" style="103" bestFit="1" customWidth="1"/>
    <col min="8975" max="8975" width="14.28515625" style="103" customWidth="1"/>
    <col min="8976" max="8976" width="14" style="103" bestFit="1" customWidth="1"/>
    <col min="8977" max="8977" width="11.5703125" style="103" bestFit="1" customWidth="1"/>
    <col min="8978" max="8978" width="13.85546875" style="103" bestFit="1" customWidth="1"/>
    <col min="8979" max="9216" width="11.42578125" style="103"/>
    <col min="9217" max="9217" width="20.28515625" style="103" customWidth="1"/>
    <col min="9218" max="9218" width="21.7109375" style="103" customWidth="1"/>
    <col min="9219" max="9219" width="22" style="103" customWidth="1"/>
    <col min="9220" max="9220" width="17.140625" style="103" customWidth="1"/>
    <col min="9221" max="9221" width="21.42578125" style="103" customWidth="1"/>
    <col min="9222" max="9222" width="19.5703125" style="103" customWidth="1"/>
    <col min="9223" max="9223" width="14.140625" style="103" bestFit="1" customWidth="1"/>
    <col min="9224" max="9224" width="8.42578125" style="103" customWidth="1"/>
    <col min="9225" max="9225" width="14.42578125" style="103" bestFit="1" customWidth="1"/>
    <col min="9226" max="9226" width="16.140625" style="103" bestFit="1" customWidth="1"/>
    <col min="9227" max="9227" width="14.42578125" style="103" bestFit="1" customWidth="1"/>
    <col min="9228" max="9228" width="13.42578125" style="103" customWidth="1"/>
    <col min="9229" max="9229" width="14.7109375" style="103" bestFit="1" customWidth="1"/>
    <col min="9230" max="9230" width="14.28515625" style="103" bestFit="1" customWidth="1"/>
    <col min="9231" max="9231" width="14.28515625" style="103" customWidth="1"/>
    <col min="9232" max="9232" width="14" style="103" bestFit="1" customWidth="1"/>
    <col min="9233" max="9233" width="11.5703125" style="103" bestFit="1" customWidth="1"/>
    <col min="9234" max="9234" width="13.85546875" style="103" bestFit="1" customWidth="1"/>
    <col min="9235" max="9472" width="11.42578125" style="103"/>
    <col min="9473" max="9473" width="20.28515625" style="103" customWidth="1"/>
    <col min="9474" max="9474" width="21.7109375" style="103" customWidth="1"/>
    <col min="9475" max="9475" width="22" style="103" customWidth="1"/>
    <col min="9476" max="9476" width="17.140625" style="103" customWidth="1"/>
    <col min="9477" max="9477" width="21.42578125" style="103" customWidth="1"/>
    <col min="9478" max="9478" width="19.5703125" style="103" customWidth="1"/>
    <col min="9479" max="9479" width="14.140625" style="103" bestFit="1" customWidth="1"/>
    <col min="9480" max="9480" width="8.42578125" style="103" customWidth="1"/>
    <col min="9481" max="9481" width="14.42578125" style="103" bestFit="1" customWidth="1"/>
    <col min="9482" max="9482" width="16.140625" style="103" bestFit="1" customWidth="1"/>
    <col min="9483" max="9483" width="14.42578125" style="103" bestFit="1" customWidth="1"/>
    <col min="9484" max="9484" width="13.42578125" style="103" customWidth="1"/>
    <col min="9485" max="9485" width="14.7109375" style="103" bestFit="1" customWidth="1"/>
    <col min="9486" max="9486" width="14.28515625" style="103" bestFit="1" customWidth="1"/>
    <col min="9487" max="9487" width="14.28515625" style="103" customWidth="1"/>
    <col min="9488" max="9488" width="14" style="103" bestFit="1" customWidth="1"/>
    <col min="9489" max="9489" width="11.5703125" style="103" bestFit="1" customWidth="1"/>
    <col min="9490" max="9490" width="13.85546875" style="103" bestFit="1" customWidth="1"/>
    <col min="9491" max="9728" width="11.42578125" style="103"/>
    <col min="9729" max="9729" width="20.28515625" style="103" customWidth="1"/>
    <col min="9730" max="9730" width="21.7109375" style="103" customWidth="1"/>
    <col min="9731" max="9731" width="22" style="103" customWidth="1"/>
    <col min="9732" max="9732" width="17.140625" style="103" customWidth="1"/>
    <col min="9733" max="9733" width="21.42578125" style="103" customWidth="1"/>
    <col min="9734" max="9734" width="19.5703125" style="103" customWidth="1"/>
    <col min="9735" max="9735" width="14.140625" style="103" bestFit="1" customWidth="1"/>
    <col min="9736" max="9736" width="8.42578125" style="103" customWidth="1"/>
    <col min="9737" max="9737" width="14.42578125" style="103" bestFit="1" customWidth="1"/>
    <col min="9738" max="9738" width="16.140625" style="103" bestFit="1" customWidth="1"/>
    <col min="9739" max="9739" width="14.42578125" style="103" bestFit="1" customWidth="1"/>
    <col min="9740" max="9740" width="13.42578125" style="103" customWidth="1"/>
    <col min="9741" max="9741" width="14.7109375" style="103" bestFit="1" customWidth="1"/>
    <col min="9742" max="9742" width="14.28515625" style="103" bestFit="1" customWidth="1"/>
    <col min="9743" max="9743" width="14.28515625" style="103" customWidth="1"/>
    <col min="9744" max="9744" width="14" style="103" bestFit="1" customWidth="1"/>
    <col min="9745" max="9745" width="11.5703125" style="103" bestFit="1" customWidth="1"/>
    <col min="9746" max="9746" width="13.85546875" style="103" bestFit="1" customWidth="1"/>
    <col min="9747" max="9984" width="11.42578125" style="103"/>
    <col min="9985" max="9985" width="20.28515625" style="103" customWidth="1"/>
    <col min="9986" max="9986" width="21.7109375" style="103" customWidth="1"/>
    <col min="9987" max="9987" width="22" style="103" customWidth="1"/>
    <col min="9988" max="9988" width="17.140625" style="103" customWidth="1"/>
    <col min="9989" max="9989" width="21.42578125" style="103" customWidth="1"/>
    <col min="9990" max="9990" width="19.5703125" style="103" customWidth="1"/>
    <col min="9991" max="9991" width="14.140625" style="103" bestFit="1" customWidth="1"/>
    <col min="9992" max="9992" width="8.42578125" style="103" customWidth="1"/>
    <col min="9993" max="9993" width="14.42578125" style="103" bestFit="1" customWidth="1"/>
    <col min="9994" max="9994" width="16.140625" style="103" bestFit="1" customWidth="1"/>
    <col min="9995" max="9995" width="14.42578125" style="103" bestFit="1" customWidth="1"/>
    <col min="9996" max="9996" width="13.42578125" style="103" customWidth="1"/>
    <col min="9997" max="9997" width="14.7109375" style="103" bestFit="1" customWidth="1"/>
    <col min="9998" max="9998" width="14.28515625" style="103" bestFit="1" customWidth="1"/>
    <col min="9999" max="9999" width="14.28515625" style="103" customWidth="1"/>
    <col min="10000" max="10000" width="14" style="103" bestFit="1" customWidth="1"/>
    <col min="10001" max="10001" width="11.5703125" style="103" bestFit="1" customWidth="1"/>
    <col min="10002" max="10002" width="13.85546875" style="103" bestFit="1" customWidth="1"/>
    <col min="10003" max="10240" width="11.42578125" style="103"/>
    <col min="10241" max="10241" width="20.28515625" style="103" customWidth="1"/>
    <col min="10242" max="10242" width="21.7109375" style="103" customWidth="1"/>
    <col min="10243" max="10243" width="22" style="103" customWidth="1"/>
    <col min="10244" max="10244" width="17.140625" style="103" customWidth="1"/>
    <col min="10245" max="10245" width="21.42578125" style="103" customWidth="1"/>
    <col min="10246" max="10246" width="19.5703125" style="103" customWidth="1"/>
    <col min="10247" max="10247" width="14.140625" style="103" bestFit="1" customWidth="1"/>
    <col min="10248" max="10248" width="8.42578125" style="103" customWidth="1"/>
    <col min="10249" max="10249" width="14.42578125" style="103" bestFit="1" customWidth="1"/>
    <col min="10250" max="10250" width="16.140625" style="103" bestFit="1" customWidth="1"/>
    <col min="10251" max="10251" width="14.42578125" style="103" bestFit="1" customWidth="1"/>
    <col min="10252" max="10252" width="13.42578125" style="103" customWidth="1"/>
    <col min="10253" max="10253" width="14.7109375" style="103" bestFit="1" customWidth="1"/>
    <col min="10254" max="10254" width="14.28515625" style="103" bestFit="1" customWidth="1"/>
    <col min="10255" max="10255" width="14.28515625" style="103" customWidth="1"/>
    <col min="10256" max="10256" width="14" style="103" bestFit="1" customWidth="1"/>
    <col min="10257" max="10257" width="11.5703125" style="103" bestFit="1" customWidth="1"/>
    <col min="10258" max="10258" width="13.85546875" style="103" bestFit="1" customWidth="1"/>
    <col min="10259" max="10496" width="11.42578125" style="103"/>
    <col min="10497" max="10497" width="20.28515625" style="103" customWidth="1"/>
    <col min="10498" max="10498" width="21.7109375" style="103" customWidth="1"/>
    <col min="10499" max="10499" width="22" style="103" customWidth="1"/>
    <col min="10500" max="10500" width="17.140625" style="103" customWidth="1"/>
    <col min="10501" max="10501" width="21.42578125" style="103" customWidth="1"/>
    <col min="10502" max="10502" width="19.5703125" style="103" customWidth="1"/>
    <col min="10503" max="10503" width="14.140625" style="103" bestFit="1" customWidth="1"/>
    <col min="10504" max="10504" width="8.42578125" style="103" customWidth="1"/>
    <col min="10505" max="10505" width="14.42578125" style="103" bestFit="1" customWidth="1"/>
    <col min="10506" max="10506" width="16.140625" style="103" bestFit="1" customWidth="1"/>
    <col min="10507" max="10507" width="14.42578125" style="103" bestFit="1" customWidth="1"/>
    <col min="10508" max="10508" width="13.42578125" style="103" customWidth="1"/>
    <col min="10509" max="10509" width="14.7109375" style="103" bestFit="1" customWidth="1"/>
    <col min="10510" max="10510" width="14.28515625" style="103" bestFit="1" customWidth="1"/>
    <col min="10511" max="10511" width="14.28515625" style="103" customWidth="1"/>
    <col min="10512" max="10512" width="14" style="103" bestFit="1" customWidth="1"/>
    <col min="10513" max="10513" width="11.5703125" style="103" bestFit="1" customWidth="1"/>
    <col min="10514" max="10514" width="13.85546875" style="103" bestFit="1" customWidth="1"/>
    <col min="10515" max="10752" width="11.42578125" style="103"/>
    <col min="10753" max="10753" width="20.28515625" style="103" customWidth="1"/>
    <col min="10754" max="10754" width="21.7109375" style="103" customWidth="1"/>
    <col min="10755" max="10755" width="22" style="103" customWidth="1"/>
    <col min="10756" max="10756" width="17.140625" style="103" customWidth="1"/>
    <col min="10757" max="10757" width="21.42578125" style="103" customWidth="1"/>
    <col min="10758" max="10758" width="19.5703125" style="103" customWidth="1"/>
    <col min="10759" max="10759" width="14.140625" style="103" bestFit="1" customWidth="1"/>
    <col min="10760" max="10760" width="8.42578125" style="103" customWidth="1"/>
    <col min="10761" max="10761" width="14.42578125" style="103" bestFit="1" customWidth="1"/>
    <col min="10762" max="10762" width="16.140625" style="103" bestFit="1" customWidth="1"/>
    <col min="10763" max="10763" width="14.42578125" style="103" bestFit="1" customWidth="1"/>
    <col min="10764" max="10764" width="13.42578125" style="103" customWidth="1"/>
    <col min="10765" max="10765" width="14.7109375" style="103" bestFit="1" customWidth="1"/>
    <col min="10766" max="10766" width="14.28515625" style="103" bestFit="1" customWidth="1"/>
    <col min="10767" max="10767" width="14.28515625" style="103" customWidth="1"/>
    <col min="10768" max="10768" width="14" style="103" bestFit="1" customWidth="1"/>
    <col min="10769" max="10769" width="11.5703125" style="103" bestFit="1" customWidth="1"/>
    <col min="10770" max="10770" width="13.85546875" style="103" bestFit="1" customWidth="1"/>
    <col min="10771" max="11008" width="11.42578125" style="103"/>
    <col min="11009" max="11009" width="20.28515625" style="103" customWidth="1"/>
    <col min="11010" max="11010" width="21.7109375" style="103" customWidth="1"/>
    <col min="11011" max="11011" width="22" style="103" customWidth="1"/>
    <col min="11012" max="11012" width="17.140625" style="103" customWidth="1"/>
    <col min="11013" max="11013" width="21.42578125" style="103" customWidth="1"/>
    <col min="11014" max="11014" width="19.5703125" style="103" customWidth="1"/>
    <col min="11015" max="11015" width="14.140625" style="103" bestFit="1" customWidth="1"/>
    <col min="11016" max="11016" width="8.42578125" style="103" customWidth="1"/>
    <col min="11017" max="11017" width="14.42578125" style="103" bestFit="1" customWidth="1"/>
    <col min="11018" max="11018" width="16.140625" style="103" bestFit="1" customWidth="1"/>
    <col min="11019" max="11019" width="14.42578125" style="103" bestFit="1" customWidth="1"/>
    <col min="11020" max="11020" width="13.42578125" style="103" customWidth="1"/>
    <col min="11021" max="11021" width="14.7109375" style="103" bestFit="1" customWidth="1"/>
    <col min="11022" max="11022" width="14.28515625" style="103" bestFit="1" customWidth="1"/>
    <col min="11023" max="11023" width="14.28515625" style="103" customWidth="1"/>
    <col min="11024" max="11024" width="14" style="103" bestFit="1" customWidth="1"/>
    <col min="11025" max="11025" width="11.5703125" style="103" bestFit="1" customWidth="1"/>
    <col min="11026" max="11026" width="13.85546875" style="103" bestFit="1" customWidth="1"/>
    <col min="11027" max="11264" width="11.42578125" style="103"/>
    <col min="11265" max="11265" width="20.28515625" style="103" customWidth="1"/>
    <col min="11266" max="11266" width="21.7109375" style="103" customWidth="1"/>
    <col min="11267" max="11267" width="22" style="103" customWidth="1"/>
    <col min="11268" max="11268" width="17.140625" style="103" customWidth="1"/>
    <col min="11269" max="11269" width="21.42578125" style="103" customWidth="1"/>
    <col min="11270" max="11270" width="19.5703125" style="103" customWidth="1"/>
    <col min="11271" max="11271" width="14.140625" style="103" bestFit="1" customWidth="1"/>
    <col min="11272" max="11272" width="8.42578125" style="103" customWidth="1"/>
    <col min="11273" max="11273" width="14.42578125" style="103" bestFit="1" customWidth="1"/>
    <col min="11274" max="11274" width="16.140625" style="103" bestFit="1" customWidth="1"/>
    <col min="11275" max="11275" width="14.42578125" style="103" bestFit="1" customWidth="1"/>
    <col min="11276" max="11276" width="13.42578125" style="103" customWidth="1"/>
    <col min="11277" max="11277" width="14.7109375" style="103" bestFit="1" customWidth="1"/>
    <col min="11278" max="11278" width="14.28515625" style="103" bestFit="1" customWidth="1"/>
    <col min="11279" max="11279" width="14.28515625" style="103" customWidth="1"/>
    <col min="11280" max="11280" width="14" style="103" bestFit="1" customWidth="1"/>
    <col min="11281" max="11281" width="11.5703125" style="103" bestFit="1" customWidth="1"/>
    <col min="11282" max="11282" width="13.85546875" style="103" bestFit="1" customWidth="1"/>
    <col min="11283" max="11520" width="11.42578125" style="103"/>
    <col min="11521" max="11521" width="20.28515625" style="103" customWidth="1"/>
    <col min="11522" max="11522" width="21.7109375" style="103" customWidth="1"/>
    <col min="11523" max="11523" width="22" style="103" customWidth="1"/>
    <col min="11524" max="11524" width="17.140625" style="103" customWidth="1"/>
    <col min="11525" max="11525" width="21.42578125" style="103" customWidth="1"/>
    <col min="11526" max="11526" width="19.5703125" style="103" customWidth="1"/>
    <col min="11527" max="11527" width="14.140625" style="103" bestFit="1" customWidth="1"/>
    <col min="11528" max="11528" width="8.42578125" style="103" customWidth="1"/>
    <col min="11529" max="11529" width="14.42578125" style="103" bestFit="1" customWidth="1"/>
    <col min="11530" max="11530" width="16.140625" style="103" bestFit="1" customWidth="1"/>
    <col min="11531" max="11531" width="14.42578125" style="103" bestFit="1" customWidth="1"/>
    <col min="11532" max="11532" width="13.42578125" style="103" customWidth="1"/>
    <col min="11533" max="11533" width="14.7109375" style="103" bestFit="1" customWidth="1"/>
    <col min="11534" max="11534" width="14.28515625" style="103" bestFit="1" customWidth="1"/>
    <col min="11535" max="11535" width="14.28515625" style="103" customWidth="1"/>
    <col min="11536" max="11536" width="14" style="103" bestFit="1" customWidth="1"/>
    <col min="11537" max="11537" width="11.5703125" style="103" bestFit="1" customWidth="1"/>
    <col min="11538" max="11538" width="13.85546875" style="103" bestFit="1" customWidth="1"/>
    <col min="11539" max="11776" width="11.42578125" style="103"/>
    <col min="11777" max="11777" width="20.28515625" style="103" customWidth="1"/>
    <col min="11778" max="11778" width="21.7109375" style="103" customWidth="1"/>
    <col min="11779" max="11779" width="22" style="103" customWidth="1"/>
    <col min="11780" max="11780" width="17.140625" style="103" customWidth="1"/>
    <col min="11781" max="11781" width="21.42578125" style="103" customWidth="1"/>
    <col min="11782" max="11782" width="19.5703125" style="103" customWidth="1"/>
    <col min="11783" max="11783" width="14.140625" style="103" bestFit="1" customWidth="1"/>
    <col min="11784" max="11784" width="8.42578125" style="103" customWidth="1"/>
    <col min="11785" max="11785" width="14.42578125" style="103" bestFit="1" customWidth="1"/>
    <col min="11786" max="11786" width="16.140625" style="103" bestFit="1" customWidth="1"/>
    <col min="11787" max="11787" width="14.42578125" style="103" bestFit="1" customWidth="1"/>
    <col min="11788" max="11788" width="13.42578125" style="103" customWidth="1"/>
    <col min="11789" max="11789" width="14.7109375" style="103" bestFit="1" customWidth="1"/>
    <col min="11790" max="11790" width="14.28515625" style="103" bestFit="1" customWidth="1"/>
    <col min="11791" max="11791" width="14.28515625" style="103" customWidth="1"/>
    <col min="11792" max="11792" width="14" style="103" bestFit="1" customWidth="1"/>
    <col min="11793" max="11793" width="11.5703125" style="103" bestFit="1" customWidth="1"/>
    <col min="11794" max="11794" width="13.85546875" style="103" bestFit="1" customWidth="1"/>
    <col min="11795" max="12032" width="11.42578125" style="103"/>
    <col min="12033" max="12033" width="20.28515625" style="103" customWidth="1"/>
    <col min="12034" max="12034" width="21.7109375" style="103" customWidth="1"/>
    <col min="12035" max="12035" width="22" style="103" customWidth="1"/>
    <col min="12036" max="12036" width="17.140625" style="103" customWidth="1"/>
    <col min="12037" max="12037" width="21.42578125" style="103" customWidth="1"/>
    <col min="12038" max="12038" width="19.5703125" style="103" customWidth="1"/>
    <col min="12039" max="12039" width="14.140625" style="103" bestFit="1" customWidth="1"/>
    <col min="12040" max="12040" width="8.42578125" style="103" customWidth="1"/>
    <col min="12041" max="12041" width="14.42578125" style="103" bestFit="1" customWidth="1"/>
    <col min="12042" max="12042" width="16.140625" style="103" bestFit="1" customWidth="1"/>
    <col min="12043" max="12043" width="14.42578125" style="103" bestFit="1" customWidth="1"/>
    <col min="12044" max="12044" width="13.42578125" style="103" customWidth="1"/>
    <col min="12045" max="12045" width="14.7109375" style="103" bestFit="1" customWidth="1"/>
    <col min="12046" max="12046" width="14.28515625" style="103" bestFit="1" customWidth="1"/>
    <col min="12047" max="12047" width="14.28515625" style="103" customWidth="1"/>
    <col min="12048" max="12048" width="14" style="103" bestFit="1" customWidth="1"/>
    <col min="12049" max="12049" width="11.5703125" style="103" bestFit="1" customWidth="1"/>
    <col min="12050" max="12050" width="13.85546875" style="103" bestFit="1" customWidth="1"/>
    <col min="12051" max="12288" width="11.42578125" style="103"/>
    <col min="12289" max="12289" width="20.28515625" style="103" customWidth="1"/>
    <col min="12290" max="12290" width="21.7109375" style="103" customWidth="1"/>
    <col min="12291" max="12291" width="22" style="103" customWidth="1"/>
    <col min="12292" max="12292" width="17.140625" style="103" customWidth="1"/>
    <col min="12293" max="12293" width="21.42578125" style="103" customWidth="1"/>
    <col min="12294" max="12294" width="19.5703125" style="103" customWidth="1"/>
    <col min="12295" max="12295" width="14.140625" style="103" bestFit="1" customWidth="1"/>
    <col min="12296" max="12296" width="8.42578125" style="103" customWidth="1"/>
    <col min="12297" max="12297" width="14.42578125" style="103" bestFit="1" customWidth="1"/>
    <col min="12298" max="12298" width="16.140625" style="103" bestFit="1" customWidth="1"/>
    <col min="12299" max="12299" width="14.42578125" style="103" bestFit="1" customWidth="1"/>
    <col min="12300" max="12300" width="13.42578125" style="103" customWidth="1"/>
    <col min="12301" max="12301" width="14.7109375" style="103" bestFit="1" customWidth="1"/>
    <col min="12302" max="12302" width="14.28515625" style="103" bestFit="1" customWidth="1"/>
    <col min="12303" max="12303" width="14.28515625" style="103" customWidth="1"/>
    <col min="12304" max="12304" width="14" style="103" bestFit="1" customWidth="1"/>
    <col min="12305" max="12305" width="11.5703125" style="103" bestFit="1" customWidth="1"/>
    <col min="12306" max="12306" width="13.85546875" style="103" bestFit="1" customWidth="1"/>
    <col min="12307" max="12544" width="11.42578125" style="103"/>
    <col min="12545" max="12545" width="20.28515625" style="103" customWidth="1"/>
    <col min="12546" max="12546" width="21.7109375" style="103" customWidth="1"/>
    <col min="12547" max="12547" width="22" style="103" customWidth="1"/>
    <col min="12548" max="12548" width="17.140625" style="103" customWidth="1"/>
    <col min="12549" max="12549" width="21.42578125" style="103" customWidth="1"/>
    <col min="12550" max="12550" width="19.5703125" style="103" customWidth="1"/>
    <col min="12551" max="12551" width="14.140625" style="103" bestFit="1" customWidth="1"/>
    <col min="12552" max="12552" width="8.42578125" style="103" customWidth="1"/>
    <col min="12553" max="12553" width="14.42578125" style="103" bestFit="1" customWidth="1"/>
    <col min="12554" max="12554" width="16.140625" style="103" bestFit="1" customWidth="1"/>
    <col min="12555" max="12555" width="14.42578125" style="103" bestFit="1" customWidth="1"/>
    <col min="12556" max="12556" width="13.42578125" style="103" customWidth="1"/>
    <col min="12557" max="12557" width="14.7109375" style="103" bestFit="1" customWidth="1"/>
    <col min="12558" max="12558" width="14.28515625" style="103" bestFit="1" customWidth="1"/>
    <col min="12559" max="12559" width="14.28515625" style="103" customWidth="1"/>
    <col min="12560" max="12560" width="14" style="103" bestFit="1" customWidth="1"/>
    <col min="12561" max="12561" width="11.5703125" style="103" bestFit="1" customWidth="1"/>
    <col min="12562" max="12562" width="13.85546875" style="103" bestFit="1" customWidth="1"/>
    <col min="12563" max="12800" width="11.42578125" style="103"/>
    <col min="12801" max="12801" width="20.28515625" style="103" customWidth="1"/>
    <col min="12802" max="12802" width="21.7109375" style="103" customWidth="1"/>
    <col min="12803" max="12803" width="22" style="103" customWidth="1"/>
    <col min="12804" max="12804" width="17.140625" style="103" customWidth="1"/>
    <col min="12805" max="12805" width="21.42578125" style="103" customWidth="1"/>
    <col min="12806" max="12806" width="19.5703125" style="103" customWidth="1"/>
    <col min="12807" max="12807" width="14.140625" style="103" bestFit="1" customWidth="1"/>
    <col min="12808" max="12808" width="8.42578125" style="103" customWidth="1"/>
    <col min="12809" max="12809" width="14.42578125" style="103" bestFit="1" customWidth="1"/>
    <col min="12810" max="12810" width="16.140625" style="103" bestFit="1" customWidth="1"/>
    <col min="12811" max="12811" width="14.42578125" style="103" bestFit="1" customWidth="1"/>
    <col min="12812" max="12812" width="13.42578125" style="103" customWidth="1"/>
    <col min="12813" max="12813" width="14.7109375" style="103" bestFit="1" customWidth="1"/>
    <col min="12814" max="12814" width="14.28515625" style="103" bestFit="1" customWidth="1"/>
    <col min="12815" max="12815" width="14.28515625" style="103" customWidth="1"/>
    <col min="12816" max="12816" width="14" style="103" bestFit="1" customWidth="1"/>
    <col min="12817" max="12817" width="11.5703125" style="103" bestFit="1" customWidth="1"/>
    <col min="12818" max="12818" width="13.85546875" style="103" bestFit="1" customWidth="1"/>
    <col min="12819" max="13056" width="11.42578125" style="103"/>
    <col min="13057" max="13057" width="20.28515625" style="103" customWidth="1"/>
    <col min="13058" max="13058" width="21.7109375" style="103" customWidth="1"/>
    <col min="13059" max="13059" width="22" style="103" customWidth="1"/>
    <col min="13060" max="13060" width="17.140625" style="103" customWidth="1"/>
    <col min="13061" max="13061" width="21.42578125" style="103" customWidth="1"/>
    <col min="13062" max="13062" width="19.5703125" style="103" customWidth="1"/>
    <col min="13063" max="13063" width="14.140625" style="103" bestFit="1" customWidth="1"/>
    <col min="13064" max="13064" width="8.42578125" style="103" customWidth="1"/>
    <col min="13065" max="13065" width="14.42578125" style="103" bestFit="1" customWidth="1"/>
    <col min="13066" max="13066" width="16.140625" style="103" bestFit="1" customWidth="1"/>
    <col min="13067" max="13067" width="14.42578125" style="103" bestFit="1" customWidth="1"/>
    <col min="13068" max="13068" width="13.42578125" style="103" customWidth="1"/>
    <col min="13069" max="13069" width="14.7109375" style="103" bestFit="1" customWidth="1"/>
    <col min="13070" max="13070" width="14.28515625" style="103" bestFit="1" customWidth="1"/>
    <col min="13071" max="13071" width="14.28515625" style="103" customWidth="1"/>
    <col min="13072" max="13072" width="14" style="103" bestFit="1" customWidth="1"/>
    <col min="13073" max="13073" width="11.5703125" style="103" bestFit="1" customWidth="1"/>
    <col min="13074" max="13074" width="13.85546875" style="103" bestFit="1" customWidth="1"/>
    <col min="13075" max="13312" width="11.42578125" style="103"/>
    <col min="13313" max="13313" width="20.28515625" style="103" customWidth="1"/>
    <col min="13314" max="13314" width="21.7109375" style="103" customWidth="1"/>
    <col min="13315" max="13315" width="22" style="103" customWidth="1"/>
    <col min="13316" max="13316" width="17.140625" style="103" customWidth="1"/>
    <col min="13317" max="13317" width="21.42578125" style="103" customWidth="1"/>
    <col min="13318" max="13318" width="19.5703125" style="103" customWidth="1"/>
    <col min="13319" max="13319" width="14.140625" style="103" bestFit="1" customWidth="1"/>
    <col min="13320" max="13320" width="8.42578125" style="103" customWidth="1"/>
    <col min="13321" max="13321" width="14.42578125" style="103" bestFit="1" customWidth="1"/>
    <col min="13322" max="13322" width="16.140625" style="103" bestFit="1" customWidth="1"/>
    <col min="13323" max="13323" width="14.42578125" style="103" bestFit="1" customWidth="1"/>
    <col min="13324" max="13324" width="13.42578125" style="103" customWidth="1"/>
    <col min="13325" max="13325" width="14.7109375" style="103" bestFit="1" customWidth="1"/>
    <col min="13326" max="13326" width="14.28515625" style="103" bestFit="1" customWidth="1"/>
    <col min="13327" max="13327" width="14.28515625" style="103" customWidth="1"/>
    <col min="13328" max="13328" width="14" style="103" bestFit="1" customWidth="1"/>
    <col min="13329" max="13329" width="11.5703125" style="103" bestFit="1" customWidth="1"/>
    <col min="13330" max="13330" width="13.85546875" style="103" bestFit="1" customWidth="1"/>
    <col min="13331" max="13568" width="11.42578125" style="103"/>
    <col min="13569" max="13569" width="20.28515625" style="103" customWidth="1"/>
    <col min="13570" max="13570" width="21.7109375" style="103" customWidth="1"/>
    <col min="13571" max="13571" width="22" style="103" customWidth="1"/>
    <col min="13572" max="13572" width="17.140625" style="103" customWidth="1"/>
    <col min="13573" max="13573" width="21.42578125" style="103" customWidth="1"/>
    <col min="13574" max="13574" width="19.5703125" style="103" customWidth="1"/>
    <col min="13575" max="13575" width="14.140625" style="103" bestFit="1" customWidth="1"/>
    <col min="13576" max="13576" width="8.42578125" style="103" customWidth="1"/>
    <col min="13577" max="13577" width="14.42578125" style="103" bestFit="1" customWidth="1"/>
    <col min="13578" max="13578" width="16.140625" style="103" bestFit="1" customWidth="1"/>
    <col min="13579" max="13579" width="14.42578125" style="103" bestFit="1" customWidth="1"/>
    <col min="13580" max="13580" width="13.42578125" style="103" customWidth="1"/>
    <col min="13581" max="13581" width="14.7109375" style="103" bestFit="1" customWidth="1"/>
    <col min="13582" max="13582" width="14.28515625" style="103" bestFit="1" customWidth="1"/>
    <col min="13583" max="13583" width="14.28515625" style="103" customWidth="1"/>
    <col min="13584" max="13584" width="14" style="103" bestFit="1" customWidth="1"/>
    <col min="13585" max="13585" width="11.5703125" style="103" bestFit="1" customWidth="1"/>
    <col min="13586" max="13586" width="13.85546875" style="103" bestFit="1" customWidth="1"/>
    <col min="13587" max="13824" width="11.42578125" style="103"/>
    <col min="13825" max="13825" width="20.28515625" style="103" customWidth="1"/>
    <col min="13826" max="13826" width="21.7109375" style="103" customWidth="1"/>
    <col min="13827" max="13827" width="22" style="103" customWidth="1"/>
    <col min="13828" max="13828" width="17.140625" style="103" customWidth="1"/>
    <col min="13829" max="13829" width="21.42578125" style="103" customWidth="1"/>
    <col min="13830" max="13830" width="19.5703125" style="103" customWidth="1"/>
    <col min="13831" max="13831" width="14.140625" style="103" bestFit="1" customWidth="1"/>
    <col min="13832" max="13832" width="8.42578125" style="103" customWidth="1"/>
    <col min="13833" max="13833" width="14.42578125" style="103" bestFit="1" customWidth="1"/>
    <col min="13834" max="13834" width="16.140625" style="103" bestFit="1" customWidth="1"/>
    <col min="13835" max="13835" width="14.42578125" style="103" bestFit="1" customWidth="1"/>
    <col min="13836" max="13836" width="13.42578125" style="103" customWidth="1"/>
    <col min="13837" max="13837" width="14.7109375" style="103" bestFit="1" customWidth="1"/>
    <col min="13838" max="13838" width="14.28515625" style="103" bestFit="1" customWidth="1"/>
    <col min="13839" max="13839" width="14.28515625" style="103" customWidth="1"/>
    <col min="13840" max="13840" width="14" style="103" bestFit="1" customWidth="1"/>
    <col min="13841" max="13841" width="11.5703125" style="103" bestFit="1" customWidth="1"/>
    <col min="13842" max="13842" width="13.85546875" style="103" bestFit="1" customWidth="1"/>
    <col min="13843" max="14080" width="11.42578125" style="103"/>
    <col min="14081" max="14081" width="20.28515625" style="103" customWidth="1"/>
    <col min="14082" max="14082" width="21.7109375" style="103" customWidth="1"/>
    <col min="14083" max="14083" width="22" style="103" customWidth="1"/>
    <col min="14084" max="14084" width="17.140625" style="103" customWidth="1"/>
    <col min="14085" max="14085" width="21.42578125" style="103" customWidth="1"/>
    <col min="14086" max="14086" width="19.5703125" style="103" customWidth="1"/>
    <col min="14087" max="14087" width="14.140625" style="103" bestFit="1" customWidth="1"/>
    <col min="14088" max="14088" width="8.42578125" style="103" customWidth="1"/>
    <col min="14089" max="14089" width="14.42578125" style="103" bestFit="1" customWidth="1"/>
    <col min="14090" max="14090" width="16.140625" style="103" bestFit="1" customWidth="1"/>
    <col min="14091" max="14091" width="14.42578125" style="103" bestFit="1" customWidth="1"/>
    <col min="14092" max="14092" width="13.42578125" style="103" customWidth="1"/>
    <col min="14093" max="14093" width="14.7109375" style="103" bestFit="1" customWidth="1"/>
    <col min="14094" max="14094" width="14.28515625" style="103" bestFit="1" customWidth="1"/>
    <col min="14095" max="14095" width="14.28515625" style="103" customWidth="1"/>
    <col min="14096" max="14096" width="14" style="103" bestFit="1" customWidth="1"/>
    <col min="14097" max="14097" width="11.5703125" style="103" bestFit="1" customWidth="1"/>
    <col min="14098" max="14098" width="13.85546875" style="103" bestFit="1" customWidth="1"/>
    <col min="14099" max="14336" width="11.42578125" style="103"/>
    <col min="14337" max="14337" width="20.28515625" style="103" customWidth="1"/>
    <col min="14338" max="14338" width="21.7109375" style="103" customWidth="1"/>
    <col min="14339" max="14339" width="22" style="103" customWidth="1"/>
    <col min="14340" max="14340" width="17.140625" style="103" customWidth="1"/>
    <col min="14341" max="14341" width="21.42578125" style="103" customWidth="1"/>
    <col min="14342" max="14342" width="19.5703125" style="103" customWidth="1"/>
    <col min="14343" max="14343" width="14.140625" style="103" bestFit="1" customWidth="1"/>
    <col min="14344" max="14344" width="8.42578125" style="103" customWidth="1"/>
    <col min="14345" max="14345" width="14.42578125" style="103" bestFit="1" customWidth="1"/>
    <col min="14346" max="14346" width="16.140625" style="103" bestFit="1" customWidth="1"/>
    <col min="14347" max="14347" width="14.42578125" style="103" bestFit="1" customWidth="1"/>
    <col min="14348" max="14348" width="13.42578125" style="103" customWidth="1"/>
    <col min="14349" max="14349" width="14.7109375" style="103" bestFit="1" customWidth="1"/>
    <col min="14350" max="14350" width="14.28515625" style="103" bestFit="1" customWidth="1"/>
    <col min="14351" max="14351" width="14.28515625" style="103" customWidth="1"/>
    <col min="14352" max="14352" width="14" style="103" bestFit="1" customWidth="1"/>
    <col min="14353" max="14353" width="11.5703125" style="103" bestFit="1" customWidth="1"/>
    <col min="14354" max="14354" width="13.85546875" style="103" bestFit="1" customWidth="1"/>
    <col min="14355" max="14592" width="11.42578125" style="103"/>
    <col min="14593" max="14593" width="20.28515625" style="103" customWidth="1"/>
    <col min="14594" max="14594" width="21.7109375" style="103" customWidth="1"/>
    <col min="14595" max="14595" width="22" style="103" customWidth="1"/>
    <col min="14596" max="14596" width="17.140625" style="103" customWidth="1"/>
    <col min="14597" max="14597" width="21.42578125" style="103" customWidth="1"/>
    <col min="14598" max="14598" width="19.5703125" style="103" customWidth="1"/>
    <col min="14599" max="14599" width="14.140625" style="103" bestFit="1" customWidth="1"/>
    <col min="14600" max="14600" width="8.42578125" style="103" customWidth="1"/>
    <col min="14601" max="14601" width="14.42578125" style="103" bestFit="1" customWidth="1"/>
    <col min="14602" max="14602" width="16.140625" style="103" bestFit="1" customWidth="1"/>
    <col min="14603" max="14603" width="14.42578125" style="103" bestFit="1" customWidth="1"/>
    <col min="14604" max="14604" width="13.42578125" style="103" customWidth="1"/>
    <col min="14605" max="14605" width="14.7109375" style="103" bestFit="1" customWidth="1"/>
    <col min="14606" max="14606" width="14.28515625" style="103" bestFit="1" customWidth="1"/>
    <col min="14607" max="14607" width="14.28515625" style="103" customWidth="1"/>
    <col min="14608" max="14608" width="14" style="103" bestFit="1" customWidth="1"/>
    <col min="14609" max="14609" width="11.5703125" style="103" bestFit="1" customWidth="1"/>
    <col min="14610" max="14610" width="13.85546875" style="103" bestFit="1" customWidth="1"/>
    <col min="14611" max="14848" width="11.42578125" style="103"/>
    <col min="14849" max="14849" width="20.28515625" style="103" customWidth="1"/>
    <col min="14850" max="14850" width="21.7109375" style="103" customWidth="1"/>
    <col min="14851" max="14851" width="22" style="103" customWidth="1"/>
    <col min="14852" max="14852" width="17.140625" style="103" customWidth="1"/>
    <col min="14853" max="14853" width="21.42578125" style="103" customWidth="1"/>
    <col min="14854" max="14854" width="19.5703125" style="103" customWidth="1"/>
    <col min="14855" max="14855" width="14.140625" style="103" bestFit="1" customWidth="1"/>
    <col min="14856" max="14856" width="8.42578125" style="103" customWidth="1"/>
    <col min="14857" max="14857" width="14.42578125" style="103" bestFit="1" customWidth="1"/>
    <col min="14858" max="14858" width="16.140625" style="103" bestFit="1" customWidth="1"/>
    <col min="14859" max="14859" width="14.42578125" style="103" bestFit="1" customWidth="1"/>
    <col min="14860" max="14860" width="13.42578125" style="103" customWidth="1"/>
    <col min="14861" max="14861" width="14.7109375" style="103" bestFit="1" customWidth="1"/>
    <col min="14862" max="14862" width="14.28515625" style="103" bestFit="1" customWidth="1"/>
    <col min="14863" max="14863" width="14.28515625" style="103" customWidth="1"/>
    <col min="14864" max="14864" width="14" style="103" bestFit="1" customWidth="1"/>
    <col min="14865" max="14865" width="11.5703125" style="103" bestFit="1" customWidth="1"/>
    <col min="14866" max="14866" width="13.85546875" style="103" bestFit="1" customWidth="1"/>
    <col min="14867" max="15104" width="11.42578125" style="103"/>
    <col min="15105" max="15105" width="20.28515625" style="103" customWidth="1"/>
    <col min="15106" max="15106" width="21.7109375" style="103" customWidth="1"/>
    <col min="15107" max="15107" width="22" style="103" customWidth="1"/>
    <col min="15108" max="15108" width="17.140625" style="103" customWidth="1"/>
    <col min="15109" max="15109" width="21.42578125" style="103" customWidth="1"/>
    <col min="15110" max="15110" width="19.5703125" style="103" customWidth="1"/>
    <col min="15111" max="15111" width="14.140625" style="103" bestFit="1" customWidth="1"/>
    <col min="15112" max="15112" width="8.42578125" style="103" customWidth="1"/>
    <col min="15113" max="15113" width="14.42578125" style="103" bestFit="1" customWidth="1"/>
    <col min="15114" max="15114" width="16.140625" style="103" bestFit="1" customWidth="1"/>
    <col min="15115" max="15115" width="14.42578125" style="103" bestFit="1" customWidth="1"/>
    <col min="15116" max="15116" width="13.42578125" style="103" customWidth="1"/>
    <col min="15117" max="15117" width="14.7109375" style="103" bestFit="1" customWidth="1"/>
    <col min="15118" max="15118" width="14.28515625" style="103" bestFit="1" customWidth="1"/>
    <col min="15119" max="15119" width="14.28515625" style="103" customWidth="1"/>
    <col min="15120" max="15120" width="14" style="103" bestFit="1" customWidth="1"/>
    <col min="15121" max="15121" width="11.5703125" style="103" bestFit="1" customWidth="1"/>
    <col min="15122" max="15122" width="13.85546875" style="103" bestFit="1" customWidth="1"/>
    <col min="15123" max="15360" width="11.42578125" style="103"/>
    <col min="15361" max="15361" width="20.28515625" style="103" customWidth="1"/>
    <col min="15362" max="15362" width="21.7109375" style="103" customWidth="1"/>
    <col min="15363" max="15363" width="22" style="103" customWidth="1"/>
    <col min="15364" max="15364" width="17.140625" style="103" customWidth="1"/>
    <col min="15365" max="15365" width="21.42578125" style="103" customWidth="1"/>
    <col min="15366" max="15366" width="19.5703125" style="103" customWidth="1"/>
    <col min="15367" max="15367" width="14.140625" style="103" bestFit="1" customWidth="1"/>
    <col min="15368" max="15368" width="8.42578125" style="103" customWidth="1"/>
    <col min="15369" max="15369" width="14.42578125" style="103" bestFit="1" customWidth="1"/>
    <col min="15370" max="15370" width="16.140625" style="103" bestFit="1" customWidth="1"/>
    <col min="15371" max="15371" width="14.42578125" style="103" bestFit="1" customWidth="1"/>
    <col min="15372" max="15372" width="13.42578125" style="103" customWidth="1"/>
    <col min="15373" max="15373" width="14.7109375" style="103" bestFit="1" customWidth="1"/>
    <col min="15374" max="15374" width="14.28515625" style="103" bestFit="1" customWidth="1"/>
    <col min="15375" max="15375" width="14.28515625" style="103" customWidth="1"/>
    <col min="15376" max="15376" width="14" style="103" bestFit="1" customWidth="1"/>
    <col min="15377" max="15377" width="11.5703125" style="103" bestFit="1" customWidth="1"/>
    <col min="15378" max="15378" width="13.85546875" style="103" bestFit="1" customWidth="1"/>
    <col min="15379" max="15616" width="11.42578125" style="103"/>
    <col min="15617" max="15617" width="20.28515625" style="103" customWidth="1"/>
    <col min="15618" max="15618" width="21.7109375" style="103" customWidth="1"/>
    <col min="15619" max="15619" width="22" style="103" customWidth="1"/>
    <col min="15620" max="15620" width="17.140625" style="103" customWidth="1"/>
    <col min="15621" max="15621" width="21.42578125" style="103" customWidth="1"/>
    <col min="15622" max="15622" width="19.5703125" style="103" customWidth="1"/>
    <col min="15623" max="15623" width="14.140625" style="103" bestFit="1" customWidth="1"/>
    <col min="15624" max="15624" width="8.42578125" style="103" customWidth="1"/>
    <col min="15625" max="15625" width="14.42578125" style="103" bestFit="1" customWidth="1"/>
    <col min="15626" max="15626" width="16.140625" style="103" bestFit="1" customWidth="1"/>
    <col min="15627" max="15627" width="14.42578125" style="103" bestFit="1" customWidth="1"/>
    <col min="15628" max="15628" width="13.42578125" style="103" customWidth="1"/>
    <col min="15629" max="15629" width="14.7109375" style="103" bestFit="1" customWidth="1"/>
    <col min="15630" max="15630" width="14.28515625" style="103" bestFit="1" customWidth="1"/>
    <col min="15631" max="15631" width="14.28515625" style="103" customWidth="1"/>
    <col min="15632" max="15632" width="14" style="103" bestFit="1" customWidth="1"/>
    <col min="15633" max="15633" width="11.5703125" style="103" bestFit="1" customWidth="1"/>
    <col min="15634" max="15634" width="13.85546875" style="103" bestFit="1" customWidth="1"/>
    <col min="15635" max="15872" width="11.42578125" style="103"/>
    <col min="15873" max="15873" width="20.28515625" style="103" customWidth="1"/>
    <col min="15874" max="15874" width="21.7109375" style="103" customWidth="1"/>
    <col min="15875" max="15875" width="22" style="103" customWidth="1"/>
    <col min="15876" max="15876" width="17.140625" style="103" customWidth="1"/>
    <col min="15877" max="15877" width="21.42578125" style="103" customWidth="1"/>
    <col min="15878" max="15878" width="19.5703125" style="103" customWidth="1"/>
    <col min="15879" max="15879" width="14.140625" style="103" bestFit="1" customWidth="1"/>
    <col min="15880" max="15880" width="8.42578125" style="103" customWidth="1"/>
    <col min="15881" max="15881" width="14.42578125" style="103" bestFit="1" customWidth="1"/>
    <col min="15882" max="15882" width="16.140625" style="103" bestFit="1" customWidth="1"/>
    <col min="15883" max="15883" width="14.42578125" style="103" bestFit="1" customWidth="1"/>
    <col min="15884" max="15884" width="13.42578125" style="103" customWidth="1"/>
    <col min="15885" max="15885" width="14.7109375" style="103" bestFit="1" customWidth="1"/>
    <col min="15886" max="15886" width="14.28515625" style="103" bestFit="1" customWidth="1"/>
    <col min="15887" max="15887" width="14.28515625" style="103" customWidth="1"/>
    <col min="15888" max="15888" width="14" style="103" bestFit="1" customWidth="1"/>
    <col min="15889" max="15889" width="11.5703125" style="103" bestFit="1" customWidth="1"/>
    <col min="15890" max="15890" width="13.85546875" style="103" bestFit="1" customWidth="1"/>
    <col min="15891" max="16128" width="11.42578125" style="103"/>
    <col min="16129" max="16129" width="20.28515625" style="103" customWidth="1"/>
    <col min="16130" max="16130" width="21.7109375" style="103" customWidth="1"/>
    <col min="16131" max="16131" width="22" style="103" customWidth="1"/>
    <col min="16132" max="16132" width="17.140625" style="103" customWidth="1"/>
    <col min="16133" max="16133" width="21.42578125" style="103" customWidth="1"/>
    <col min="16134" max="16134" width="19.5703125" style="103" customWidth="1"/>
    <col min="16135" max="16135" width="14.140625" style="103" bestFit="1" customWidth="1"/>
    <col min="16136" max="16136" width="8.42578125" style="103" customWidth="1"/>
    <col min="16137" max="16137" width="14.42578125" style="103" bestFit="1" customWidth="1"/>
    <col min="16138" max="16138" width="16.140625" style="103" bestFit="1" customWidth="1"/>
    <col min="16139" max="16139" width="14.42578125" style="103" bestFit="1" customWidth="1"/>
    <col min="16140" max="16140" width="13.42578125" style="103" customWidth="1"/>
    <col min="16141" max="16141" width="14.7109375" style="103" bestFit="1" customWidth="1"/>
    <col min="16142" max="16142" width="14.28515625" style="103" bestFit="1" customWidth="1"/>
    <col min="16143" max="16143" width="14.28515625" style="103" customWidth="1"/>
    <col min="16144" max="16144" width="14" style="103" bestFit="1" customWidth="1"/>
    <col min="16145" max="16145" width="11.5703125" style="103" bestFit="1" customWidth="1"/>
    <col min="16146" max="16146" width="13.85546875" style="103" bestFit="1" customWidth="1"/>
    <col min="16147" max="16384" width="11.42578125" style="103"/>
  </cols>
  <sheetData>
    <row r="1" spans="1:29" s="96" customFormat="1" ht="8.25" customHeight="1" thickBot="1" x14ac:dyDescent="0.25">
      <c r="A1" s="121"/>
      <c r="B1" s="122"/>
      <c r="C1" s="121"/>
      <c r="D1" s="123"/>
      <c r="E1" s="103"/>
      <c r="F1" s="103"/>
      <c r="G1" s="124"/>
      <c r="H1" s="124"/>
      <c r="I1" s="124"/>
      <c r="J1" s="124"/>
      <c r="K1" s="125"/>
      <c r="L1" s="126"/>
      <c r="M1" s="126"/>
      <c r="N1" s="107"/>
      <c r="O1" s="107"/>
      <c r="P1" s="127"/>
      <c r="Q1" s="107"/>
      <c r="R1" s="107"/>
      <c r="S1" s="107"/>
      <c r="T1" s="104"/>
      <c r="U1" s="104"/>
      <c r="V1" s="104"/>
      <c r="W1" s="104"/>
      <c r="X1" s="104"/>
      <c r="Y1" s="104"/>
      <c r="Z1" s="104"/>
      <c r="AA1" s="104"/>
      <c r="AB1" s="104"/>
    </row>
    <row r="2" spans="1:29" ht="25.5" customHeight="1" thickBot="1" x14ac:dyDescent="0.25">
      <c r="A2" s="429" t="s">
        <v>56</v>
      </c>
      <c r="B2" s="430"/>
      <c r="C2" s="430"/>
      <c r="D2" s="430"/>
      <c r="E2" s="430"/>
      <c r="F2" s="430"/>
      <c r="G2" s="430"/>
      <c r="H2" s="430"/>
      <c r="I2" s="431"/>
      <c r="J2" s="128"/>
      <c r="K2" s="125"/>
      <c r="L2" s="129"/>
      <c r="M2" s="129"/>
      <c r="N2" s="130"/>
      <c r="O2" s="130"/>
      <c r="P2" s="131"/>
      <c r="Q2" s="130"/>
      <c r="R2" s="130"/>
      <c r="S2" s="130"/>
      <c r="T2" s="130"/>
      <c r="U2" s="130"/>
      <c r="V2" s="130"/>
      <c r="W2" s="85"/>
      <c r="X2" s="85"/>
      <c r="Y2" s="85"/>
      <c r="Z2" s="85"/>
      <c r="AA2" s="85"/>
      <c r="AB2" s="85"/>
      <c r="AC2" s="85"/>
    </row>
    <row r="3" spans="1:29" ht="31.5" customHeight="1" x14ac:dyDescent="0.2">
      <c r="A3" s="432" t="s">
        <v>57</v>
      </c>
      <c r="B3" s="432"/>
      <c r="C3" s="432"/>
      <c r="D3" s="432"/>
      <c r="E3" s="432"/>
      <c r="F3" s="432"/>
      <c r="G3" s="432"/>
      <c r="H3" s="432"/>
      <c r="I3" s="432"/>
      <c r="J3" s="128"/>
      <c r="K3" s="125"/>
      <c r="L3" s="129"/>
      <c r="M3" s="129"/>
      <c r="N3" s="130"/>
      <c r="O3" s="130"/>
      <c r="P3" s="131"/>
      <c r="Q3" s="130"/>
      <c r="R3" s="130"/>
      <c r="S3" s="130"/>
      <c r="T3" s="130"/>
      <c r="U3" s="130"/>
      <c r="V3" s="130"/>
      <c r="W3" s="85"/>
      <c r="X3" s="85"/>
      <c r="Y3" s="85"/>
      <c r="Z3" s="85"/>
      <c r="AA3" s="85"/>
      <c r="AB3" s="85"/>
      <c r="AC3" s="85"/>
    </row>
    <row r="4" spans="1:29" ht="12.75" customHeight="1" x14ac:dyDescent="0.5">
      <c r="A4" s="132"/>
      <c r="B4" s="133"/>
      <c r="C4" s="126"/>
      <c r="D4" s="126"/>
      <c r="E4" s="134"/>
      <c r="F4" s="135"/>
      <c r="G4" s="136"/>
      <c r="H4" s="137"/>
      <c r="I4" s="137"/>
      <c r="J4" s="138"/>
      <c r="K4" s="100"/>
      <c r="N4" s="130"/>
      <c r="O4" s="130"/>
      <c r="P4" s="139"/>
      <c r="Q4" s="130"/>
      <c r="R4" s="130"/>
      <c r="S4" s="135"/>
      <c r="U4" s="140"/>
      <c r="V4" s="140"/>
      <c r="W4" s="85"/>
      <c r="X4" s="140"/>
      <c r="Y4" s="141"/>
      <c r="Z4" s="85"/>
      <c r="AA4" s="85"/>
      <c r="AB4" s="85"/>
      <c r="AC4" s="85"/>
    </row>
    <row r="5" spans="1:29" x14ac:dyDescent="0.2">
      <c r="A5" s="142" t="s">
        <v>58</v>
      </c>
      <c r="B5" s="143"/>
      <c r="C5" s="144" t="s">
        <v>59</v>
      </c>
      <c r="D5" s="144" t="s">
        <v>60</v>
      </c>
      <c r="E5" s="145"/>
      <c r="F5" s="105"/>
      <c r="G5" s="105"/>
      <c r="H5" s="105"/>
      <c r="I5" s="137"/>
      <c r="J5" s="105"/>
      <c r="N5" s="130"/>
      <c r="O5" s="130"/>
      <c r="P5" s="130"/>
      <c r="Q5" s="130"/>
      <c r="R5" s="130"/>
      <c r="S5" s="135"/>
      <c r="U5" s="140"/>
      <c r="V5" s="140"/>
      <c r="W5" s="85"/>
      <c r="X5" s="140"/>
      <c r="Y5" s="141"/>
      <c r="Z5" s="85"/>
      <c r="AA5" s="85"/>
      <c r="AB5" s="85"/>
      <c r="AC5" s="85"/>
    </row>
    <row r="6" spans="1:29" x14ac:dyDescent="0.2">
      <c r="B6" s="146"/>
      <c r="C6" s="147" t="s">
        <v>61</v>
      </c>
      <c r="D6" s="147" t="s">
        <v>62</v>
      </c>
      <c r="E6" s="148" t="s">
        <v>0</v>
      </c>
      <c r="F6" s="105"/>
      <c r="G6" s="105"/>
      <c r="H6" s="105"/>
      <c r="I6" s="137"/>
      <c r="J6" s="126"/>
      <c r="N6" s="130"/>
      <c r="O6" s="130"/>
      <c r="P6" s="130"/>
      <c r="Q6" s="130"/>
      <c r="R6" s="130"/>
      <c r="S6" s="135"/>
      <c r="U6" s="140"/>
      <c r="V6" s="140"/>
      <c r="W6" s="85"/>
      <c r="X6" s="140"/>
      <c r="Y6" s="85"/>
      <c r="Z6" s="85"/>
      <c r="AA6" s="85"/>
      <c r="AB6" s="85"/>
      <c r="AC6" s="85"/>
    </row>
    <row r="7" spans="1:29" ht="12.75" customHeight="1" x14ac:dyDescent="0.2">
      <c r="B7" s="149" t="s">
        <v>63</v>
      </c>
      <c r="C7" s="419">
        <v>29.26154</v>
      </c>
      <c r="D7" s="150">
        <f>E7-C7</f>
        <v>417992.73846000002</v>
      </c>
      <c r="E7" s="151">
        <v>418022</v>
      </c>
      <c r="F7" s="105"/>
      <c r="G7" s="105"/>
      <c r="H7" s="105"/>
      <c r="I7" s="137"/>
      <c r="J7" s="126"/>
      <c r="N7" s="130"/>
      <c r="O7" s="130"/>
      <c r="P7" s="130"/>
      <c r="Q7" s="130"/>
      <c r="R7" s="130"/>
      <c r="S7" s="135"/>
      <c r="U7" s="140"/>
      <c r="V7" s="140"/>
      <c r="W7" s="85"/>
      <c r="X7" s="140"/>
      <c r="Y7" s="85"/>
      <c r="Z7" s="85"/>
      <c r="AA7" s="85"/>
      <c r="AB7" s="85"/>
      <c r="AC7" s="85"/>
    </row>
    <row r="8" spans="1:29" ht="12.75" customHeight="1" x14ac:dyDescent="0.2">
      <c r="B8" s="149" t="s">
        <v>64</v>
      </c>
      <c r="C8" s="419">
        <v>37</v>
      </c>
      <c r="D8" s="150">
        <f>E8-C8</f>
        <v>417985</v>
      </c>
      <c r="E8" s="151">
        <v>418022</v>
      </c>
      <c r="F8" s="105"/>
      <c r="G8" s="105"/>
      <c r="H8" s="105"/>
      <c r="I8" s="137"/>
      <c r="J8" s="152"/>
      <c r="L8" s="99"/>
      <c r="N8" s="130"/>
      <c r="O8" s="130"/>
      <c r="P8" s="130"/>
      <c r="Q8" s="130"/>
      <c r="R8" s="130"/>
      <c r="S8" s="135"/>
      <c r="U8" s="140"/>
      <c r="V8" s="140"/>
      <c r="W8" s="85"/>
      <c r="X8" s="140"/>
      <c r="Y8" s="85"/>
      <c r="Z8" s="85"/>
      <c r="AA8" s="85"/>
      <c r="AB8" s="85"/>
      <c r="AC8" s="85"/>
    </row>
    <row r="9" spans="1:29" x14ac:dyDescent="0.2">
      <c r="B9" s="153" t="s">
        <v>0</v>
      </c>
      <c r="C9" s="154">
        <f>SUM(C7:C8)</f>
        <v>66.261539999999997</v>
      </c>
      <c r="D9" s="155">
        <f>SUM(D7:D8)</f>
        <v>835977.73846000002</v>
      </c>
      <c r="E9" s="156">
        <f>SUM(E7:E8)</f>
        <v>836044</v>
      </c>
      <c r="F9" s="105"/>
      <c r="G9" s="105"/>
      <c r="H9" s="105"/>
      <c r="I9" s="126"/>
      <c r="J9" s="126"/>
      <c r="L9" s="99"/>
      <c r="O9" s="157"/>
      <c r="P9" s="158"/>
      <c r="Q9" s="158"/>
      <c r="R9" s="158"/>
      <c r="S9" s="140"/>
      <c r="U9" s="140"/>
      <c r="V9" s="140"/>
      <c r="W9" s="85"/>
      <c r="X9" s="140"/>
      <c r="Y9" s="85"/>
      <c r="Z9" s="85"/>
      <c r="AA9" s="85"/>
      <c r="AB9" s="85"/>
      <c r="AC9" s="85"/>
    </row>
    <row r="10" spans="1:29" hidden="1" x14ac:dyDescent="0.2">
      <c r="B10" s="159"/>
      <c r="C10" s="160"/>
      <c r="D10" s="161"/>
      <c r="E10" s="161"/>
      <c r="G10" s="162"/>
      <c r="H10" s="126"/>
      <c r="I10" s="126"/>
      <c r="J10" s="126"/>
      <c r="L10" s="99"/>
      <c r="O10" s="157"/>
      <c r="P10" s="158"/>
      <c r="Q10" s="158"/>
      <c r="R10" s="158"/>
      <c r="S10" s="140"/>
      <c r="U10" s="140"/>
      <c r="V10" s="140"/>
      <c r="W10" s="85"/>
      <c r="X10" s="140"/>
      <c r="Y10" s="85"/>
      <c r="Z10" s="85"/>
      <c r="AA10" s="85"/>
      <c r="AB10" s="85"/>
      <c r="AC10" s="85"/>
    </row>
    <row r="11" spans="1:29" s="96" customFormat="1" ht="14.25" hidden="1" x14ac:dyDescent="0.25">
      <c r="A11" s="114" t="s">
        <v>65</v>
      </c>
      <c r="B11" s="108"/>
      <c r="C11" s="97"/>
      <c r="D11" s="107"/>
      <c r="E11" s="99"/>
      <c r="F11" s="106"/>
      <c r="G11" s="99"/>
      <c r="H11" s="163"/>
      <c r="I11" s="99"/>
      <c r="L11" s="106"/>
      <c r="O11" s="107"/>
      <c r="P11" s="112"/>
      <c r="Q11" s="112"/>
      <c r="R11" s="112"/>
      <c r="S11" s="107"/>
      <c r="T11" s="107"/>
      <c r="U11" s="107"/>
      <c r="V11" s="107"/>
    </row>
    <row r="12" spans="1:29" s="96" customFormat="1" hidden="1" x14ac:dyDescent="0.2">
      <c r="A12" s="103" t="s">
        <v>66</v>
      </c>
      <c r="B12" s="108"/>
      <c r="C12" s="97"/>
      <c r="D12" s="107"/>
      <c r="E12" s="99"/>
      <c r="F12" s="106"/>
      <c r="G12" s="99"/>
      <c r="H12" s="163"/>
      <c r="I12" s="99"/>
      <c r="J12" s="95"/>
      <c r="O12" s="107"/>
      <c r="P12" s="127"/>
      <c r="Q12" s="127"/>
      <c r="R12" s="127"/>
      <c r="S12" s="107"/>
      <c r="T12" s="107"/>
      <c r="U12" s="107"/>
      <c r="V12" s="107"/>
    </row>
    <row r="13" spans="1:29" s="96" customFormat="1" ht="45" hidden="1" customHeight="1" x14ac:dyDescent="0.2">
      <c r="A13" s="115" t="s">
        <v>67</v>
      </c>
      <c r="B13" s="115" t="s">
        <v>68</v>
      </c>
      <c r="C13" s="115" t="s">
        <v>69</v>
      </c>
      <c r="D13" s="115" t="s">
        <v>70</v>
      </c>
      <c r="E13" s="115" t="s">
        <v>71</v>
      </c>
      <c r="F13" s="115" t="s">
        <v>46</v>
      </c>
      <c r="G13" s="115" t="s">
        <v>72</v>
      </c>
      <c r="H13" s="115" t="s">
        <v>73</v>
      </c>
      <c r="I13" s="99"/>
      <c r="J13" s="164" t="s">
        <v>74</v>
      </c>
      <c r="K13" s="165" t="s">
        <v>51</v>
      </c>
      <c r="L13" s="165" t="s">
        <v>52</v>
      </c>
      <c r="O13" s="107"/>
      <c r="P13" s="107"/>
      <c r="Q13" s="107"/>
      <c r="R13" s="107"/>
      <c r="S13" s="107"/>
      <c r="T13" s="107"/>
      <c r="U13" s="107"/>
      <c r="V13" s="107"/>
    </row>
    <row r="14" spans="1:29" s="96" customFormat="1" hidden="1" x14ac:dyDescent="0.2">
      <c r="A14" s="166">
        <f>LN((C7/E7)/(C8/E8))</f>
        <v>-0.23464388685829179</v>
      </c>
      <c r="B14" s="166">
        <f>SQRT((D7/(C7*E7)+(D8/(C8*E8))))</f>
        <v>0.24737985749667035</v>
      </c>
      <c r="C14" s="167">
        <f>NORMSINV(1-(0.05/2))</f>
        <v>1.9599639845400536</v>
      </c>
      <c r="D14" s="167">
        <f>A14-(C14*B14)</f>
        <v>-0.71949949805241653</v>
      </c>
      <c r="E14" s="168">
        <f>A14+(C14*B14)</f>
        <v>0.25021172433583289</v>
      </c>
      <c r="F14" s="169">
        <f>(C7/E7)/(C8/E8)</f>
        <v>0.79085243243243242</v>
      </c>
      <c r="G14" s="170">
        <f>EXP(D14)</f>
        <v>0.48699593738849817</v>
      </c>
      <c r="H14" s="171">
        <f>EXP(E14)</f>
        <v>1.284297304897942</v>
      </c>
      <c r="I14" s="99"/>
      <c r="J14" s="110">
        <f>1-F14</f>
        <v>0.20914756756756758</v>
      </c>
      <c r="K14" s="172">
        <f>1-G14</f>
        <v>0.51300406261150178</v>
      </c>
      <c r="L14" s="172">
        <f>1-H14</f>
        <v>-0.28429730489794203</v>
      </c>
      <c r="M14" s="173"/>
      <c r="O14" s="107"/>
      <c r="P14" s="107"/>
      <c r="Q14" s="107"/>
      <c r="R14" s="107"/>
      <c r="S14" s="107"/>
      <c r="T14" s="107"/>
      <c r="U14" s="107"/>
      <c r="V14" s="107"/>
    </row>
    <row r="15" spans="1:29" s="96" customFormat="1" hidden="1" x14ac:dyDescent="0.2">
      <c r="B15" s="108"/>
      <c r="C15" s="108"/>
      <c r="D15" s="108"/>
      <c r="E15" s="174"/>
      <c r="F15" s="175"/>
      <c r="G15" s="176"/>
      <c r="H15" s="177"/>
      <c r="I15" s="99"/>
      <c r="J15" s="106"/>
      <c r="K15" s="106"/>
      <c r="L15" s="106"/>
      <c r="O15" s="107"/>
      <c r="P15" s="107"/>
      <c r="Q15" s="107"/>
      <c r="R15" s="107"/>
      <c r="S15" s="107"/>
      <c r="T15" s="107"/>
      <c r="U15" s="107"/>
      <c r="V15" s="107"/>
    </row>
    <row r="16" spans="1:29" s="85" customFormat="1" hidden="1" x14ac:dyDescent="0.2">
      <c r="B16" s="178"/>
      <c r="C16" s="179"/>
      <c r="D16" s="180"/>
      <c r="E16" s="181"/>
      <c r="F16" s="182"/>
      <c r="G16" s="183"/>
      <c r="H16" s="184"/>
      <c r="I16" s="185"/>
      <c r="L16" s="186"/>
      <c r="M16" s="186"/>
    </row>
    <row r="17" spans="1:29" ht="18.75" hidden="1" x14ac:dyDescent="0.3">
      <c r="A17" s="187" t="s">
        <v>75</v>
      </c>
      <c r="B17" s="188"/>
      <c r="C17" s="189"/>
      <c r="D17" s="190"/>
      <c r="E17" s="185"/>
      <c r="F17" s="185"/>
      <c r="G17" s="185"/>
      <c r="H17" s="191"/>
      <c r="I17" s="185"/>
      <c r="J17" s="85"/>
      <c r="K17" s="192"/>
      <c r="L17" s="107"/>
      <c r="M17" s="111"/>
      <c r="N17" s="111"/>
      <c r="O17" s="107"/>
      <c r="P17" s="107"/>
      <c r="Q17" s="193"/>
      <c r="R17" s="111"/>
      <c r="S17" s="194"/>
      <c r="T17" s="194"/>
      <c r="U17" s="194"/>
      <c r="V17" s="85"/>
      <c r="W17" s="85"/>
      <c r="X17" s="85"/>
      <c r="Y17" s="85"/>
      <c r="Z17" s="85"/>
      <c r="AA17" s="85"/>
      <c r="AB17" s="85"/>
    </row>
    <row r="18" spans="1:29" hidden="1" x14ac:dyDescent="0.2">
      <c r="A18" s="195" t="s">
        <v>76</v>
      </c>
      <c r="B18" s="196" t="s">
        <v>178</v>
      </c>
      <c r="C18" s="197"/>
      <c r="D18" s="198"/>
      <c r="E18" s="199"/>
      <c r="F18" s="199"/>
      <c r="G18" s="199"/>
      <c r="H18" s="200"/>
      <c r="I18" s="199"/>
      <c r="J18" s="113"/>
      <c r="K18" s="201"/>
      <c r="L18" s="202"/>
      <c r="M18" s="111"/>
      <c r="N18" s="107"/>
      <c r="O18" s="107"/>
      <c r="P18" s="193"/>
      <c r="Q18" s="111"/>
      <c r="R18" s="194"/>
      <c r="S18" s="194"/>
      <c r="T18" s="194"/>
      <c r="V18" s="85" t="s">
        <v>77</v>
      </c>
      <c r="W18" s="85"/>
      <c r="X18" s="85"/>
      <c r="Y18" s="85"/>
      <c r="Z18" s="85"/>
      <c r="AA18" s="85"/>
    </row>
    <row r="19" spans="1:29" hidden="1" x14ac:dyDescent="0.2">
      <c r="A19" s="203" t="s">
        <v>78</v>
      </c>
      <c r="B19" s="204" t="s">
        <v>79</v>
      </c>
      <c r="C19" s="205"/>
      <c r="D19" s="204" t="s">
        <v>80</v>
      </c>
      <c r="E19" s="204"/>
      <c r="F19" s="204" t="s">
        <v>81</v>
      </c>
      <c r="G19" s="204"/>
      <c r="H19" s="204" t="s">
        <v>82</v>
      </c>
      <c r="I19" s="206"/>
      <c r="J19" s="206"/>
      <c r="K19" s="206"/>
      <c r="L19" s="202"/>
      <c r="M19" s="85"/>
      <c r="O19" s="103"/>
      <c r="S19" s="85"/>
      <c r="U19" s="103"/>
      <c r="V19" s="103" t="s">
        <v>83</v>
      </c>
      <c r="X19" s="207"/>
      <c r="Y19" s="207"/>
      <c r="Z19" s="207"/>
      <c r="AA19" s="207"/>
      <c r="AB19" s="207"/>
      <c r="AC19" s="207"/>
    </row>
    <row r="20" spans="1:29" ht="38.25" hidden="1" customHeight="1" x14ac:dyDescent="0.25">
      <c r="A20" s="208" t="s">
        <v>84</v>
      </c>
      <c r="B20" s="208" t="s">
        <v>85</v>
      </c>
      <c r="C20" s="209" t="s">
        <v>86</v>
      </c>
      <c r="D20" s="209" t="s">
        <v>79</v>
      </c>
      <c r="E20" s="210" t="s">
        <v>80</v>
      </c>
      <c r="F20" s="209" t="s">
        <v>81</v>
      </c>
      <c r="G20" s="209" t="s">
        <v>82</v>
      </c>
      <c r="H20" s="211" t="s">
        <v>87</v>
      </c>
      <c r="I20" s="212" t="s">
        <v>88</v>
      </c>
      <c r="J20" s="213" t="s">
        <v>89</v>
      </c>
      <c r="K20" s="209" t="s">
        <v>90</v>
      </c>
      <c r="L20" s="214"/>
      <c r="M20" s="215"/>
      <c r="N20" s="216" t="s">
        <v>91</v>
      </c>
      <c r="O20" s="217" t="s">
        <v>92</v>
      </c>
      <c r="P20" s="218"/>
      <c r="Q20" s="219"/>
      <c r="R20" s="220"/>
      <c r="S20" s="220"/>
      <c r="T20" s="221"/>
      <c r="V20" s="222"/>
      <c r="W20" s="216" t="s">
        <v>93</v>
      </c>
      <c r="X20" s="217" t="s">
        <v>94</v>
      </c>
      <c r="Y20" s="223"/>
      <c r="Z20" s="223"/>
      <c r="AA20" s="223" t="s">
        <v>95</v>
      </c>
      <c r="AB20" s="223"/>
      <c r="AC20" s="224"/>
    </row>
    <row r="21" spans="1:29" ht="12.75" hidden="1" customHeight="1" x14ac:dyDescent="0.2">
      <c r="A21" s="225">
        <f>C7</f>
        <v>29.26154</v>
      </c>
      <c r="B21" s="225">
        <f>E7</f>
        <v>418022</v>
      </c>
      <c r="C21" s="226">
        <f>A21/B21</f>
        <v>6.9999999999999994E-5</v>
      </c>
      <c r="D21" s="227">
        <f>2*A21+H21^2</f>
        <v>62.364538820694122</v>
      </c>
      <c r="E21" s="227">
        <f>H21*SQRT((H21^2)+(4*A21*(1-C21)))</f>
        <v>21.548859266123607</v>
      </c>
      <c r="F21" s="228">
        <f>2*(B21+H21^2)</f>
        <v>836051.68291764136</v>
      </c>
      <c r="G21" s="229" t="s">
        <v>96</v>
      </c>
      <c r="H21" s="230">
        <f>-NORMSINV(2.5/100)</f>
        <v>1.9599639845400538</v>
      </c>
      <c r="I21" s="231">
        <f>C21</f>
        <v>6.9999999999999994E-5</v>
      </c>
      <c r="J21" s="232">
        <f>(D21-E21)/F21</f>
        <v>4.8819565092115518E-5</v>
      </c>
      <c r="K21" s="233">
        <f>(D21+E21)/F21</f>
        <v>1.0036867313510802E-4</v>
      </c>
      <c r="L21" s="214"/>
      <c r="M21" s="234">
        <f>E9/2</f>
        <v>418022</v>
      </c>
      <c r="N21" s="105" t="s">
        <v>97</v>
      </c>
      <c r="O21" s="107"/>
      <c r="P21" s="193"/>
      <c r="Q21" s="111"/>
      <c r="R21" s="194"/>
      <c r="S21" s="194"/>
      <c r="T21" s="235"/>
      <c r="V21" s="236">
        <f>ABS(C21-C22)</f>
        <v>1.8512087880542173E-5</v>
      </c>
      <c r="W21" s="105" t="s">
        <v>179</v>
      </c>
      <c r="X21" s="107"/>
      <c r="Y21" s="105"/>
      <c r="Z21" s="105"/>
      <c r="AA21" s="105" t="s">
        <v>180</v>
      </c>
      <c r="AB21" s="105"/>
      <c r="AC21" s="237"/>
    </row>
    <row r="22" spans="1:29" ht="14.25" hidden="1" x14ac:dyDescent="0.25">
      <c r="A22" s="225">
        <f>C8</f>
        <v>37</v>
      </c>
      <c r="B22" s="225">
        <f>E8</f>
        <v>418022</v>
      </c>
      <c r="C22" s="226">
        <f>A22/B22</f>
        <v>8.8512087880542167E-5</v>
      </c>
      <c r="D22" s="227">
        <f>2*A22+H22^2</f>
        <v>77.841458820694129</v>
      </c>
      <c r="E22" s="227">
        <f>H22*SQRT((H22^2)+(4*A22*(1-C22)))</f>
        <v>24.150411777727342</v>
      </c>
      <c r="F22" s="228">
        <f>2*(B22+H22^2)</f>
        <v>836051.68291764136</v>
      </c>
      <c r="G22" s="229" t="s">
        <v>96</v>
      </c>
      <c r="H22" s="230">
        <f>-NORMSINV(2.5/100)</f>
        <v>1.9599639845400538</v>
      </c>
      <c r="I22" s="231">
        <f>C22</f>
        <v>8.8512087880542167E-5</v>
      </c>
      <c r="J22" s="232">
        <f>(D22-E22)/F22</f>
        <v>6.4219770308453339E-5</v>
      </c>
      <c r="K22" s="233">
        <f>(D22+E22)/F22</f>
        <v>1.2199230344527468E-4</v>
      </c>
      <c r="L22" s="214"/>
      <c r="M22" s="238">
        <f>I26</f>
        <v>1.8512087880542173E-5</v>
      </c>
      <c r="N22" s="105" t="s">
        <v>98</v>
      </c>
      <c r="O22" s="105"/>
      <c r="P22" s="105"/>
      <c r="Q22" s="105"/>
      <c r="R22" s="105"/>
      <c r="S22" s="105"/>
      <c r="T22" s="109"/>
      <c r="V22" s="239">
        <f>SQRT((C23*(1-C23)/B21)+(C23*(1-C23)/B22))</f>
        <v>1.9472172709891045E-5</v>
      </c>
      <c r="W22" s="102" t="s">
        <v>99</v>
      </c>
      <c r="X22" s="105"/>
      <c r="Y22" s="105"/>
      <c r="Z22" s="105"/>
      <c r="AA22" s="105"/>
      <c r="AB22" s="105"/>
      <c r="AC22" s="237"/>
    </row>
    <row r="23" spans="1:29" hidden="1" x14ac:dyDescent="0.2">
      <c r="A23" s="240">
        <f>A21+A22</f>
        <v>66.261539999999997</v>
      </c>
      <c r="B23" s="240">
        <f>B21+B22</f>
        <v>836044</v>
      </c>
      <c r="C23" s="241">
        <f>A23/B23</f>
        <v>7.9256043940271087E-5</v>
      </c>
      <c r="D23" s="242"/>
      <c r="E23" s="242"/>
      <c r="F23" s="243"/>
      <c r="G23" s="244"/>
      <c r="H23" s="245"/>
      <c r="I23" s="246"/>
      <c r="J23" s="246"/>
      <c r="K23" s="246"/>
      <c r="L23" s="214"/>
      <c r="M23" s="247">
        <f>(A21+A22)/(B21+B22)</f>
        <v>7.9256043940271087E-5</v>
      </c>
      <c r="N23" s="105" t="s">
        <v>100</v>
      </c>
      <c r="O23" s="107"/>
      <c r="P23" s="193"/>
      <c r="Q23" s="111"/>
      <c r="R23" s="194"/>
      <c r="S23" s="194"/>
      <c r="T23" s="237"/>
      <c r="V23" s="248">
        <f>V21/V22</f>
        <v>0.95069451962794116</v>
      </c>
      <c r="W23" s="105" t="s">
        <v>101</v>
      </c>
      <c r="X23" s="107"/>
      <c r="Y23" s="105"/>
      <c r="Z23" s="105"/>
      <c r="AA23" s="105"/>
      <c r="AB23" s="105"/>
      <c r="AC23" s="237"/>
    </row>
    <row r="24" spans="1:29" ht="15" hidden="1" x14ac:dyDescent="0.2">
      <c r="A24" s="204"/>
      <c r="B24" s="196" t="s">
        <v>181</v>
      </c>
      <c r="C24" s="204"/>
      <c r="D24" s="204"/>
      <c r="E24" s="199"/>
      <c r="F24" s="199"/>
      <c r="G24" s="199"/>
      <c r="H24" s="200"/>
      <c r="I24" s="199"/>
      <c r="J24" s="113"/>
      <c r="K24" s="204"/>
      <c r="L24" s="214"/>
      <c r="M24" s="249">
        <f>SQRT(M21*M22^2/(2*M23*(1-M23)))-H21</f>
        <v>-1.0092694649121126</v>
      </c>
      <c r="N24" s="105" t="s">
        <v>102</v>
      </c>
      <c r="O24" s="105"/>
      <c r="P24" s="105"/>
      <c r="Q24" s="105"/>
      <c r="R24" s="105"/>
      <c r="S24" s="96"/>
      <c r="T24" s="235"/>
      <c r="V24" s="250">
        <f>NORMSDIST(-V23)</f>
        <v>0.17087973551845093</v>
      </c>
      <c r="W24" s="192" t="s">
        <v>103</v>
      </c>
      <c r="X24" s="105"/>
      <c r="Y24" s="96"/>
      <c r="Z24" s="96"/>
      <c r="AA24" s="96"/>
      <c r="AB24" s="96"/>
      <c r="AC24" s="109"/>
    </row>
    <row r="25" spans="1:29" ht="13.5" hidden="1" thickBot="1" x14ac:dyDescent="0.25">
      <c r="A25" s="204"/>
      <c r="B25" s="196" t="s">
        <v>104</v>
      </c>
      <c r="C25" s="197"/>
      <c r="D25" s="198"/>
      <c r="E25" s="199"/>
      <c r="F25" s="199"/>
      <c r="I25" s="119"/>
      <c r="J25" s="119"/>
      <c r="K25" s="119"/>
      <c r="L25" s="214"/>
      <c r="M25" s="251">
        <f>NORMSDIST(M24)</f>
        <v>0.15642271006501035</v>
      </c>
      <c r="N25" s="192" t="s">
        <v>105</v>
      </c>
      <c r="O25" s="252"/>
      <c r="P25" s="105"/>
      <c r="Q25" s="105"/>
      <c r="R25" s="105"/>
      <c r="S25" s="105"/>
      <c r="T25" s="237"/>
      <c r="V25" s="253">
        <f>1-V24</f>
        <v>0.82912026448154907</v>
      </c>
      <c r="W25" s="254" t="s">
        <v>182</v>
      </c>
      <c r="X25" s="252"/>
      <c r="Y25" s="96"/>
      <c r="Z25" s="96"/>
      <c r="AA25" s="96"/>
      <c r="AB25" s="96"/>
      <c r="AC25" s="109"/>
    </row>
    <row r="26" spans="1:29" ht="15" hidden="1" customHeight="1" thickBot="1" x14ac:dyDescent="0.35">
      <c r="A26" s="255" t="s">
        <v>106</v>
      </c>
      <c r="B26" s="256"/>
      <c r="D26" s="197"/>
      <c r="E26" s="257" t="s">
        <v>107</v>
      </c>
      <c r="F26" s="204"/>
      <c r="G26" s="197"/>
      <c r="H26" s="258" t="s">
        <v>108</v>
      </c>
      <c r="I26" s="259">
        <f>C22-C21</f>
        <v>1.8512087880542173E-5</v>
      </c>
      <c r="J26" s="260">
        <f>I26-SQRT((C22-J22)^2+(K21-C21)^2)</f>
        <v>-2.0377152289590333E-5</v>
      </c>
      <c r="K26" s="261">
        <f>I26+SQRT((C21-J21)^2+(K22-C22)^2)</f>
        <v>5.8129453481350214E-5</v>
      </c>
      <c r="L26" s="105"/>
      <c r="M26" s="262">
        <f>1-M25</f>
        <v>0.84357728993498959</v>
      </c>
      <c r="N26" s="263" t="s">
        <v>109</v>
      </c>
      <c r="O26" s="264"/>
      <c r="P26" s="265"/>
      <c r="Q26" s="264"/>
      <c r="R26" s="264"/>
      <c r="S26" s="264"/>
      <c r="T26" s="266"/>
      <c r="V26" s="267"/>
      <c r="W26" s="268"/>
      <c r="X26" s="264"/>
      <c r="Y26" s="268"/>
      <c r="Z26" s="268"/>
      <c r="AA26" s="268"/>
      <c r="AB26" s="268"/>
      <c r="AC26" s="269"/>
    </row>
    <row r="27" spans="1:29" ht="13.5" hidden="1" thickBot="1" x14ac:dyDescent="0.25">
      <c r="C27" s="270"/>
      <c r="E27" s="271"/>
      <c r="H27" s="272" t="s">
        <v>110</v>
      </c>
      <c r="I27" s="273">
        <f>1/I26</f>
        <v>54018.75825422629</v>
      </c>
      <c r="J27" s="274">
        <f>1/J26</f>
        <v>-49074.570665639571</v>
      </c>
      <c r="K27" s="275">
        <f>1/K26</f>
        <v>17202.982999329797</v>
      </c>
      <c r="L27" s="161"/>
      <c r="N27" s="103"/>
      <c r="O27" s="103"/>
      <c r="T27" s="103"/>
      <c r="U27" s="103"/>
      <c r="V27" s="85"/>
      <c r="W27" s="85"/>
      <c r="X27" s="85"/>
      <c r="Y27" s="85"/>
      <c r="Z27" s="85"/>
      <c r="AA27" s="85"/>
      <c r="AB27" s="85"/>
    </row>
    <row r="28" spans="1:29" ht="14.25" hidden="1" x14ac:dyDescent="0.25">
      <c r="A28" s="96"/>
      <c r="B28" s="98"/>
      <c r="C28" s="270"/>
      <c r="D28" s="276"/>
      <c r="I28" s="277"/>
      <c r="J28" s="278"/>
      <c r="K28" s="278"/>
      <c r="L28" s="279"/>
      <c r="M28" s="280"/>
      <c r="N28" s="281"/>
      <c r="O28" s="281" t="s">
        <v>99</v>
      </c>
      <c r="P28" s="282">
        <f>SQRT((C23*(1-C23)/B21)+(C23*(1-C23)/B22))</f>
        <v>1.9472172709891045E-5</v>
      </c>
      <c r="Q28" s="283"/>
      <c r="R28" s="283"/>
      <c r="S28" s="283"/>
      <c r="T28" s="224"/>
      <c r="U28" s="103"/>
    </row>
    <row r="29" spans="1:29" ht="15.75" hidden="1" x14ac:dyDescent="0.25">
      <c r="A29" s="95"/>
      <c r="B29" s="95"/>
      <c r="C29" s="98"/>
      <c r="D29" s="276"/>
      <c r="E29" s="284"/>
      <c r="F29" s="285"/>
      <c r="G29" s="286" t="s">
        <v>111</v>
      </c>
      <c r="H29" s="287" t="s">
        <v>112</v>
      </c>
      <c r="I29" s="288">
        <f>I27</f>
        <v>54018.75825422629</v>
      </c>
      <c r="J29" s="288">
        <f>J27</f>
        <v>-49074.570665639571</v>
      </c>
      <c r="K29" s="288">
        <f>K27</f>
        <v>17202.982999329797</v>
      </c>
      <c r="L29" s="162"/>
      <c r="M29" s="289" t="s">
        <v>113</v>
      </c>
      <c r="N29" s="290"/>
      <c r="O29" s="105" t="s">
        <v>114</v>
      </c>
      <c r="P29" s="105"/>
      <c r="Q29" s="193"/>
      <c r="R29" s="291" t="s">
        <v>115</v>
      </c>
      <c r="S29" s="105"/>
      <c r="T29" s="237"/>
      <c r="U29" s="103"/>
    </row>
    <row r="30" spans="1:29" s="96" customFormat="1" ht="14.25" hidden="1" x14ac:dyDescent="0.25">
      <c r="A30" s="99"/>
      <c r="B30" s="276"/>
      <c r="C30" s="276"/>
      <c r="D30" s="292"/>
      <c r="E30" s="293"/>
      <c r="F30" s="294"/>
      <c r="G30" s="295"/>
      <c r="H30" s="296" t="s">
        <v>116</v>
      </c>
      <c r="I30" s="297">
        <f>(1-C22)*I27</f>
        <v>54013.976941148496</v>
      </c>
      <c r="J30" s="297">
        <f>(1-C22)*J27</f>
        <v>-49070.226972928118</v>
      </c>
      <c r="K30" s="297">
        <f>(1-C22)*K27</f>
        <v>17201.460327386754</v>
      </c>
      <c r="L30" s="103"/>
      <c r="M30" s="298"/>
      <c r="N30" s="299" t="s">
        <v>117</v>
      </c>
      <c r="P30" s="300" t="s">
        <v>118</v>
      </c>
      <c r="Q30" s="299" t="s">
        <v>119</v>
      </c>
      <c r="R30" s="105"/>
      <c r="S30" s="105"/>
      <c r="T30" s="109"/>
    </row>
    <row r="31" spans="1:29" s="96" customFormat="1" ht="14.25" hidden="1" x14ac:dyDescent="0.25">
      <c r="B31" s="98"/>
      <c r="C31" s="98"/>
      <c r="D31" s="98"/>
      <c r="E31" s="301"/>
      <c r="F31" s="302"/>
      <c r="G31" s="303"/>
      <c r="H31" s="304" t="s">
        <v>120</v>
      </c>
      <c r="I31" s="305">
        <f>I27*I26</f>
        <v>1</v>
      </c>
      <c r="J31" s="305">
        <f>J27*J26</f>
        <v>1</v>
      </c>
      <c r="K31" s="305">
        <f>K27*K26</f>
        <v>1</v>
      </c>
      <c r="M31" s="249">
        <f>ABS((I26/P28))-H21</f>
        <v>-1.0092694649121126</v>
      </c>
      <c r="N31" s="299" t="s">
        <v>121</v>
      </c>
      <c r="O31" s="105"/>
      <c r="P31" s="105"/>
      <c r="Q31" s="111"/>
      <c r="R31" s="194"/>
      <c r="S31" s="194"/>
      <c r="T31" s="235"/>
    </row>
    <row r="32" spans="1:29" s="96" customFormat="1" hidden="1" x14ac:dyDescent="0.2">
      <c r="A32" s="106"/>
      <c r="B32" s="306"/>
      <c r="D32" s="106"/>
      <c r="F32" s="307"/>
      <c r="G32" s="308"/>
      <c r="H32" s="309" t="s">
        <v>122</v>
      </c>
      <c r="I32" s="310">
        <f>(C22-I26)*I27</f>
        <v>3.7813130777958399</v>
      </c>
      <c r="J32" s="310">
        <f>(C22-J26)*J27</f>
        <v>-5.3436927114569661</v>
      </c>
      <c r="K32" s="310">
        <f>(C22-K26)*K27</f>
        <v>0.52267194304415188</v>
      </c>
      <c r="M32" s="251">
        <f>NORMSDIST(M31)</f>
        <v>0.15642271006501035</v>
      </c>
      <c r="N32" s="102" t="s">
        <v>123</v>
      </c>
      <c r="O32" s="252"/>
      <c r="P32" s="105"/>
      <c r="Q32" s="105"/>
      <c r="R32" s="105"/>
      <c r="S32" s="105"/>
      <c r="T32" s="109"/>
    </row>
    <row r="33" spans="1:21" s="96" customFormat="1" hidden="1" x14ac:dyDescent="0.2">
      <c r="A33" s="106"/>
      <c r="F33" s="311"/>
      <c r="G33" s="311"/>
      <c r="H33" s="311"/>
      <c r="I33" s="312"/>
      <c r="J33" s="312"/>
      <c r="K33" s="312"/>
      <c r="M33" s="262">
        <f>1-M32</f>
        <v>0.84357728993498959</v>
      </c>
      <c r="N33" s="264" t="s">
        <v>124</v>
      </c>
      <c r="O33" s="264"/>
      <c r="P33" s="265"/>
      <c r="Q33" s="313"/>
      <c r="R33" s="314"/>
      <c r="S33" s="314"/>
      <c r="T33" s="266"/>
    </row>
    <row r="34" spans="1:21" s="96" customFormat="1" ht="15.75" hidden="1" x14ac:dyDescent="0.25">
      <c r="E34" s="315"/>
      <c r="F34" s="316"/>
      <c r="G34" s="286" t="s">
        <v>125</v>
      </c>
      <c r="H34" s="287" t="s">
        <v>126</v>
      </c>
      <c r="I34" s="288">
        <f>ABS(I27)</f>
        <v>54018.75825422629</v>
      </c>
      <c r="J34" s="288">
        <f>ABS(K27)</f>
        <v>17202.982999329797</v>
      </c>
      <c r="K34" s="288">
        <f>ABS(J27)</f>
        <v>49074.570665639571</v>
      </c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21" s="96" customFormat="1" ht="13.5" hidden="1" customHeight="1" x14ac:dyDescent="0.2">
      <c r="F35" s="317"/>
      <c r="G35" s="318"/>
      <c r="H35" s="319" t="s">
        <v>116</v>
      </c>
      <c r="I35" s="297">
        <f>ABS((1-(C22-I26))*I27)</f>
        <v>54014.976941148496</v>
      </c>
      <c r="J35" s="297">
        <f>ABS((1-(C22-K26))*K27)</f>
        <v>17202.460327386754</v>
      </c>
      <c r="K35" s="297">
        <f>ABS((1-(C22-J26))*J27)</f>
        <v>49069.226972928111</v>
      </c>
      <c r="M35" s="105"/>
      <c r="N35" s="105"/>
      <c r="O35" s="105"/>
      <c r="P35" s="105"/>
      <c r="Q35" s="105"/>
      <c r="R35" s="105"/>
      <c r="S35" s="105"/>
      <c r="T35" s="105"/>
      <c r="U35" s="105"/>
    </row>
    <row r="36" spans="1:21" s="96" customFormat="1" hidden="1" x14ac:dyDescent="0.2">
      <c r="E36" s="320"/>
      <c r="F36" s="321"/>
      <c r="G36" s="322"/>
      <c r="H36" s="323" t="s">
        <v>127</v>
      </c>
      <c r="I36" s="324">
        <f>I27*I26</f>
        <v>1</v>
      </c>
      <c r="J36" s="325">
        <f>K27*K26</f>
        <v>1</v>
      </c>
      <c r="K36" s="325">
        <f>J27*J26</f>
        <v>1</v>
      </c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ht="15.75" hidden="1" x14ac:dyDescent="0.25">
      <c r="A37" s="326" t="s">
        <v>128</v>
      </c>
      <c r="B37" s="327"/>
      <c r="C37" s="327"/>
      <c r="D37" s="327"/>
      <c r="E37" s="311"/>
      <c r="F37" s="328"/>
      <c r="G37" s="329"/>
      <c r="H37" s="330" t="s">
        <v>129</v>
      </c>
      <c r="I37" s="310">
        <f>ABS(C22*I27)</f>
        <v>4.7813130777958399</v>
      </c>
      <c r="J37" s="310">
        <f>ABS(C22*K27)</f>
        <v>1.522671943044152</v>
      </c>
      <c r="K37" s="310">
        <f>ABS(C22*J27)</f>
        <v>4.3436927114569661</v>
      </c>
      <c r="M37" s="105"/>
      <c r="N37" s="105"/>
      <c r="O37" s="105"/>
      <c r="P37" s="105"/>
      <c r="Q37" s="105"/>
      <c r="R37" s="105"/>
      <c r="S37" s="105"/>
      <c r="T37" s="105"/>
      <c r="U37" s="105"/>
    </row>
    <row r="38" spans="1:21" s="85" customFormat="1" hidden="1" x14ac:dyDescent="0.2">
      <c r="A38" s="103"/>
      <c r="B38" s="331" t="s">
        <v>59</v>
      </c>
      <c r="C38" s="332" t="s">
        <v>60</v>
      </c>
      <c r="D38" s="105"/>
      <c r="E38" s="311"/>
      <c r="F38" s="311"/>
      <c r="G38" s="333"/>
      <c r="H38" s="334"/>
      <c r="I38" s="335"/>
      <c r="J38" s="335"/>
      <c r="K38" s="335"/>
      <c r="M38" s="96"/>
      <c r="N38" s="96"/>
      <c r="O38" s="96"/>
      <c r="P38" s="96"/>
      <c r="Q38" s="96"/>
    </row>
    <row r="39" spans="1:21" hidden="1" x14ac:dyDescent="0.2">
      <c r="A39" s="336" t="s">
        <v>130</v>
      </c>
      <c r="B39" s="337" t="s">
        <v>61</v>
      </c>
      <c r="C39" s="338" t="s">
        <v>62</v>
      </c>
      <c r="D39" s="339" t="s">
        <v>0</v>
      </c>
      <c r="M39" s="96"/>
      <c r="N39" s="96"/>
      <c r="O39" s="96"/>
      <c r="P39" s="96"/>
      <c r="Q39" s="96"/>
      <c r="T39" s="103"/>
      <c r="U39" s="103"/>
    </row>
    <row r="40" spans="1:21" hidden="1" x14ac:dyDescent="0.2">
      <c r="A40" s="340" t="s">
        <v>49</v>
      </c>
      <c r="B40" s="341">
        <f>E7*C9/E9</f>
        <v>33.130769999999998</v>
      </c>
      <c r="C40" s="341">
        <f>E7*D9/E9</f>
        <v>417988.86923000001</v>
      </c>
      <c r="D40" s="341">
        <f>E7</f>
        <v>418022</v>
      </c>
      <c r="F40" s="342"/>
      <c r="G40" s="343" t="s">
        <v>131</v>
      </c>
      <c r="H40" s="116">
        <f>CHIINV(0.05,J41)</f>
        <v>3.8414588206941236</v>
      </c>
      <c r="M40" s="96"/>
      <c r="N40" s="344"/>
      <c r="O40" s="344"/>
      <c r="P40" s="344"/>
      <c r="Q40" s="96"/>
      <c r="T40" s="103"/>
      <c r="U40" s="103"/>
    </row>
    <row r="41" spans="1:21" hidden="1" x14ac:dyDescent="0.2">
      <c r="A41" s="345" t="s">
        <v>50</v>
      </c>
      <c r="B41" s="341">
        <f>E8*C9/E9</f>
        <v>33.130769999999998</v>
      </c>
      <c r="C41" s="341">
        <f>E8*D9/E9</f>
        <v>417988.86923000001</v>
      </c>
      <c r="D41" s="341">
        <f>E8</f>
        <v>418022</v>
      </c>
      <c r="E41" s="85"/>
      <c r="F41" s="346"/>
      <c r="G41" s="346"/>
      <c r="H41" s="285"/>
      <c r="I41" s="347" t="s">
        <v>132</v>
      </c>
      <c r="J41" s="348">
        <f>(COUNT(B40:C40)-1)*(COUNT(B40:B41)-1)</f>
        <v>1</v>
      </c>
      <c r="N41" s="344"/>
      <c r="O41" s="344"/>
      <c r="P41" s="344"/>
      <c r="Q41" s="96"/>
      <c r="T41" s="103"/>
      <c r="U41" s="103"/>
    </row>
    <row r="42" spans="1:21" hidden="1" x14ac:dyDescent="0.2">
      <c r="A42" s="197" t="s">
        <v>133</v>
      </c>
      <c r="B42" s="341">
        <f>SUM(B40:B41)</f>
        <v>66.261539999999997</v>
      </c>
      <c r="C42" s="341">
        <f>SUM(C40:C41)</f>
        <v>835977.73846000002</v>
      </c>
      <c r="D42" s="349">
        <f>SUM(D40:D41)</f>
        <v>836044</v>
      </c>
      <c r="E42" s="85"/>
      <c r="F42" s="85"/>
      <c r="G42" s="350" t="s">
        <v>134</v>
      </c>
      <c r="H42" s="105" t="s">
        <v>135</v>
      </c>
      <c r="N42" s="344"/>
      <c r="O42" s="351"/>
      <c r="P42" s="344"/>
      <c r="Q42" s="96"/>
      <c r="T42" s="103"/>
      <c r="U42" s="103"/>
    </row>
    <row r="43" spans="1:21" hidden="1" x14ac:dyDescent="0.2">
      <c r="A43" s="197"/>
      <c r="B43" s="352"/>
      <c r="C43" s="352"/>
      <c r="D43" s="353"/>
      <c r="E43" s="85"/>
      <c r="F43" s="85"/>
      <c r="G43" s="350" t="s">
        <v>136</v>
      </c>
      <c r="H43" s="105" t="s">
        <v>137</v>
      </c>
      <c r="N43" s="354"/>
      <c r="O43" s="354"/>
      <c r="P43" s="354"/>
      <c r="Q43" s="96"/>
      <c r="T43" s="103"/>
      <c r="U43" s="103"/>
    </row>
    <row r="44" spans="1:21" ht="26.25" hidden="1" customHeight="1" x14ac:dyDescent="0.2">
      <c r="A44" s="355"/>
      <c r="B44" s="433" t="s">
        <v>138</v>
      </c>
      <c r="C44" s="434"/>
      <c r="F44" s="197"/>
      <c r="G44" s="356"/>
      <c r="H44" s="204"/>
      <c r="N44" s="103"/>
      <c r="O44" s="103"/>
      <c r="T44" s="103"/>
      <c r="U44" s="103"/>
    </row>
    <row r="45" spans="1:21" hidden="1" x14ac:dyDescent="0.2">
      <c r="A45" s="355"/>
      <c r="B45" s="357">
        <f>(C7-B40)^2/B40</f>
        <v>0.45187421822372337</v>
      </c>
      <c r="C45" s="357">
        <f>(D7-C40)^2/C40</f>
        <v>3.5816601577370049E-5</v>
      </c>
      <c r="E45" s="336"/>
      <c r="F45" s="358"/>
      <c r="I45" s="96"/>
      <c r="J45" s="96"/>
      <c r="K45" s="359"/>
      <c r="N45" s="103"/>
      <c r="O45" s="103"/>
      <c r="T45" s="103"/>
      <c r="U45" s="103"/>
    </row>
    <row r="46" spans="1:21" hidden="1" x14ac:dyDescent="0.2">
      <c r="A46" s="355"/>
      <c r="B46" s="357">
        <f>(C8-B41)^2/B41</f>
        <v>0.45187421822372414</v>
      </c>
      <c r="C46" s="357">
        <f>(D8-C41)^2/C41</f>
        <v>3.5816601577370049E-5</v>
      </c>
      <c r="D46" s="100"/>
      <c r="E46" s="360" t="s">
        <v>139</v>
      </c>
      <c r="F46" s="361">
        <f>B48-H40</f>
        <v>-2.9376387510435213</v>
      </c>
      <c r="I46" s="96"/>
      <c r="J46" s="96"/>
      <c r="N46" s="103"/>
      <c r="O46" s="103"/>
      <c r="T46" s="103"/>
      <c r="U46" s="103"/>
    </row>
    <row r="47" spans="1:21" hidden="1" x14ac:dyDescent="0.2">
      <c r="A47" s="105" t="s">
        <v>140</v>
      </c>
      <c r="C47" s="362"/>
      <c r="F47" s="204" t="s">
        <v>141</v>
      </c>
      <c r="I47" s="96"/>
      <c r="J47" s="96"/>
      <c r="N47" s="103"/>
      <c r="O47" s="103"/>
      <c r="T47" s="103"/>
      <c r="U47" s="103"/>
    </row>
    <row r="48" spans="1:21" ht="13.5" hidden="1" customHeight="1" x14ac:dyDescent="0.2">
      <c r="A48" s="350" t="s">
        <v>142</v>
      </c>
      <c r="B48" s="363">
        <f>SUM(B45:C46)</f>
        <v>0.90382006965060224</v>
      </c>
      <c r="C48" s="105"/>
      <c r="F48" s="204" t="s">
        <v>143</v>
      </c>
      <c r="H48" s="364"/>
      <c r="I48" s="96"/>
      <c r="J48" s="96"/>
      <c r="K48" s="365"/>
      <c r="N48" s="103"/>
      <c r="O48" s="103"/>
      <c r="T48" s="103"/>
      <c r="U48" s="103"/>
    </row>
    <row r="49" spans="1:21" hidden="1" x14ac:dyDescent="0.2">
      <c r="A49" s="366" t="s">
        <v>144</v>
      </c>
      <c r="B49" s="367">
        <f>CHIDIST(B48,1)</f>
        <v>0.34175947103690174</v>
      </c>
      <c r="D49" s="105"/>
      <c r="E49" s="105"/>
      <c r="F49" s="105"/>
      <c r="G49" s="368"/>
      <c r="H49" s="105"/>
      <c r="I49" s="96"/>
      <c r="J49" s="96"/>
      <c r="K49" s="105"/>
      <c r="N49" s="103"/>
      <c r="O49" s="103"/>
      <c r="T49" s="103"/>
      <c r="U49" s="103"/>
    </row>
    <row r="50" spans="1:21" s="96" customFormat="1" hidden="1" x14ac:dyDescent="0.2">
      <c r="D50" s="369"/>
      <c r="H50" s="370"/>
    </row>
    <row r="51" spans="1:21" hidden="1" x14ac:dyDescent="0.2">
      <c r="I51" s="96"/>
      <c r="J51" s="96"/>
      <c r="N51" s="103"/>
      <c r="O51" s="103"/>
      <c r="T51" s="103"/>
      <c r="U51" s="103"/>
    </row>
    <row r="52" spans="1:21" ht="13.5" hidden="1" thickBot="1" x14ac:dyDescent="0.25">
      <c r="F52" s="277"/>
      <c r="I52" s="96"/>
      <c r="J52" s="96"/>
      <c r="N52" s="103"/>
      <c r="O52" s="103"/>
      <c r="T52" s="103"/>
      <c r="U52" s="103"/>
    </row>
    <row r="53" spans="1:21" ht="13.5" hidden="1" thickBot="1" x14ac:dyDescent="0.25">
      <c r="A53" s="371" t="s">
        <v>145</v>
      </c>
      <c r="B53" s="372"/>
      <c r="C53" s="372"/>
      <c r="D53" s="373" t="s">
        <v>146</v>
      </c>
      <c r="E53" s="373" t="s">
        <v>147</v>
      </c>
      <c r="F53" s="373" t="s">
        <v>148</v>
      </c>
      <c r="G53" s="374"/>
      <c r="I53" s="96"/>
      <c r="J53" s="96"/>
      <c r="N53" s="103"/>
      <c r="O53" s="103"/>
      <c r="T53" s="103"/>
      <c r="U53" s="103"/>
    </row>
    <row r="54" spans="1:21" hidden="1" x14ac:dyDescent="0.2">
      <c r="A54" s="375" t="s">
        <v>1</v>
      </c>
      <c r="B54" s="376">
        <f>ROUND(E7,0)</f>
        <v>418022</v>
      </c>
      <c r="C54" s="376">
        <f>ROUND(E8,0)</f>
        <v>418022</v>
      </c>
      <c r="D54" s="377">
        <f>ROUND(F14,2)</f>
        <v>0.79</v>
      </c>
      <c r="E54" s="378">
        <f>ROUND(I26,4)</f>
        <v>0</v>
      </c>
      <c r="F54" s="379">
        <f>ROUND(I27,0)</f>
        <v>54019</v>
      </c>
      <c r="G54" s="380"/>
      <c r="I54" s="96"/>
      <c r="J54" s="96"/>
      <c r="N54" s="103"/>
      <c r="O54" s="103"/>
      <c r="T54" s="103"/>
      <c r="U54" s="103"/>
    </row>
    <row r="55" spans="1:21" hidden="1" x14ac:dyDescent="0.2">
      <c r="A55" s="381" t="s">
        <v>2</v>
      </c>
      <c r="B55" s="376">
        <f>ROUND(C7,0)</f>
        <v>29</v>
      </c>
      <c r="C55" s="376">
        <f>ROUND(C8,0)</f>
        <v>37</v>
      </c>
      <c r="D55" s="377">
        <f>ROUND(G14,2)</f>
        <v>0.49</v>
      </c>
      <c r="E55" s="378">
        <f>ROUND(J26,5)</f>
        <v>-2.0000000000000002E-5</v>
      </c>
      <c r="F55" s="379">
        <f>ROUND(K27,0)</f>
        <v>17203</v>
      </c>
      <c r="G55" s="380"/>
      <c r="I55" s="414">
        <f>B55*100000/B54</f>
        <v>6.9374339149614137</v>
      </c>
      <c r="J55" s="413">
        <f>C55*100000/C54</f>
        <v>8.8512087880542172</v>
      </c>
      <c r="N55" s="103"/>
      <c r="O55" s="103"/>
      <c r="T55" s="103"/>
      <c r="U55" s="103"/>
    </row>
    <row r="56" spans="1:21" s="85" customFormat="1" hidden="1" x14ac:dyDescent="0.2">
      <c r="A56" s="381" t="s">
        <v>3</v>
      </c>
      <c r="B56" s="378">
        <f>ROUND(C21,6)</f>
        <v>6.9999999999999994E-5</v>
      </c>
      <c r="C56" s="378">
        <f>ROUND(C22,6)</f>
        <v>8.8999999999999995E-5</v>
      </c>
      <c r="D56" s="377">
        <f>ROUND(H14,2)</f>
        <v>1.28</v>
      </c>
      <c r="E56" s="378">
        <f>ROUND(K26,4)</f>
        <v>1E-4</v>
      </c>
      <c r="F56" s="379">
        <f>ROUND(J27,0)</f>
        <v>-49075</v>
      </c>
      <c r="G56" s="382">
        <f>ROUND(M32,4)</f>
        <v>0.15640000000000001</v>
      </c>
      <c r="I56" s="383">
        <f>B56*100000</f>
        <v>6.9999999999999991</v>
      </c>
      <c r="J56" s="415">
        <f>C56*100000</f>
        <v>8.9</v>
      </c>
    </row>
    <row r="57" spans="1:21" hidden="1" x14ac:dyDescent="0.2">
      <c r="A57" s="381" t="s">
        <v>4</v>
      </c>
      <c r="B57" s="117" t="s">
        <v>53</v>
      </c>
      <c r="C57" s="117" t="s">
        <v>54</v>
      </c>
      <c r="D57" s="117" t="s">
        <v>46</v>
      </c>
      <c r="E57" s="117" t="s">
        <v>47</v>
      </c>
      <c r="F57" s="384" t="s">
        <v>48</v>
      </c>
      <c r="G57" s="385" t="s">
        <v>149</v>
      </c>
      <c r="I57" s="383"/>
      <c r="J57" s="96"/>
    </row>
    <row r="58" spans="1:21" hidden="1" x14ac:dyDescent="0.2">
      <c r="A58" s="386" t="s">
        <v>5</v>
      </c>
      <c r="B58" s="118" t="str">
        <f>CONCATENATE(B55,A59,B54," ",A54,B56*100,A57,A56)</f>
        <v>29/418022 (0,007%)</v>
      </c>
      <c r="C58" s="118" t="str">
        <f>CONCATENATE(C55,A59,C54," ",A54,C56*100,A57,A56)</f>
        <v>37/418022 (0,0089%)</v>
      </c>
      <c r="D58" s="118" t="str">
        <f>CONCATENATE(D54," ",A54,D55,A55,D56,A56)</f>
        <v>0,79 (0,49-1,28)</v>
      </c>
      <c r="E58" s="118" t="str">
        <f>CONCATENATE(E54*100,A57," ",A54,E56*100,A57," ",A58," ",E55*100,A57,A56)</f>
        <v>0% (0,01% a -0,002%)</v>
      </c>
      <c r="F58" s="118" t="str">
        <f>CONCATENATE(F54," ",A54,F55," ",A58," ",F56,A56)</f>
        <v>54019 (17203 a -49075)</v>
      </c>
      <c r="G58" s="385" t="str">
        <f>CONCATENATE(G56*100,A57)</f>
        <v>15,64%</v>
      </c>
      <c r="I58" s="96"/>
      <c r="J58" s="96"/>
      <c r="N58" s="103"/>
      <c r="O58" s="103"/>
      <c r="T58" s="103"/>
      <c r="U58" s="103"/>
    </row>
    <row r="59" spans="1:21" ht="13.5" hidden="1" thickBot="1" x14ac:dyDescent="0.25">
      <c r="A59" s="387" t="s">
        <v>55</v>
      </c>
      <c r="B59" s="388"/>
      <c r="C59" s="388"/>
      <c r="D59" s="388"/>
      <c r="E59" s="388"/>
      <c r="F59" s="388"/>
      <c r="G59" s="389"/>
      <c r="I59" s="96"/>
      <c r="J59" s="96"/>
      <c r="N59" s="103"/>
      <c r="O59" s="103"/>
      <c r="T59" s="103"/>
      <c r="U59" s="103"/>
    </row>
    <row r="60" spans="1:21" x14ac:dyDescent="0.2">
      <c r="K60" s="96"/>
      <c r="N60" s="103"/>
      <c r="O60" s="103"/>
      <c r="T60" s="103"/>
      <c r="U60" s="103"/>
    </row>
    <row r="61" spans="1:21" ht="27" customHeight="1" x14ac:dyDescent="0.2">
      <c r="B61" s="390" t="s">
        <v>53</v>
      </c>
      <c r="C61" s="390" t="s">
        <v>54</v>
      </c>
      <c r="D61" s="120" t="s">
        <v>6</v>
      </c>
      <c r="E61" s="120" t="s">
        <v>8</v>
      </c>
      <c r="F61" s="120" t="s">
        <v>9</v>
      </c>
      <c r="G61" s="120" t="s">
        <v>150</v>
      </c>
      <c r="H61" s="391"/>
      <c r="I61" s="120" t="s">
        <v>151</v>
      </c>
      <c r="K61" s="101"/>
      <c r="N61" s="103"/>
      <c r="O61" s="103"/>
      <c r="T61" s="103"/>
      <c r="U61" s="103"/>
    </row>
    <row r="62" spans="1:21" ht="21" customHeight="1" x14ac:dyDescent="0.2">
      <c r="B62" s="392" t="str">
        <f t="shared" ref="B62:G62" si="0">B58</f>
        <v>29/418022 (0,007%)</v>
      </c>
      <c r="C62" s="392" t="str">
        <f t="shared" si="0"/>
        <v>37/418022 (0,0089%)</v>
      </c>
      <c r="D62" s="392" t="str">
        <f t="shared" si="0"/>
        <v>0,79 (0,49-1,28)</v>
      </c>
      <c r="E62" s="392" t="str">
        <f t="shared" si="0"/>
        <v>0% (0,01% a -0,002%)</v>
      </c>
      <c r="F62" s="392" t="str">
        <f t="shared" si="0"/>
        <v>54019 (17203 a -49075)</v>
      </c>
      <c r="G62" s="392" t="str">
        <f t="shared" si="0"/>
        <v>15,64%</v>
      </c>
      <c r="H62" s="393"/>
      <c r="I62" s="394">
        <f>B49</f>
        <v>0.34175947103690174</v>
      </c>
      <c r="K62" s="395"/>
      <c r="N62" s="103"/>
      <c r="O62" s="103"/>
      <c r="T62" s="103"/>
      <c r="U62" s="103"/>
    </row>
    <row r="65" spans="1:7" ht="13.5" thickBot="1" x14ac:dyDescent="0.25"/>
    <row r="66" spans="1:7" ht="72" customHeight="1" thickBot="1" x14ac:dyDescent="0.25">
      <c r="A66" s="435" t="s">
        <v>183</v>
      </c>
      <c r="B66" s="436"/>
      <c r="C66" s="436"/>
      <c r="D66" s="436"/>
      <c r="E66" s="436"/>
      <c r="F66" s="436"/>
      <c r="G66" s="437"/>
    </row>
    <row r="67" spans="1:7" ht="32.25" customHeight="1" thickBot="1" x14ac:dyDescent="0.25">
      <c r="A67" s="438"/>
      <c r="B67" s="440" t="s">
        <v>166</v>
      </c>
      <c r="C67" s="442" t="s">
        <v>167</v>
      </c>
      <c r="D67" s="444" t="s">
        <v>187</v>
      </c>
      <c r="E67" s="445"/>
      <c r="F67" s="445"/>
      <c r="G67" s="446"/>
    </row>
    <row r="68" spans="1:7" ht="60.75" customHeight="1" thickBot="1" x14ac:dyDescent="0.25">
      <c r="A68" s="439"/>
      <c r="B68" s="441"/>
      <c r="C68" s="443"/>
      <c r="D68" s="410" t="s">
        <v>43</v>
      </c>
      <c r="E68" s="411" t="s">
        <v>21</v>
      </c>
      <c r="F68" s="411" t="s">
        <v>22</v>
      </c>
      <c r="G68" s="412" t="s">
        <v>150</v>
      </c>
    </row>
    <row r="69" spans="1:7" ht="39" customHeight="1" x14ac:dyDescent="0.2">
      <c r="A69" s="86" t="s">
        <v>172</v>
      </c>
      <c r="B69" s="87" t="s">
        <v>169</v>
      </c>
      <c r="C69" s="88" t="s">
        <v>170</v>
      </c>
      <c r="D69" s="407" t="s">
        <v>165</v>
      </c>
      <c r="E69" s="408" t="s">
        <v>175</v>
      </c>
      <c r="F69" s="409" t="s">
        <v>176</v>
      </c>
      <c r="G69" s="416">
        <v>0.75080000000000002</v>
      </c>
    </row>
    <row r="70" spans="1:7" ht="39" customHeight="1" thickBot="1" x14ac:dyDescent="0.25">
      <c r="A70" s="89" t="s">
        <v>162</v>
      </c>
      <c r="B70" s="426" t="s">
        <v>168</v>
      </c>
      <c r="C70" s="427"/>
      <c r="D70" s="427"/>
      <c r="E70" s="427"/>
      <c r="F70" s="427"/>
      <c r="G70" s="428"/>
    </row>
    <row r="71" spans="1:7" ht="5.25" customHeight="1" x14ac:dyDescent="0.2">
      <c r="A71" s="420"/>
      <c r="B71" s="421"/>
      <c r="C71" s="421"/>
      <c r="D71" s="421"/>
      <c r="E71" s="421"/>
      <c r="F71" s="421"/>
      <c r="G71" s="422"/>
    </row>
    <row r="72" spans="1:7" ht="34.5" customHeight="1" x14ac:dyDescent="0.2">
      <c r="A72" s="423" t="s">
        <v>158</v>
      </c>
      <c r="B72" s="424"/>
      <c r="C72" s="424"/>
      <c r="D72" s="424"/>
      <c r="E72" s="424"/>
      <c r="F72" s="424"/>
      <c r="G72" s="425"/>
    </row>
    <row r="73" spans="1:7" ht="24.75" customHeight="1" x14ac:dyDescent="0.2">
      <c r="A73" s="423" t="s">
        <v>171</v>
      </c>
      <c r="B73" s="424"/>
      <c r="C73" s="424"/>
      <c r="D73" s="424"/>
      <c r="E73" s="424"/>
      <c r="F73" s="424"/>
      <c r="G73" s="425"/>
    </row>
  </sheetData>
  <mergeCells count="12">
    <mergeCell ref="A71:G71"/>
    <mergeCell ref="A72:G72"/>
    <mergeCell ref="A73:G73"/>
    <mergeCell ref="B70:G70"/>
    <mergeCell ref="A2:I2"/>
    <mergeCell ref="A3:I3"/>
    <mergeCell ref="B44:C44"/>
    <mergeCell ref="A66:G66"/>
    <mergeCell ref="A67:A68"/>
    <mergeCell ref="B67:B68"/>
    <mergeCell ref="C67:C68"/>
    <mergeCell ref="D67:G6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topLeftCell="B1" zoomScale="120" zoomScaleNormal="120" workbookViewId="0">
      <selection activeCell="L8" sqref="L8"/>
    </sheetView>
  </sheetViews>
  <sheetFormatPr baseColWidth="10" defaultRowHeight="12.75" x14ac:dyDescent="0.2"/>
  <cols>
    <col min="1" max="1" width="2.85546875" style="1" customWidth="1"/>
    <col min="2" max="2" width="16" style="1" customWidth="1"/>
    <col min="3" max="3" width="12.140625" style="1" customWidth="1"/>
    <col min="4" max="7" width="11.42578125" style="1"/>
    <col min="8" max="8" width="12" style="1" customWidth="1"/>
    <col min="9" max="16384" width="11.42578125" style="1"/>
  </cols>
  <sheetData>
    <row r="2" spans="2:11" x14ac:dyDescent="0.2">
      <c r="B2" s="94" t="s">
        <v>177</v>
      </c>
    </row>
    <row r="3" spans="2:11" x14ac:dyDescent="0.2">
      <c r="B3" s="93" t="s">
        <v>45</v>
      </c>
    </row>
    <row r="4" spans="2:11" ht="27.75" customHeight="1" x14ac:dyDescent="0.2">
      <c r="B4" s="20" t="s">
        <v>37</v>
      </c>
      <c r="C4" s="15" t="s">
        <v>24</v>
      </c>
      <c r="D4" s="16" t="s">
        <v>23</v>
      </c>
      <c r="E4" s="16" t="s">
        <v>25</v>
      </c>
      <c r="F4" s="16" t="s">
        <v>26</v>
      </c>
      <c r="G4" s="16" t="s">
        <v>27</v>
      </c>
      <c r="H4" s="17" t="s">
        <v>28</v>
      </c>
      <c r="I4" s="16" t="s">
        <v>31</v>
      </c>
      <c r="J4" s="16" t="s">
        <v>32</v>
      </c>
      <c r="K4" s="18" t="s">
        <v>36</v>
      </c>
    </row>
    <row r="5" spans="2:11" ht="21" customHeight="1" x14ac:dyDescent="0.2">
      <c r="B5" s="21" t="s">
        <v>29</v>
      </c>
      <c r="C5" s="11">
        <v>45132</v>
      </c>
      <c r="D5" s="12">
        <v>48361</v>
      </c>
      <c r="E5" s="12">
        <v>54882</v>
      </c>
      <c r="F5" s="12">
        <v>50361</v>
      </c>
      <c r="G5" s="12">
        <v>56096</v>
      </c>
      <c r="H5" s="12">
        <v>52985</v>
      </c>
      <c r="I5" s="12">
        <v>53563</v>
      </c>
      <c r="J5" s="13">
        <v>49322</v>
      </c>
      <c r="K5" s="14">
        <f>SUM(D5:J5)</f>
        <v>365570</v>
      </c>
    </row>
    <row r="6" spans="2:11" ht="25.5" x14ac:dyDescent="0.2">
      <c r="B6" s="19" t="s">
        <v>34</v>
      </c>
      <c r="C6" s="2">
        <v>34581</v>
      </c>
      <c r="D6" s="4">
        <v>42956</v>
      </c>
      <c r="E6" s="4">
        <v>51576</v>
      </c>
      <c r="F6" s="4">
        <v>47731</v>
      </c>
      <c r="G6" s="4">
        <v>53410</v>
      </c>
      <c r="H6" s="4">
        <v>50606</v>
      </c>
      <c r="I6" s="4">
        <v>51017</v>
      </c>
      <c r="J6" s="7">
        <v>47111</v>
      </c>
      <c r="K6" s="9">
        <f>SUM(D6:J6)</f>
        <v>344407</v>
      </c>
    </row>
    <row r="7" spans="2:11" ht="25.5" x14ac:dyDescent="0.2">
      <c r="B7" s="22" t="s">
        <v>38</v>
      </c>
      <c r="C7" s="5">
        <f>C6/C5</f>
        <v>0.7662190906673757</v>
      </c>
      <c r="D7" s="6">
        <f t="shared" ref="D7:K7" si="0">D6/D5</f>
        <v>0.88823638882570666</v>
      </c>
      <c r="E7" s="6">
        <f t="shared" si="0"/>
        <v>0.93976167049305781</v>
      </c>
      <c r="F7" s="6">
        <f t="shared" si="0"/>
        <v>0.94777704970115761</v>
      </c>
      <c r="G7" s="6">
        <f t="shared" si="0"/>
        <v>0.95211779806046781</v>
      </c>
      <c r="H7" s="6">
        <f t="shared" si="0"/>
        <v>0.95510050014154946</v>
      </c>
      <c r="I7" s="6">
        <f t="shared" si="0"/>
        <v>0.95246718817093889</v>
      </c>
      <c r="J7" s="8">
        <f t="shared" si="0"/>
        <v>0.95517213413892377</v>
      </c>
      <c r="K7" s="10">
        <f t="shared" si="0"/>
        <v>0.94210958229614028</v>
      </c>
    </row>
    <row r="8" spans="2:11" ht="25.5" x14ac:dyDescent="0.2">
      <c r="B8" s="19" t="s">
        <v>35</v>
      </c>
      <c r="C8" s="3" t="s">
        <v>33</v>
      </c>
      <c r="D8" s="4">
        <v>36373</v>
      </c>
      <c r="E8" s="4">
        <v>46519</v>
      </c>
      <c r="F8" s="4">
        <v>43370</v>
      </c>
      <c r="G8" s="4">
        <v>48733</v>
      </c>
      <c r="H8" s="4">
        <v>46594</v>
      </c>
      <c r="I8" s="4">
        <v>47323</v>
      </c>
      <c r="J8" s="7">
        <v>43704</v>
      </c>
      <c r="K8" s="9">
        <f>SUM(D8:J8)</f>
        <v>312616</v>
      </c>
    </row>
    <row r="9" spans="2:11" ht="25.5" x14ac:dyDescent="0.2">
      <c r="B9" s="22" t="s">
        <v>39</v>
      </c>
      <c r="C9" s="23" t="s">
        <v>33</v>
      </c>
      <c r="D9" s="6">
        <f>D8/D5</f>
        <v>0.75211430698289949</v>
      </c>
      <c r="E9" s="6">
        <f t="shared" ref="E9:K9" si="1">E8/E5</f>
        <v>0.84761852702161</v>
      </c>
      <c r="F9" s="6">
        <f t="shared" si="1"/>
        <v>0.86118226405353349</v>
      </c>
      <c r="G9" s="6">
        <f t="shared" si="1"/>
        <v>0.86874286936679979</v>
      </c>
      <c r="H9" s="6">
        <f t="shared" si="1"/>
        <v>0.87938095687458717</v>
      </c>
      <c r="I9" s="6">
        <f t="shared" si="1"/>
        <v>0.88350167092955956</v>
      </c>
      <c r="J9" s="8">
        <f t="shared" si="1"/>
        <v>0.88609545436113701</v>
      </c>
      <c r="K9" s="10">
        <f t="shared" si="1"/>
        <v>0.85514675711901966</v>
      </c>
    </row>
    <row r="11" spans="2:11" x14ac:dyDescent="0.2">
      <c r="B11" s="1" t="s">
        <v>30</v>
      </c>
    </row>
    <row r="12" spans="2:11" x14ac:dyDescent="0.2">
      <c r="B12" s="1" t="s">
        <v>40</v>
      </c>
    </row>
    <row r="13" spans="2:11" x14ac:dyDescent="0.2">
      <c r="B13" s="1" t="s">
        <v>41</v>
      </c>
    </row>
  </sheetData>
  <pageMargins left="0.7" right="0.7" top="0.75" bottom="0.75" header="0.3" footer="0.3"/>
  <pageSetup paperSize="9" orientation="portrait" horizontalDpi="300" verticalDpi="300" r:id="rId1"/>
  <ignoredErrors>
    <ignoredError sqref="K5 K6 K8:K9" formulaRange="1"/>
    <ignoredError sqref="K7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110" zoomScaleNormal="110" workbookViewId="0"/>
  </sheetViews>
  <sheetFormatPr baseColWidth="10" defaultRowHeight="12.75" x14ac:dyDescent="0.2"/>
  <cols>
    <col min="1" max="1" width="26.5703125" style="24" customWidth="1"/>
    <col min="2" max="2" width="20.7109375" style="24" customWidth="1"/>
    <col min="3" max="3" width="18.85546875" style="24" customWidth="1"/>
    <col min="4" max="4" width="15.7109375" style="24" customWidth="1"/>
    <col min="5" max="5" width="19" style="24" customWidth="1"/>
    <col min="6" max="6" width="19.42578125" style="24" customWidth="1"/>
    <col min="7" max="7" width="23.140625" style="24" customWidth="1"/>
    <col min="8" max="8" width="10.7109375" style="25" customWidth="1"/>
    <col min="9" max="9" width="11" style="24"/>
    <col min="10" max="10" width="16.5703125" style="26" customWidth="1"/>
    <col min="11" max="256" width="11" style="24"/>
    <col min="257" max="257" width="19.42578125" style="24" customWidth="1"/>
    <col min="258" max="258" width="16" style="24" customWidth="1"/>
    <col min="259" max="259" width="16.7109375" style="24" customWidth="1"/>
    <col min="260" max="260" width="14.42578125" style="24" customWidth="1"/>
    <col min="261" max="261" width="19" style="24" customWidth="1"/>
    <col min="262" max="262" width="19.42578125" style="24" customWidth="1"/>
    <col min="263" max="263" width="14.28515625" style="24" customWidth="1"/>
    <col min="264" max="264" width="10.7109375" style="24" customWidth="1"/>
    <col min="265" max="265" width="11" style="24"/>
    <col min="266" max="266" width="16.5703125" style="24" customWidth="1"/>
    <col min="267" max="512" width="11" style="24"/>
    <col min="513" max="513" width="19.42578125" style="24" customWidth="1"/>
    <col min="514" max="514" width="16" style="24" customWidth="1"/>
    <col min="515" max="515" width="16.7109375" style="24" customWidth="1"/>
    <col min="516" max="516" width="14.42578125" style="24" customWidth="1"/>
    <col min="517" max="517" width="19" style="24" customWidth="1"/>
    <col min="518" max="518" width="19.42578125" style="24" customWidth="1"/>
    <col min="519" max="519" width="14.28515625" style="24" customWidth="1"/>
    <col min="520" max="520" width="10.7109375" style="24" customWidth="1"/>
    <col min="521" max="521" width="11" style="24"/>
    <col min="522" max="522" width="16.5703125" style="24" customWidth="1"/>
    <col min="523" max="768" width="11" style="24"/>
    <col min="769" max="769" width="19.42578125" style="24" customWidth="1"/>
    <col min="770" max="770" width="16" style="24" customWidth="1"/>
    <col min="771" max="771" width="16.7109375" style="24" customWidth="1"/>
    <col min="772" max="772" width="14.42578125" style="24" customWidth="1"/>
    <col min="773" max="773" width="19" style="24" customWidth="1"/>
    <col min="774" max="774" width="19.42578125" style="24" customWidth="1"/>
    <col min="775" max="775" width="14.28515625" style="24" customWidth="1"/>
    <col min="776" max="776" width="10.7109375" style="24" customWidth="1"/>
    <col min="777" max="777" width="11" style="24"/>
    <col min="778" max="778" width="16.5703125" style="24" customWidth="1"/>
    <col min="779" max="1024" width="11" style="24"/>
    <col min="1025" max="1025" width="19.42578125" style="24" customWidth="1"/>
    <col min="1026" max="1026" width="16" style="24" customWidth="1"/>
    <col min="1027" max="1027" width="16.7109375" style="24" customWidth="1"/>
    <col min="1028" max="1028" width="14.42578125" style="24" customWidth="1"/>
    <col min="1029" max="1029" width="19" style="24" customWidth="1"/>
    <col min="1030" max="1030" width="19.42578125" style="24" customWidth="1"/>
    <col min="1031" max="1031" width="14.28515625" style="24" customWidth="1"/>
    <col min="1032" max="1032" width="10.7109375" style="24" customWidth="1"/>
    <col min="1033" max="1033" width="11" style="24"/>
    <col min="1034" max="1034" width="16.5703125" style="24" customWidth="1"/>
    <col min="1035" max="1280" width="11" style="24"/>
    <col min="1281" max="1281" width="19.42578125" style="24" customWidth="1"/>
    <col min="1282" max="1282" width="16" style="24" customWidth="1"/>
    <col min="1283" max="1283" width="16.7109375" style="24" customWidth="1"/>
    <col min="1284" max="1284" width="14.42578125" style="24" customWidth="1"/>
    <col min="1285" max="1285" width="19" style="24" customWidth="1"/>
    <col min="1286" max="1286" width="19.42578125" style="24" customWidth="1"/>
    <col min="1287" max="1287" width="14.28515625" style="24" customWidth="1"/>
    <col min="1288" max="1288" width="10.7109375" style="24" customWidth="1"/>
    <col min="1289" max="1289" width="11" style="24"/>
    <col min="1290" max="1290" width="16.5703125" style="24" customWidth="1"/>
    <col min="1291" max="1536" width="11" style="24"/>
    <col min="1537" max="1537" width="19.42578125" style="24" customWidth="1"/>
    <col min="1538" max="1538" width="16" style="24" customWidth="1"/>
    <col min="1539" max="1539" width="16.7109375" style="24" customWidth="1"/>
    <col min="1540" max="1540" width="14.42578125" style="24" customWidth="1"/>
    <col min="1541" max="1541" width="19" style="24" customWidth="1"/>
    <col min="1542" max="1542" width="19.42578125" style="24" customWidth="1"/>
    <col min="1543" max="1543" width="14.28515625" style="24" customWidth="1"/>
    <col min="1544" max="1544" width="10.7109375" style="24" customWidth="1"/>
    <col min="1545" max="1545" width="11" style="24"/>
    <col min="1546" max="1546" width="16.5703125" style="24" customWidth="1"/>
    <col min="1547" max="1792" width="11" style="24"/>
    <col min="1793" max="1793" width="19.42578125" style="24" customWidth="1"/>
    <col min="1794" max="1794" width="16" style="24" customWidth="1"/>
    <col min="1795" max="1795" width="16.7109375" style="24" customWidth="1"/>
    <col min="1796" max="1796" width="14.42578125" style="24" customWidth="1"/>
    <col min="1797" max="1797" width="19" style="24" customWidth="1"/>
    <col min="1798" max="1798" width="19.42578125" style="24" customWidth="1"/>
    <col min="1799" max="1799" width="14.28515625" style="24" customWidth="1"/>
    <col min="1800" max="1800" width="10.7109375" style="24" customWidth="1"/>
    <col min="1801" max="1801" width="11" style="24"/>
    <col min="1802" max="1802" width="16.5703125" style="24" customWidth="1"/>
    <col min="1803" max="2048" width="11" style="24"/>
    <col min="2049" max="2049" width="19.42578125" style="24" customWidth="1"/>
    <col min="2050" max="2050" width="16" style="24" customWidth="1"/>
    <col min="2051" max="2051" width="16.7109375" style="24" customWidth="1"/>
    <col min="2052" max="2052" width="14.42578125" style="24" customWidth="1"/>
    <col min="2053" max="2053" width="19" style="24" customWidth="1"/>
    <col min="2054" max="2054" width="19.42578125" style="24" customWidth="1"/>
    <col min="2055" max="2055" width="14.28515625" style="24" customWidth="1"/>
    <col min="2056" max="2056" width="10.7109375" style="24" customWidth="1"/>
    <col min="2057" max="2057" width="11" style="24"/>
    <col min="2058" max="2058" width="16.5703125" style="24" customWidth="1"/>
    <col min="2059" max="2304" width="11" style="24"/>
    <col min="2305" max="2305" width="19.42578125" style="24" customWidth="1"/>
    <col min="2306" max="2306" width="16" style="24" customWidth="1"/>
    <col min="2307" max="2307" width="16.7109375" style="24" customWidth="1"/>
    <col min="2308" max="2308" width="14.42578125" style="24" customWidth="1"/>
    <col min="2309" max="2309" width="19" style="24" customWidth="1"/>
    <col min="2310" max="2310" width="19.42578125" style="24" customWidth="1"/>
    <col min="2311" max="2311" width="14.28515625" style="24" customWidth="1"/>
    <col min="2312" max="2312" width="10.7109375" style="24" customWidth="1"/>
    <col min="2313" max="2313" width="11" style="24"/>
    <col min="2314" max="2314" width="16.5703125" style="24" customWidth="1"/>
    <col min="2315" max="2560" width="11" style="24"/>
    <col min="2561" max="2561" width="19.42578125" style="24" customWidth="1"/>
    <col min="2562" max="2562" width="16" style="24" customWidth="1"/>
    <col min="2563" max="2563" width="16.7109375" style="24" customWidth="1"/>
    <col min="2564" max="2564" width="14.42578125" style="24" customWidth="1"/>
    <col min="2565" max="2565" width="19" style="24" customWidth="1"/>
    <col min="2566" max="2566" width="19.42578125" style="24" customWidth="1"/>
    <col min="2567" max="2567" width="14.28515625" style="24" customWidth="1"/>
    <col min="2568" max="2568" width="10.7109375" style="24" customWidth="1"/>
    <col min="2569" max="2569" width="11" style="24"/>
    <col min="2570" max="2570" width="16.5703125" style="24" customWidth="1"/>
    <col min="2571" max="2816" width="11" style="24"/>
    <col min="2817" max="2817" width="19.42578125" style="24" customWidth="1"/>
    <col min="2818" max="2818" width="16" style="24" customWidth="1"/>
    <col min="2819" max="2819" width="16.7109375" style="24" customWidth="1"/>
    <col min="2820" max="2820" width="14.42578125" style="24" customWidth="1"/>
    <col min="2821" max="2821" width="19" style="24" customWidth="1"/>
    <col min="2822" max="2822" width="19.42578125" style="24" customWidth="1"/>
    <col min="2823" max="2823" width="14.28515625" style="24" customWidth="1"/>
    <col min="2824" max="2824" width="10.7109375" style="24" customWidth="1"/>
    <col min="2825" max="2825" width="11" style="24"/>
    <col min="2826" max="2826" width="16.5703125" style="24" customWidth="1"/>
    <col min="2827" max="3072" width="11" style="24"/>
    <col min="3073" max="3073" width="19.42578125" style="24" customWidth="1"/>
    <col min="3074" max="3074" width="16" style="24" customWidth="1"/>
    <col min="3075" max="3075" width="16.7109375" style="24" customWidth="1"/>
    <col min="3076" max="3076" width="14.42578125" style="24" customWidth="1"/>
    <col min="3077" max="3077" width="19" style="24" customWidth="1"/>
    <col min="3078" max="3078" width="19.42578125" style="24" customWidth="1"/>
    <col min="3079" max="3079" width="14.28515625" style="24" customWidth="1"/>
    <col min="3080" max="3080" width="10.7109375" style="24" customWidth="1"/>
    <col min="3081" max="3081" width="11" style="24"/>
    <col min="3082" max="3082" width="16.5703125" style="24" customWidth="1"/>
    <col min="3083" max="3328" width="11" style="24"/>
    <col min="3329" max="3329" width="19.42578125" style="24" customWidth="1"/>
    <col min="3330" max="3330" width="16" style="24" customWidth="1"/>
    <col min="3331" max="3331" width="16.7109375" style="24" customWidth="1"/>
    <col min="3332" max="3332" width="14.42578125" style="24" customWidth="1"/>
    <col min="3333" max="3333" width="19" style="24" customWidth="1"/>
    <col min="3334" max="3334" width="19.42578125" style="24" customWidth="1"/>
    <col min="3335" max="3335" width="14.28515625" style="24" customWidth="1"/>
    <col min="3336" max="3336" width="10.7109375" style="24" customWidth="1"/>
    <col min="3337" max="3337" width="11" style="24"/>
    <col min="3338" max="3338" width="16.5703125" style="24" customWidth="1"/>
    <col min="3339" max="3584" width="11" style="24"/>
    <col min="3585" max="3585" width="19.42578125" style="24" customWidth="1"/>
    <col min="3586" max="3586" width="16" style="24" customWidth="1"/>
    <col min="3587" max="3587" width="16.7109375" style="24" customWidth="1"/>
    <col min="3588" max="3588" width="14.42578125" style="24" customWidth="1"/>
    <col min="3589" max="3589" width="19" style="24" customWidth="1"/>
    <col min="3590" max="3590" width="19.42578125" style="24" customWidth="1"/>
    <col min="3591" max="3591" width="14.28515625" style="24" customWidth="1"/>
    <col min="3592" max="3592" width="10.7109375" style="24" customWidth="1"/>
    <col min="3593" max="3593" width="11" style="24"/>
    <col min="3594" max="3594" width="16.5703125" style="24" customWidth="1"/>
    <col min="3595" max="3840" width="11" style="24"/>
    <col min="3841" max="3841" width="19.42578125" style="24" customWidth="1"/>
    <col min="3842" max="3842" width="16" style="24" customWidth="1"/>
    <col min="3843" max="3843" width="16.7109375" style="24" customWidth="1"/>
    <col min="3844" max="3844" width="14.42578125" style="24" customWidth="1"/>
    <col min="3845" max="3845" width="19" style="24" customWidth="1"/>
    <col min="3846" max="3846" width="19.42578125" style="24" customWidth="1"/>
    <col min="3847" max="3847" width="14.28515625" style="24" customWidth="1"/>
    <col min="3848" max="3848" width="10.7109375" style="24" customWidth="1"/>
    <col min="3849" max="3849" width="11" style="24"/>
    <col min="3850" max="3850" width="16.5703125" style="24" customWidth="1"/>
    <col min="3851" max="4096" width="11" style="24"/>
    <col min="4097" max="4097" width="19.42578125" style="24" customWidth="1"/>
    <col min="4098" max="4098" width="16" style="24" customWidth="1"/>
    <col min="4099" max="4099" width="16.7109375" style="24" customWidth="1"/>
    <col min="4100" max="4100" width="14.42578125" style="24" customWidth="1"/>
    <col min="4101" max="4101" width="19" style="24" customWidth="1"/>
    <col min="4102" max="4102" width="19.42578125" style="24" customWidth="1"/>
    <col min="4103" max="4103" width="14.28515625" style="24" customWidth="1"/>
    <col min="4104" max="4104" width="10.7109375" style="24" customWidth="1"/>
    <col min="4105" max="4105" width="11" style="24"/>
    <col min="4106" max="4106" width="16.5703125" style="24" customWidth="1"/>
    <col min="4107" max="4352" width="11" style="24"/>
    <col min="4353" max="4353" width="19.42578125" style="24" customWidth="1"/>
    <col min="4354" max="4354" width="16" style="24" customWidth="1"/>
    <col min="4355" max="4355" width="16.7109375" style="24" customWidth="1"/>
    <col min="4356" max="4356" width="14.42578125" style="24" customWidth="1"/>
    <col min="4357" max="4357" width="19" style="24" customWidth="1"/>
    <col min="4358" max="4358" width="19.42578125" style="24" customWidth="1"/>
    <col min="4359" max="4359" width="14.28515625" style="24" customWidth="1"/>
    <col min="4360" max="4360" width="10.7109375" style="24" customWidth="1"/>
    <col min="4361" max="4361" width="11" style="24"/>
    <col min="4362" max="4362" width="16.5703125" style="24" customWidth="1"/>
    <col min="4363" max="4608" width="11" style="24"/>
    <col min="4609" max="4609" width="19.42578125" style="24" customWidth="1"/>
    <col min="4610" max="4610" width="16" style="24" customWidth="1"/>
    <col min="4611" max="4611" width="16.7109375" style="24" customWidth="1"/>
    <col min="4612" max="4612" width="14.42578125" style="24" customWidth="1"/>
    <col min="4613" max="4613" width="19" style="24" customWidth="1"/>
    <col min="4614" max="4614" width="19.42578125" style="24" customWidth="1"/>
    <col min="4615" max="4615" width="14.28515625" style="24" customWidth="1"/>
    <col min="4616" max="4616" width="10.7109375" style="24" customWidth="1"/>
    <col min="4617" max="4617" width="11" style="24"/>
    <col min="4618" max="4618" width="16.5703125" style="24" customWidth="1"/>
    <col min="4619" max="4864" width="11" style="24"/>
    <col min="4865" max="4865" width="19.42578125" style="24" customWidth="1"/>
    <col min="4866" max="4866" width="16" style="24" customWidth="1"/>
    <col min="4867" max="4867" width="16.7109375" style="24" customWidth="1"/>
    <col min="4868" max="4868" width="14.42578125" style="24" customWidth="1"/>
    <col min="4869" max="4869" width="19" style="24" customWidth="1"/>
    <col min="4870" max="4870" width="19.42578125" style="24" customWidth="1"/>
    <col min="4871" max="4871" width="14.28515625" style="24" customWidth="1"/>
    <col min="4872" max="4872" width="10.7109375" style="24" customWidth="1"/>
    <col min="4873" max="4873" width="11" style="24"/>
    <col min="4874" max="4874" width="16.5703125" style="24" customWidth="1"/>
    <col min="4875" max="5120" width="11" style="24"/>
    <col min="5121" max="5121" width="19.42578125" style="24" customWidth="1"/>
    <col min="5122" max="5122" width="16" style="24" customWidth="1"/>
    <col min="5123" max="5123" width="16.7109375" style="24" customWidth="1"/>
    <col min="5124" max="5124" width="14.42578125" style="24" customWidth="1"/>
    <col min="5125" max="5125" width="19" style="24" customWidth="1"/>
    <col min="5126" max="5126" width="19.42578125" style="24" customWidth="1"/>
    <col min="5127" max="5127" width="14.28515625" style="24" customWidth="1"/>
    <col min="5128" max="5128" width="10.7109375" style="24" customWidth="1"/>
    <col min="5129" max="5129" width="11" style="24"/>
    <col min="5130" max="5130" width="16.5703125" style="24" customWidth="1"/>
    <col min="5131" max="5376" width="11" style="24"/>
    <col min="5377" max="5377" width="19.42578125" style="24" customWidth="1"/>
    <col min="5378" max="5378" width="16" style="24" customWidth="1"/>
    <col min="5379" max="5379" width="16.7109375" style="24" customWidth="1"/>
    <col min="5380" max="5380" width="14.42578125" style="24" customWidth="1"/>
    <col min="5381" max="5381" width="19" style="24" customWidth="1"/>
    <col min="5382" max="5382" width="19.42578125" style="24" customWidth="1"/>
    <col min="5383" max="5383" width="14.28515625" style="24" customWidth="1"/>
    <col min="5384" max="5384" width="10.7109375" style="24" customWidth="1"/>
    <col min="5385" max="5385" width="11" style="24"/>
    <col min="5386" max="5386" width="16.5703125" style="24" customWidth="1"/>
    <col min="5387" max="5632" width="11" style="24"/>
    <col min="5633" max="5633" width="19.42578125" style="24" customWidth="1"/>
    <col min="5634" max="5634" width="16" style="24" customWidth="1"/>
    <col min="5635" max="5635" width="16.7109375" style="24" customWidth="1"/>
    <col min="5636" max="5636" width="14.42578125" style="24" customWidth="1"/>
    <col min="5637" max="5637" width="19" style="24" customWidth="1"/>
    <col min="5638" max="5638" width="19.42578125" style="24" customWidth="1"/>
    <col min="5639" max="5639" width="14.28515625" style="24" customWidth="1"/>
    <col min="5640" max="5640" width="10.7109375" style="24" customWidth="1"/>
    <col min="5641" max="5641" width="11" style="24"/>
    <col min="5642" max="5642" width="16.5703125" style="24" customWidth="1"/>
    <col min="5643" max="5888" width="11" style="24"/>
    <col min="5889" max="5889" width="19.42578125" style="24" customWidth="1"/>
    <col min="5890" max="5890" width="16" style="24" customWidth="1"/>
    <col min="5891" max="5891" width="16.7109375" style="24" customWidth="1"/>
    <col min="5892" max="5892" width="14.42578125" style="24" customWidth="1"/>
    <col min="5893" max="5893" width="19" style="24" customWidth="1"/>
    <col min="5894" max="5894" width="19.42578125" style="24" customWidth="1"/>
    <col min="5895" max="5895" width="14.28515625" style="24" customWidth="1"/>
    <col min="5896" max="5896" width="10.7109375" style="24" customWidth="1"/>
    <col min="5897" max="5897" width="11" style="24"/>
    <col min="5898" max="5898" width="16.5703125" style="24" customWidth="1"/>
    <col min="5899" max="6144" width="11" style="24"/>
    <col min="6145" max="6145" width="19.42578125" style="24" customWidth="1"/>
    <col min="6146" max="6146" width="16" style="24" customWidth="1"/>
    <col min="6147" max="6147" width="16.7109375" style="24" customWidth="1"/>
    <col min="6148" max="6148" width="14.42578125" style="24" customWidth="1"/>
    <col min="6149" max="6149" width="19" style="24" customWidth="1"/>
    <col min="6150" max="6150" width="19.42578125" style="24" customWidth="1"/>
    <col min="6151" max="6151" width="14.28515625" style="24" customWidth="1"/>
    <col min="6152" max="6152" width="10.7109375" style="24" customWidth="1"/>
    <col min="6153" max="6153" width="11" style="24"/>
    <col min="6154" max="6154" width="16.5703125" style="24" customWidth="1"/>
    <col min="6155" max="6400" width="11" style="24"/>
    <col min="6401" max="6401" width="19.42578125" style="24" customWidth="1"/>
    <col min="6402" max="6402" width="16" style="24" customWidth="1"/>
    <col min="6403" max="6403" width="16.7109375" style="24" customWidth="1"/>
    <col min="6404" max="6404" width="14.42578125" style="24" customWidth="1"/>
    <col min="6405" max="6405" width="19" style="24" customWidth="1"/>
    <col min="6406" max="6406" width="19.42578125" style="24" customWidth="1"/>
    <col min="6407" max="6407" width="14.28515625" style="24" customWidth="1"/>
    <col min="6408" max="6408" width="10.7109375" style="24" customWidth="1"/>
    <col min="6409" max="6409" width="11" style="24"/>
    <col min="6410" max="6410" width="16.5703125" style="24" customWidth="1"/>
    <col min="6411" max="6656" width="11" style="24"/>
    <col min="6657" max="6657" width="19.42578125" style="24" customWidth="1"/>
    <col min="6658" max="6658" width="16" style="24" customWidth="1"/>
    <col min="6659" max="6659" width="16.7109375" style="24" customWidth="1"/>
    <col min="6660" max="6660" width="14.42578125" style="24" customWidth="1"/>
    <col min="6661" max="6661" width="19" style="24" customWidth="1"/>
    <col min="6662" max="6662" width="19.42578125" style="24" customWidth="1"/>
    <col min="6663" max="6663" width="14.28515625" style="24" customWidth="1"/>
    <col min="6664" max="6664" width="10.7109375" style="24" customWidth="1"/>
    <col min="6665" max="6665" width="11" style="24"/>
    <col min="6666" max="6666" width="16.5703125" style="24" customWidth="1"/>
    <col min="6667" max="6912" width="11" style="24"/>
    <col min="6913" max="6913" width="19.42578125" style="24" customWidth="1"/>
    <col min="6914" max="6914" width="16" style="24" customWidth="1"/>
    <col min="6915" max="6915" width="16.7109375" style="24" customWidth="1"/>
    <col min="6916" max="6916" width="14.42578125" style="24" customWidth="1"/>
    <col min="6917" max="6917" width="19" style="24" customWidth="1"/>
    <col min="6918" max="6918" width="19.42578125" style="24" customWidth="1"/>
    <col min="6919" max="6919" width="14.28515625" style="24" customWidth="1"/>
    <col min="6920" max="6920" width="10.7109375" style="24" customWidth="1"/>
    <col min="6921" max="6921" width="11" style="24"/>
    <col min="6922" max="6922" width="16.5703125" style="24" customWidth="1"/>
    <col min="6923" max="7168" width="11" style="24"/>
    <col min="7169" max="7169" width="19.42578125" style="24" customWidth="1"/>
    <col min="7170" max="7170" width="16" style="24" customWidth="1"/>
    <col min="7171" max="7171" width="16.7109375" style="24" customWidth="1"/>
    <col min="7172" max="7172" width="14.42578125" style="24" customWidth="1"/>
    <col min="7173" max="7173" width="19" style="24" customWidth="1"/>
    <col min="7174" max="7174" width="19.42578125" style="24" customWidth="1"/>
    <col min="7175" max="7175" width="14.28515625" style="24" customWidth="1"/>
    <col min="7176" max="7176" width="10.7109375" style="24" customWidth="1"/>
    <col min="7177" max="7177" width="11" style="24"/>
    <col min="7178" max="7178" width="16.5703125" style="24" customWidth="1"/>
    <col min="7179" max="7424" width="11" style="24"/>
    <col min="7425" max="7425" width="19.42578125" style="24" customWidth="1"/>
    <col min="7426" max="7426" width="16" style="24" customWidth="1"/>
    <col min="7427" max="7427" width="16.7109375" style="24" customWidth="1"/>
    <col min="7428" max="7428" width="14.42578125" style="24" customWidth="1"/>
    <col min="7429" max="7429" width="19" style="24" customWidth="1"/>
    <col min="7430" max="7430" width="19.42578125" style="24" customWidth="1"/>
    <col min="7431" max="7431" width="14.28515625" style="24" customWidth="1"/>
    <col min="7432" max="7432" width="10.7109375" style="24" customWidth="1"/>
    <col min="7433" max="7433" width="11" style="24"/>
    <col min="7434" max="7434" width="16.5703125" style="24" customWidth="1"/>
    <col min="7435" max="7680" width="11" style="24"/>
    <col min="7681" max="7681" width="19.42578125" style="24" customWidth="1"/>
    <col min="7682" max="7682" width="16" style="24" customWidth="1"/>
    <col min="7683" max="7683" width="16.7109375" style="24" customWidth="1"/>
    <col min="7684" max="7684" width="14.42578125" style="24" customWidth="1"/>
    <col min="7685" max="7685" width="19" style="24" customWidth="1"/>
    <col min="7686" max="7686" width="19.42578125" style="24" customWidth="1"/>
    <col min="7687" max="7687" width="14.28515625" style="24" customWidth="1"/>
    <col min="7688" max="7688" width="10.7109375" style="24" customWidth="1"/>
    <col min="7689" max="7689" width="11" style="24"/>
    <col min="7690" max="7690" width="16.5703125" style="24" customWidth="1"/>
    <col min="7691" max="7936" width="11" style="24"/>
    <col min="7937" max="7937" width="19.42578125" style="24" customWidth="1"/>
    <col min="7938" max="7938" width="16" style="24" customWidth="1"/>
    <col min="7939" max="7939" width="16.7109375" style="24" customWidth="1"/>
    <col min="7940" max="7940" width="14.42578125" style="24" customWidth="1"/>
    <col min="7941" max="7941" width="19" style="24" customWidth="1"/>
    <col min="7942" max="7942" width="19.42578125" style="24" customWidth="1"/>
    <col min="7943" max="7943" width="14.28515625" style="24" customWidth="1"/>
    <col min="7944" max="7944" width="10.7109375" style="24" customWidth="1"/>
    <col min="7945" max="7945" width="11" style="24"/>
    <col min="7946" max="7946" width="16.5703125" style="24" customWidth="1"/>
    <col min="7947" max="8192" width="11" style="24"/>
    <col min="8193" max="8193" width="19.42578125" style="24" customWidth="1"/>
    <col min="8194" max="8194" width="16" style="24" customWidth="1"/>
    <col min="8195" max="8195" width="16.7109375" style="24" customWidth="1"/>
    <col min="8196" max="8196" width="14.42578125" style="24" customWidth="1"/>
    <col min="8197" max="8197" width="19" style="24" customWidth="1"/>
    <col min="8198" max="8198" width="19.42578125" style="24" customWidth="1"/>
    <col min="8199" max="8199" width="14.28515625" style="24" customWidth="1"/>
    <col min="8200" max="8200" width="10.7109375" style="24" customWidth="1"/>
    <col min="8201" max="8201" width="11" style="24"/>
    <col min="8202" max="8202" width="16.5703125" style="24" customWidth="1"/>
    <col min="8203" max="8448" width="11" style="24"/>
    <col min="8449" max="8449" width="19.42578125" style="24" customWidth="1"/>
    <col min="8450" max="8450" width="16" style="24" customWidth="1"/>
    <col min="8451" max="8451" width="16.7109375" style="24" customWidth="1"/>
    <col min="8452" max="8452" width="14.42578125" style="24" customWidth="1"/>
    <col min="8453" max="8453" width="19" style="24" customWidth="1"/>
    <col min="8454" max="8454" width="19.42578125" style="24" customWidth="1"/>
    <col min="8455" max="8455" width="14.28515625" style="24" customWidth="1"/>
    <col min="8456" max="8456" width="10.7109375" style="24" customWidth="1"/>
    <col min="8457" max="8457" width="11" style="24"/>
    <col min="8458" max="8458" width="16.5703125" style="24" customWidth="1"/>
    <col min="8459" max="8704" width="11" style="24"/>
    <col min="8705" max="8705" width="19.42578125" style="24" customWidth="1"/>
    <col min="8706" max="8706" width="16" style="24" customWidth="1"/>
    <col min="8707" max="8707" width="16.7109375" style="24" customWidth="1"/>
    <col min="8708" max="8708" width="14.42578125" style="24" customWidth="1"/>
    <col min="8709" max="8709" width="19" style="24" customWidth="1"/>
    <col min="8710" max="8710" width="19.42578125" style="24" customWidth="1"/>
    <col min="8711" max="8711" width="14.28515625" style="24" customWidth="1"/>
    <col min="8712" max="8712" width="10.7109375" style="24" customWidth="1"/>
    <col min="8713" max="8713" width="11" style="24"/>
    <col min="8714" max="8714" width="16.5703125" style="24" customWidth="1"/>
    <col min="8715" max="8960" width="11" style="24"/>
    <col min="8961" max="8961" width="19.42578125" style="24" customWidth="1"/>
    <col min="8962" max="8962" width="16" style="24" customWidth="1"/>
    <col min="8963" max="8963" width="16.7109375" style="24" customWidth="1"/>
    <col min="8964" max="8964" width="14.42578125" style="24" customWidth="1"/>
    <col min="8965" max="8965" width="19" style="24" customWidth="1"/>
    <col min="8966" max="8966" width="19.42578125" style="24" customWidth="1"/>
    <col min="8967" max="8967" width="14.28515625" style="24" customWidth="1"/>
    <col min="8968" max="8968" width="10.7109375" style="24" customWidth="1"/>
    <col min="8969" max="8969" width="11" style="24"/>
    <col min="8970" max="8970" width="16.5703125" style="24" customWidth="1"/>
    <col min="8971" max="9216" width="11" style="24"/>
    <col min="9217" max="9217" width="19.42578125" style="24" customWidth="1"/>
    <col min="9218" max="9218" width="16" style="24" customWidth="1"/>
    <col min="9219" max="9219" width="16.7109375" style="24" customWidth="1"/>
    <col min="9220" max="9220" width="14.42578125" style="24" customWidth="1"/>
    <col min="9221" max="9221" width="19" style="24" customWidth="1"/>
    <col min="9222" max="9222" width="19.42578125" style="24" customWidth="1"/>
    <col min="9223" max="9223" width="14.28515625" style="24" customWidth="1"/>
    <col min="9224" max="9224" width="10.7109375" style="24" customWidth="1"/>
    <col min="9225" max="9225" width="11" style="24"/>
    <col min="9226" max="9226" width="16.5703125" style="24" customWidth="1"/>
    <col min="9227" max="9472" width="11" style="24"/>
    <col min="9473" max="9473" width="19.42578125" style="24" customWidth="1"/>
    <col min="9474" max="9474" width="16" style="24" customWidth="1"/>
    <col min="9475" max="9475" width="16.7109375" style="24" customWidth="1"/>
    <col min="9476" max="9476" width="14.42578125" style="24" customWidth="1"/>
    <col min="9477" max="9477" width="19" style="24" customWidth="1"/>
    <col min="9478" max="9478" width="19.42578125" style="24" customWidth="1"/>
    <col min="9479" max="9479" width="14.28515625" style="24" customWidth="1"/>
    <col min="9480" max="9480" width="10.7109375" style="24" customWidth="1"/>
    <col min="9481" max="9481" width="11" style="24"/>
    <col min="9482" max="9482" width="16.5703125" style="24" customWidth="1"/>
    <col min="9483" max="9728" width="11" style="24"/>
    <col min="9729" max="9729" width="19.42578125" style="24" customWidth="1"/>
    <col min="9730" max="9730" width="16" style="24" customWidth="1"/>
    <col min="9731" max="9731" width="16.7109375" style="24" customWidth="1"/>
    <col min="9732" max="9732" width="14.42578125" style="24" customWidth="1"/>
    <col min="9733" max="9733" width="19" style="24" customWidth="1"/>
    <col min="9734" max="9734" width="19.42578125" style="24" customWidth="1"/>
    <col min="9735" max="9735" width="14.28515625" style="24" customWidth="1"/>
    <col min="9736" max="9736" width="10.7109375" style="24" customWidth="1"/>
    <col min="9737" max="9737" width="11" style="24"/>
    <col min="9738" max="9738" width="16.5703125" style="24" customWidth="1"/>
    <col min="9739" max="9984" width="11" style="24"/>
    <col min="9985" max="9985" width="19.42578125" style="24" customWidth="1"/>
    <col min="9986" max="9986" width="16" style="24" customWidth="1"/>
    <col min="9987" max="9987" width="16.7109375" style="24" customWidth="1"/>
    <col min="9988" max="9988" width="14.42578125" style="24" customWidth="1"/>
    <col min="9989" max="9989" width="19" style="24" customWidth="1"/>
    <col min="9990" max="9990" width="19.42578125" style="24" customWidth="1"/>
    <col min="9991" max="9991" width="14.28515625" style="24" customWidth="1"/>
    <col min="9992" max="9992" width="10.7109375" style="24" customWidth="1"/>
    <col min="9993" max="9993" width="11" style="24"/>
    <col min="9994" max="9994" width="16.5703125" style="24" customWidth="1"/>
    <col min="9995" max="10240" width="11" style="24"/>
    <col min="10241" max="10241" width="19.42578125" style="24" customWidth="1"/>
    <col min="10242" max="10242" width="16" style="24" customWidth="1"/>
    <col min="10243" max="10243" width="16.7109375" style="24" customWidth="1"/>
    <col min="10244" max="10244" width="14.42578125" style="24" customWidth="1"/>
    <col min="10245" max="10245" width="19" style="24" customWidth="1"/>
    <col min="10246" max="10246" width="19.42578125" style="24" customWidth="1"/>
    <col min="10247" max="10247" width="14.28515625" style="24" customWidth="1"/>
    <col min="10248" max="10248" width="10.7109375" style="24" customWidth="1"/>
    <col min="10249" max="10249" width="11" style="24"/>
    <col min="10250" max="10250" width="16.5703125" style="24" customWidth="1"/>
    <col min="10251" max="10496" width="11" style="24"/>
    <col min="10497" max="10497" width="19.42578125" style="24" customWidth="1"/>
    <col min="10498" max="10498" width="16" style="24" customWidth="1"/>
    <col min="10499" max="10499" width="16.7109375" style="24" customWidth="1"/>
    <col min="10500" max="10500" width="14.42578125" style="24" customWidth="1"/>
    <col min="10501" max="10501" width="19" style="24" customWidth="1"/>
    <col min="10502" max="10502" width="19.42578125" style="24" customWidth="1"/>
    <col min="10503" max="10503" width="14.28515625" style="24" customWidth="1"/>
    <col min="10504" max="10504" width="10.7109375" style="24" customWidth="1"/>
    <col min="10505" max="10505" width="11" style="24"/>
    <col min="10506" max="10506" width="16.5703125" style="24" customWidth="1"/>
    <col min="10507" max="10752" width="11" style="24"/>
    <col min="10753" max="10753" width="19.42578125" style="24" customWidth="1"/>
    <col min="10754" max="10754" width="16" style="24" customWidth="1"/>
    <col min="10755" max="10755" width="16.7109375" style="24" customWidth="1"/>
    <col min="10756" max="10756" width="14.42578125" style="24" customWidth="1"/>
    <col min="10757" max="10757" width="19" style="24" customWidth="1"/>
    <col min="10758" max="10758" width="19.42578125" style="24" customWidth="1"/>
    <col min="10759" max="10759" width="14.28515625" style="24" customWidth="1"/>
    <col min="10760" max="10760" width="10.7109375" style="24" customWidth="1"/>
    <col min="10761" max="10761" width="11" style="24"/>
    <col min="10762" max="10762" width="16.5703125" style="24" customWidth="1"/>
    <col min="10763" max="11008" width="11" style="24"/>
    <col min="11009" max="11009" width="19.42578125" style="24" customWidth="1"/>
    <col min="11010" max="11010" width="16" style="24" customWidth="1"/>
    <col min="11011" max="11011" width="16.7109375" style="24" customWidth="1"/>
    <col min="11012" max="11012" width="14.42578125" style="24" customWidth="1"/>
    <col min="11013" max="11013" width="19" style="24" customWidth="1"/>
    <col min="11014" max="11014" width="19.42578125" style="24" customWidth="1"/>
    <col min="11015" max="11015" width="14.28515625" style="24" customWidth="1"/>
    <col min="11016" max="11016" width="10.7109375" style="24" customWidth="1"/>
    <col min="11017" max="11017" width="11" style="24"/>
    <col min="11018" max="11018" width="16.5703125" style="24" customWidth="1"/>
    <col min="11019" max="11264" width="11" style="24"/>
    <col min="11265" max="11265" width="19.42578125" style="24" customWidth="1"/>
    <col min="11266" max="11266" width="16" style="24" customWidth="1"/>
    <col min="11267" max="11267" width="16.7109375" style="24" customWidth="1"/>
    <col min="11268" max="11268" width="14.42578125" style="24" customWidth="1"/>
    <col min="11269" max="11269" width="19" style="24" customWidth="1"/>
    <col min="11270" max="11270" width="19.42578125" style="24" customWidth="1"/>
    <col min="11271" max="11271" width="14.28515625" style="24" customWidth="1"/>
    <col min="11272" max="11272" width="10.7109375" style="24" customWidth="1"/>
    <col min="11273" max="11273" width="11" style="24"/>
    <col min="11274" max="11274" width="16.5703125" style="24" customWidth="1"/>
    <col min="11275" max="11520" width="11" style="24"/>
    <col min="11521" max="11521" width="19.42578125" style="24" customWidth="1"/>
    <col min="11522" max="11522" width="16" style="24" customWidth="1"/>
    <col min="11523" max="11523" width="16.7109375" style="24" customWidth="1"/>
    <col min="11524" max="11524" width="14.42578125" style="24" customWidth="1"/>
    <col min="11525" max="11525" width="19" style="24" customWidth="1"/>
    <col min="11526" max="11526" width="19.42578125" style="24" customWidth="1"/>
    <col min="11527" max="11527" width="14.28515625" style="24" customWidth="1"/>
    <col min="11528" max="11528" width="10.7109375" style="24" customWidth="1"/>
    <col min="11529" max="11529" width="11" style="24"/>
    <col min="11530" max="11530" width="16.5703125" style="24" customWidth="1"/>
    <col min="11531" max="11776" width="11" style="24"/>
    <col min="11777" max="11777" width="19.42578125" style="24" customWidth="1"/>
    <col min="11778" max="11778" width="16" style="24" customWidth="1"/>
    <col min="11779" max="11779" width="16.7109375" style="24" customWidth="1"/>
    <col min="11780" max="11780" width="14.42578125" style="24" customWidth="1"/>
    <col min="11781" max="11781" width="19" style="24" customWidth="1"/>
    <col min="11782" max="11782" width="19.42578125" style="24" customWidth="1"/>
    <col min="11783" max="11783" width="14.28515625" style="24" customWidth="1"/>
    <col min="11784" max="11784" width="10.7109375" style="24" customWidth="1"/>
    <col min="11785" max="11785" width="11" style="24"/>
    <col min="11786" max="11786" width="16.5703125" style="24" customWidth="1"/>
    <col min="11787" max="12032" width="11" style="24"/>
    <col min="12033" max="12033" width="19.42578125" style="24" customWidth="1"/>
    <col min="12034" max="12034" width="16" style="24" customWidth="1"/>
    <col min="12035" max="12035" width="16.7109375" style="24" customWidth="1"/>
    <col min="12036" max="12036" width="14.42578125" style="24" customWidth="1"/>
    <col min="12037" max="12037" width="19" style="24" customWidth="1"/>
    <col min="12038" max="12038" width="19.42578125" style="24" customWidth="1"/>
    <col min="12039" max="12039" width="14.28515625" style="24" customWidth="1"/>
    <col min="12040" max="12040" width="10.7109375" style="24" customWidth="1"/>
    <col min="12041" max="12041" width="11" style="24"/>
    <col min="12042" max="12042" width="16.5703125" style="24" customWidth="1"/>
    <col min="12043" max="12288" width="11" style="24"/>
    <col min="12289" max="12289" width="19.42578125" style="24" customWidth="1"/>
    <col min="12290" max="12290" width="16" style="24" customWidth="1"/>
    <col min="12291" max="12291" width="16.7109375" style="24" customWidth="1"/>
    <col min="12292" max="12292" width="14.42578125" style="24" customWidth="1"/>
    <col min="12293" max="12293" width="19" style="24" customWidth="1"/>
    <col min="12294" max="12294" width="19.42578125" style="24" customWidth="1"/>
    <col min="12295" max="12295" width="14.28515625" style="24" customWidth="1"/>
    <col min="12296" max="12296" width="10.7109375" style="24" customWidth="1"/>
    <col min="12297" max="12297" width="11" style="24"/>
    <col min="12298" max="12298" width="16.5703125" style="24" customWidth="1"/>
    <col min="12299" max="12544" width="11" style="24"/>
    <col min="12545" max="12545" width="19.42578125" style="24" customWidth="1"/>
    <col min="12546" max="12546" width="16" style="24" customWidth="1"/>
    <col min="12547" max="12547" width="16.7109375" style="24" customWidth="1"/>
    <col min="12548" max="12548" width="14.42578125" style="24" customWidth="1"/>
    <col min="12549" max="12549" width="19" style="24" customWidth="1"/>
    <col min="12550" max="12550" width="19.42578125" style="24" customWidth="1"/>
    <col min="12551" max="12551" width="14.28515625" style="24" customWidth="1"/>
    <col min="12552" max="12552" width="10.7109375" style="24" customWidth="1"/>
    <col min="12553" max="12553" width="11" style="24"/>
    <col min="12554" max="12554" width="16.5703125" style="24" customWidth="1"/>
    <col min="12555" max="12800" width="11" style="24"/>
    <col min="12801" max="12801" width="19.42578125" style="24" customWidth="1"/>
    <col min="12802" max="12802" width="16" style="24" customWidth="1"/>
    <col min="12803" max="12803" width="16.7109375" style="24" customWidth="1"/>
    <col min="12804" max="12804" width="14.42578125" style="24" customWidth="1"/>
    <col min="12805" max="12805" width="19" style="24" customWidth="1"/>
    <col min="12806" max="12806" width="19.42578125" style="24" customWidth="1"/>
    <col min="12807" max="12807" width="14.28515625" style="24" customWidth="1"/>
    <col min="12808" max="12808" width="10.7109375" style="24" customWidth="1"/>
    <col min="12809" max="12809" width="11" style="24"/>
    <col min="12810" max="12810" width="16.5703125" style="24" customWidth="1"/>
    <col min="12811" max="13056" width="11" style="24"/>
    <col min="13057" max="13057" width="19.42578125" style="24" customWidth="1"/>
    <col min="13058" max="13058" width="16" style="24" customWidth="1"/>
    <col min="13059" max="13059" width="16.7109375" style="24" customWidth="1"/>
    <col min="13060" max="13060" width="14.42578125" style="24" customWidth="1"/>
    <col min="13061" max="13061" width="19" style="24" customWidth="1"/>
    <col min="13062" max="13062" width="19.42578125" style="24" customWidth="1"/>
    <col min="13063" max="13063" width="14.28515625" style="24" customWidth="1"/>
    <col min="13064" max="13064" width="10.7109375" style="24" customWidth="1"/>
    <col min="13065" max="13065" width="11" style="24"/>
    <col min="13066" max="13066" width="16.5703125" style="24" customWidth="1"/>
    <col min="13067" max="13312" width="11" style="24"/>
    <col min="13313" max="13313" width="19.42578125" style="24" customWidth="1"/>
    <col min="13314" max="13314" width="16" style="24" customWidth="1"/>
    <col min="13315" max="13315" width="16.7109375" style="24" customWidth="1"/>
    <col min="13316" max="13316" width="14.42578125" style="24" customWidth="1"/>
    <col min="13317" max="13317" width="19" style="24" customWidth="1"/>
    <col min="13318" max="13318" width="19.42578125" style="24" customWidth="1"/>
    <col min="13319" max="13319" width="14.28515625" style="24" customWidth="1"/>
    <col min="13320" max="13320" width="10.7109375" style="24" customWidth="1"/>
    <col min="13321" max="13321" width="11" style="24"/>
    <col min="13322" max="13322" width="16.5703125" style="24" customWidth="1"/>
    <col min="13323" max="13568" width="11" style="24"/>
    <col min="13569" max="13569" width="19.42578125" style="24" customWidth="1"/>
    <col min="13570" max="13570" width="16" style="24" customWidth="1"/>
    <col min="13571" max="13571" width="16.7109375" style="24" customWidth="1"/>
    <col min="13572" max="13572" width="14.42578125" style="24" customWidth="1"/>
    <col min="13573" max="13573" width="19" style="24" customWidth="1"/>
    <col min="13574" max="13574" width="19.42578125" style="24" customWidth="1"/>
    <col min="13575" max="13575" width="14.28515625" style="24" customWidth="1"/>
    <col min="13576" max="13576" width="10.7109375" style="24" customWidth="1"/>
    <col min="13577" max="13577" width="11" style="24"/>
    <col min="13578" max="13578" width="16.5703125" style="24" customWidth="1"/>
    <col min="13579" max="13824" width="11" style="24"/>
    <col min="13825" max="13825" width="19.42578125" style="24" customWidth="1"/>
    <col min="13826" max="13826" width="16" style="24" customWidth="1"/>
    <col min="13827" max="13827" width="16.7109375" style="24" customWidth="1"/>
    <col min="13828" max="13828" width="14.42578125" style="24" customWidth="1"/>
    <col min="13829" max="13829" width="19" style="24" customWidth="1"/>
    <col min="13830" max="13830" width="19.42578125" style="24" customWidth="1"/>
    <col min="13831" max="13831" width="14.28515625" style="24" customWidth="1"/>
    <col min="13832" max="13832" width="10.7109375" style="24" customWidth="1"/>
    <col min="13833" max="13833" width="11" style="24"/>
    <col min="13834" max="13834" width="16.5703125" style="24" customWidth="1"/>
    <col min="13835" max="14080" width="11" style="24"/>
    <col min="14081" max="14081" width="19.42578125" style="24" customWidth="1"/>
    <col min="14082" max="14082" width="16" style="24" customWidth="1"/>
    <col min="14083" max="14083" width="16.7109375" style="24" customWidth="1"/>
    <col min="14084" max="14084" width="14.42578125" style="24" customWidth="1"/>
    <col min="14085" max="14085" width="19" style="24" customWidth="1"/>
    <col min="14086" max="14086" width="19.42578125" style="24" customWidth="1"/>
    <col min="14087" max="14087" width="14.28515625" style="24" customWidth="1"/>
    <col min="14088" max="14088" width="10.7109375" style="24" customWidth="1"/>
    <col min="14089" max="14089" width="11" style="24"/>
    <col min="14090" max="14090" width="16.5703125" style="24" customWidth="1"/>
    <col min="14091" max="14336" width="11" style="24"/>
    <col min="14337" max="14337" width="19.42578125" style="24" customWidth="1"/>
    <col min="14338" max="14338" width="16" style="24" customWidth="1"/>
    <col min="14339" max="14339" width="16.7109375" style="24" customWidth="1"/>
    <col min="14340" max="14340" width="14.42578125" style="24" customWidth="1"/>
    <col min="14341" max="14341" width="19" style="24" customWidth="1"/>
    <col min="14342" max="14342" width="19.42578125" style="24" customWidth="1"/>
    <col min="14343" max="14343" width="14.28515625" style="24" customWidth="1"/>
    <col min="14344" max="14344" width="10.7109375" style="24" customWidth="1"/>
    <col min="14345" max="14345" width="11" style="24"/>
    <col min="14346" max="14346" width="16.5703125" style="24" customWidth="1"/>
    <col min="14347" max="14592" width="11" style="24"/>
    <col min="14593" max="14593" width="19.42578125" style="24" customWidth="1"/>
    <col min="14594" max="14594" width="16" style="24" customWidth="1"/>
    <col min="14595" max="14595" width="16.7109375" style="24" customWidth="1"/>
    <col min="14596" max="14596" width="14.42578125" style="24" customWidth="1"/>
    <col min="14597" max="14597" width="19" style="24" customWidth="1"/>
    <col min="14598" max="14598" width="19.42578125" style="24" customWidth="1"/>
    <col min="14599" max="14599" width="14.28515625" style="24" customWidth="1"/>
    <col min="14600" max="14600" width="10.7109375" style="24" customWidth="1"/>
    <col min="14601" max="14601" width="11" style="24"/>
    <col min="14602" max="14602" width="16.5703125" style="24" customWidth="1"/>
    <col min="14603" max="14848" width="11" style="24"/>
    <col min="14849" max="14849" width="19.42578125" style="24" customWidth="1"/>
    <col min="14850" max="14850" width="16" style="24" customWidth="1"/>
    <col min="14851" max="14851" width="16.7109375" style="24" customWidth="1"/>
    <col min="14852" max="14852" width="14.42578125" style="24" customWidth="1"/>
    <col min="14853" max="14853" width="19" style="24" customWidth="1"/>
    <col min="14854" max="14854" width="19.42578125" style="24" customWidth="1"/>
    <col min="14855" max="14855" width="14.28515625" style="24" customWidth="1"/>
    <col min="14856" max="14856" width="10.7109375" style="24" customWidth="1"/>
    <col min="14857" max="14857" width="11" style="24"/>
    <col min="14858" max="14858" width="16.5703125" style="24" customWidth="1"/>
    <col min="14859" max="15104" width="11" style="24"/>
    <col min="15105" max="15105" width="19.42578125" style="24" customWidth="1"/>
    <col min="15106" max="15106" width="16" style="24" customWidth="1"/>
    <col min="15107" max="15107" width="16.7109375" style="24" customWidth="1"/>
    <col min="15108" max="15108" width="14.42578125" style="24" customWidth="1"/>
    <col min="15109" max="15109" width="19" style="24" customWidth="1"/>
    <col min="15110" max="15110" width="19.42578125" style="24" customWidth="1"/>
    <col min="15111" max="15111" width="14.28515625" style="24" customWidth="1"/>
    <col min="15112" max="15112" width="10.7109375" style="24" customWidth="1"/>
    <col min="15113" max="15113" width="11" style="24"/>
    <col min="15114" max="15114" width="16.5703125" style="24" customWidth="1"/>
    <col min="15115" max="15360" width="11" style="24"/>
    <col min="15361" max="15361" width="19.42578125" style="24" customWidth="1"/>
    <col min="15362" max="15362" width="16" style="24" customWidth="1"/>
    <col min="15363" max="15363" width="16.7109375" style="24" customWidth="1"/>
    <col min="15364" max="15364" width="14.42578125" style="24" customWidth="1"/>
    <col min="15365" max="15365" width="19" style="24" customWidth="1"/>
    <col min="15366" max="15366" width="19.42578125" style="24" customWidth="1"/>
    <col min="15367" max="15367" width="14.28515625" style="24" customWidth="1"/>
    <col min="15368" max="15368" width="10.7109375" style="24" customWidth="1"/>
    <col min="15369" max="15369" width="11" style="24"/>
    <col min="15370" max="15370" width="16.5703125" style="24" customWidth="1"/>
    <col min="15371" max="15616" width="11" style="24"/>
    <col min="15617" max="15617" width="19.42578125" style="24" customWidth="1"/>
    <col min="15618" max="15618" width="16" style="24" customWidth="1"/>
    <col min="15619" max="15619" width="16.7109375" style="24" customWidth="1"/>
    <col min="15620" max="15620" width="14.42578125" style="24" customWidth="1"/>
    <col min="15621" max="15621" width="19" style="24" customWidth="1"/>
    <col min="15622" max="15622" width="19.42578125" style="24" customWidth="1"/>
    <col min="15623" max="15623" width="14.28515625" style="24" customWidth="1"/>
    <col min="15624" max="15624" width="10.7109375" style="24" customWidth="1"/>
    <col min="15625" max="15625" width="11" style="24"/>
    <col min="15626" max="15626" width="16.5703125" style="24" customWidth="1"/>
    <col min="15627" max="15872" width="11" style="24"/>
    <col min="15873" max="15873" width="19.42578125" style="24" customWidth="1"/>
    <col min="15874" max="15874" width="16" style="24" customWidth="1"/>
    <col min="15875" max="15875" width="16.7109375" style="24" customWidth="1"/>
    <col min="15876" max="15876" width="14.42578125" style="24" customWidth="1"/>
    <col min="15877" max="15877" width="19" style="24" customWidth="1"/>
    <col min="15878" max="15878" width="19.42578125" style="24" customWidth="1"/>
    <col min="15879" max="15879" width="14.28515625" style="24" customWidth="1"/>
    <col min="15880" max="15880" width="10.7109375" style="24" customWidth="1"/>
    <col min="15881" max="15881" width="11" style="24"/>
    <col min="15882" max="15882" width="16.5703125" style="24" customWidth="1"/>
    <col min="15883" max="16128" width="11" style="24"/>
    <col min="16129" max="16129" width="19.42578125" style="24" customWidth="1"/>
    <col min="16130" max="16130" width="16" style="24" customWidth="1"/>
    <col min="16131" max="16131" width="16.7109375" style="24" customWidth="1"/>
    <col min="16132" max="16132" width="14.42578125" style="24" customWidth="1"/>
    <col min="16133" max="16133" width="19" style="24" customWidth="1"/>
    <col min="16134" max="16134" width="19.42578125" style="24" customWidth="1"/>
    <col min="16135" max="16135" width="14.28515625" style="24" customWidth="1"/>
    <col min="16136" max="16136" width="10.7109375" style="24" customWidth="1"/>
    <col min="16137" max="16137" width="11" style="24"/>
    <col min="16138" max="16138" width="16.5703125" style="24" customWidth="1"/>
    <col min="16139" max="16384" width="11" style="24"/>
  </cols>
  <sheetData>
    <row r="1" spans="1:26" ht="4.5" customHeight="1" thickBot="1" x14ac:dyDescent="0.25"/>
    <row r="2" spans="1:26" ht="21.75" customHeight="1" thickBot="1" x14ac:dyDescent="0.25">
      <c r="A2" s="447" t="s">
        <v>16</v>
      </c>
      <c r="B2" s="448"/>
      <c r="C2" s="448"/>
      <c r="D2" s="448"/>
      <c r="E2" s="448"/>
      <c r="F2" s="448"/>
      <c r="G2" s="449"/>
      <c r="H2" s="27"/>
      <c r="I2" s="28"/>
      <c r="J2" s="29"/>
      <c r="K2" s="28"/>
      <c r="L2" s="28"/>
      <c r="M2" s="28"/>
      <c r="N2" s="28"/>
      <c r="O2" s="2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8.5" customHeight="1" x14ac:dyDescent="0.2">
      <c r="A3" s="450" t="s">
        <v>42</v>
      </c>
      <c r="B3" s="450"/>
      <c r="C3" s="450"/>
      <c r="D3" s="450"/>
      <c r="E3" s="450"/>
      <c r="F3" s="450"/>
      <c r="G3" s="450"/>
      <c r="H3" s="31"/>
      <c r="I3" s="31"/>
      <c r="J3" s="32"/>
      <c r="K3" s="31"/>
      <c r="L3" s="31"/>
      <c r="M3" s="33"/>
      <c r="N3" s="28"/>
      <c r="O3" s="28"/>
      <c r="P3" s="34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7.5" customHeight="1" thickBot="1" x14ac:dyDescent="0.25">
      <c r="A4" s="35"/>
      <c r="G4" s="36"/>
      <c r="H4" s="31"/>
      <c r="I4" s="31"/>
      <c r="J4" s="32"/>
      <c r="K4" s="31"/>
      <c r="L4" s="31"/>
      <c r="M4" s="33"/>
      <c r="N4" s="28"/>
      <c r="O4" s="28"/>
      <c r="P4" s="34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2.5" customHeight="1" thickBot="1" x14ac:dyDescent="0.25">
      <c r="B5" s="37" t="s">
        <v>17</v>
      </c>
      <c r="C5" s="91">
        <v>1.2068575938871341E-4</v>
      </c>
      <c r="D5" s="451" t="s">
        <v>18</v>
      </c>
      <c r="E5" s="451"/>
      <c r="F5" s="452"/>
      <c r="G5" s="38"/>
      <c r="H5" s="31"/>
      <c r="I5" s="31"/>
      <c r="J5" s="31"/>
      <c r="K5" s="31"/>
      <c r="L5" s="31"/>
      <c r="M5" s="33"/>
      <c r="N5" s="28"/>
      <c r="O5" s="28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4" customHeight="1" thickBot="1" x14ac:dyDescent="0.25">
      <c r="A6" s="396"/>
      <c r="B6" s="396"/>
      <c r="D6" s="39" t="s">
        <v>10</v>
      </c>
      <c r="E6" s="40" t="s">
        <v>11</v>
      </c>
      <c r="F6" s="39" t="s">
        <v>12</v>
      </c>
      <c r="G6" s="38"/>
      <c r="H6" s="30"/>
      <c r="I6" s="30"/>
      <c r="J6" s="4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40.5" customHeight="1" thickBot="1" x14ac:dyDescent="0.25">
      <c r="A7" s="456"/>
      <c r="B7" s="457"/>
      <c r="D7" s="42">
        <v>0.57999999999999996</v>
      </c>
      <c r="E7" s="43">
        <v>0.4</v>
      </c>
      <c r="F7" s="44">
        <v>0.85</v>
      </c>
      <c r="G7" s="92"/>
      <c r="H7" s="45"/>
      <c r="I7" s="45"/>
      <c r="J7" s="46"/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2">
      <c r="H8" s="30"/>
      <c r="I8" s="30"/>
      <c r="J8" s="46"/>
      <c r="K8" s="2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3.5" hidden="1" thickBot="1" x14ac:dyDescent="0.25">
      <c r="B9" s="47" t="s">
        <v>19</v>
      </c>
      <c r="C9" s="48"/>
      <c r="D9" s="49">
        <f>C5*D7</f>
        <v>6.9997740445453772E-5</v>
      </c>
      <c r="E9" s="49">
        <f>C5*E7</f>
        <v>4.827430375548537E-5</v>
      </c>
      <c r="F9" s="50">
        <f>C5*F7</f>
        <v>1.0258289548040639E-4</v>
      </c>
      <c r="H9" s="27"/>
      <c r="I9" s="30"/>
      <c r="J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3.5" hidden="1" thickBot="1" x14ac:dyDescent="0.25">
      <c r="H10" s="30"/>
      <c r="I10" s="30"/>
      <c r="J10" s="52"/>
      <c r="K10" s="53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hidden="1" customHeight="1" thickBot="1" x14ac:dyDescent="0.25">
      <c r="B11" s="54"/>
      <c r="C11" s="55" t="s">
        <v>8</v>
      </c>
      <c r="D11" s="56">
        <f>C5-D9</f>
        <v>5.068801894325964E-5</v>
      </c>
      <c r="E11" s="56">
        <f>C5-F9</f>
        <v>1.8102863908307017E-5</v>
      </c>
      <c r="F11" s="56">
        <f>C5-E9</f>
        <v>7.2411455633228041E-5</v>
      </c>
      <c r="H11" s="30"/>
      <c r="I11" s="30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3.5" hidden="1" thickBot="1" x14ac:dyDescent="0.25">
      <c r="B12" s="57"/>
      <c r="C12" s="58" t="s">
        <v>9</v>
      </c>
      <c r="D12" s="59">
        <f>1/D11</f>
        <v>19728.527980535277</v>
      </c>
      <c r="E12" s="59">
        <f>1/F11</f>
        <v>13809.969586374697</v>
      </c>
      <c r="F12" s="60">
        <f>1/E11</f>
        <v>55239.878345498772</v>
      </c>
      <c r="H12" s="24"/>
      <c r="I12" s="25"/>
      <c r="J12" s="61"/>
      <c r="K12" s="25"/>
      <c r="L12" s="25"/>
      <c r="M12" s="25"/>
      <c r="N12" s="25"/>
    </row>
    <row r="13" spans="1:26" hidden="1" x14ac:dyDescent="0.2">
      <c r="H13" s="24"/>
    </row>
    <row r="14" spans="1:26" s="25" customFormat="1" hidden="1" x14ac:dyDescent="0.2">
      <c r="B14" s="62"/>
      <c r="C14" s="63"/>
      <c r="D14" s="64"/>
      <c r="E14" s="65"/>
      <c r="F14" s="64"/>
      <c r="J14" s="61"/>
    </row>
    <row r="15" spans="1:26" hidden="1" x14ac:dyDescent="0.2">
      <c r="B15" s="66" t="s">
        <v>1</v>
      </c>
      <c r="C15" s="67"/>
      <c r="D15" s="67"/>
      <c r="E15" s="68">
        <f>ROUND(D7,2)</f>
        <v>0.57999999999999996</v>
      </c>
      <c r="F15" s="68">
        <f>ROUND((1-D7),2)</f>
        <v>0.42</v>
      </c>
      <c r="G15" s="69">
        <f>ROUND(D11,4)</f>
        <v>1E-4</v>
      </c>
      <c r="H15" s="70">
        <f>ROUND(D12,0)</f>
        <v>19729</v>
      </c>
    </row>
    <row r="16" spans="1:26" hidden="1" x14ac:dyDescent="0.2">
      <c r="A16" s="90"/>
      <c r="B16" s="71" t="s">
        <v>2</v>
      </c>
      <c r="C16" s="417">
        <f>ROUND(D9,6)</f>
        <v>6.9999999999999994E-5</v>
      </c>
      <c r="D16" s="418">
        <f>ROUND(C5,6)</f>
        <v>1.21E-4</v>
      </c>
      <c r="E16" s="72">
        <f>ROUND(E7,2)</f>
        <v>0.4</v>
      </c>
      <c r="F16" s="72">
        <f>ROUND((1-F7),2)</f>
        <v>0.15</v>
      </c>
      <c r="G16" s="73">
        <f>ROUND(E11,4)</f>
        <v>0</v>
      </c>
      <c r="H16" s="74">
        <f>ROUND(E12,0)</f>
        <v>13810</v>
      </c>
    </row>
    <row r="17" spans="1:12" hidden="1" x14ac:dyDescent="0.2">
      <c r="B17" s="71" t="s">
        <v>3</v>
      </c>
      <c r="C17" s="75"/>
      <c r="D17" s="75"/>
      <c r="E17" s="72">
        <f>ROUND(F7,2)</f>
        <v>0.85</v>
      </c>
      <c r="F17" s="72">
        <f>ROUND((1-E7),2)</f>
        <v>0.6</v>
      </c>
      <c r="G17" s="73">
        <f>ROUND(F11,4)</f>
        <v>1E-4</v>
      </c>
      <c r="H17" s="74">
        <f>ROUND(F12,0)</f>
        <v>55240</v>
      </c>
    </row>
    <row r="18" spans="1:12" hidden="1" x14ac:dyDescent="0.2">
      <c r="B18" s="71" t="s">
        <v>4</v>
      </c>
      <c r="C18" s="76" t="s">
        <v>13</v>
      </c>
      <c r="D18" s="76" t="s">
        <v>14</v>
      </c>
      <c r="E18" s="77" t="s">
        <v>6</v>
      </c>
      <c r="F18" s="77" t="s">
        <v>7</v>
      </c>
      <c r="G18" s="77" t="s">
        <v>15</v>
      </c>
      <c r="H18" s="76" t="s">
        <v>9</v>
      </c>
    </row>
    <row r="19" spans="1:12" hidden="1" x14ac:dyDescent="0.2">
      <c r="B19" s="78" t="s">
        <v>5</v>
      </c>
      <c r="C19" s="76" t="str">
        <f>CONCATENATE(C16*100,B18)</f>
        <v>0,007%</v>
      </c>
      <c r="D19" s="76" t="str">
        <f>CONCATENATE(D16*100,B18)</f>
        <v>0,0121%</v>
      </c>
      <c r="E19" s="76" t="str">
        <f>CONCATENATE(E15," ",B15,E16,B16,E17,B17)</f>
        <v>0,58 (0,4-0,85)</v>
      </c>
      <c r="F19" s="79" t="str">
        <f>CONCATENATE(F15*100,B18," ",B15,F16*100,B18," ",B19," ",F17*100,B18,B17)</f>
        <v>42% (15% a 60%)</v>
      </c>
      <c r="G19" s="76" t="str">
        <f>CONCATENATE(G15*100,B18," ",B15,G16*100,B18," ",B19," ",G17*100,B18,B17)</f>
        <v>0,01% (0% a 0,01%)</v>
      </c>
      <c r="H19" s="76" t="str">
        <f>CONCATENATE(H15," ",B15,H16," ",B19," ",H17,B17)</f>
        <v>19729 (13810 a 55240)</v>
      </c>
    </row>
    <row r="20" spans="1:12" s="25" customFormat="1" hidden="1" x14ac:dyDescent="0.2">
      <c r="B20" s="30"/>
      <c r="C20" s="29"/>
      <c r="D20" s="29"/>
      <c r="E20" s="29"/>
      <c r="F20" s="29"/>
      <c r="G20" s="29"/>
      <c r="J20" s="61"/>
    </row>
    <row r="21" spans="1:12" hidden="1" x14ac:dyDescent="0.2">
      <c r="H21" s="24"/>
    </row>
    <row r="22" spans="1:12" ht="24" customHeight="1" x14ac:dyDescent="0.2">
      <c r="B22" s="80" t="s">
        <v>20</v>
      </c>
      <c r="C22" s="80" t="s">
        <v>14</v>
      </c>
      <c r="D22" s="80" t="s">
        <v>6</v>
      </c>
      <c r="E22" s="80" t="s">
        <v>7</v>
      </c>
      <c r="F22" s="80" t="s">
        <v>8</v>
      </c>
      <c r="G22" s="80" t="s">
        <v>9</v>
      </c>
      <c r="I22" s="25"/>
      <c r="J22" s="61"/>
      <c r="K22" s="25"/>
      <c r="L22" s="25"/>
    </row>
    <row r="23" spans="1:12" ht="25.5" customHeight="1" x14ac:dyDescent="0.2">
      <c r="B23" s="81" t="str">
        <f t="shared" ref="B23:G23" si="0">C19</f>
        <v>0,007%</v>
      </c>
      <c r="C23" s="81" t="str">
        <f t="shared" si="0"/>
        <v>0,0121%</v>
      </c>
      <c r="D23" s="81" t="str">
        <f t="shared" si="0"/>
        <v>0,58 (0,4-0,85)</v>
      </c>
      <c r="E23" s="81" t="str">
        <f t="shared" si="0"/>
        <v>42% (15% a 60%)</v>
      </c>
      <c r="F23" s="81" t="str">
        <f t="shared" si="0"/>
        <v>0,01% (0% a 0,01%)</v>
      </c>
      <c r="G23" s="81" t="str">
        <f t="shared" si="0"/>
        <v>19729 (13810 a 55240)</v>
      </c>
      <c r="I23" s="25"/>
      <c r="J23" s="82"/>
      <c r="K23" s="83"/>
      <c r="L23" s="25"/>
    </row>
    <row r="24" spans="1:12" x14ac:dyDescent="0.2">
      <c r="A24" s="84"/>
      <c r="B24" s="84"/>
      <c r="C24" s="84"/>
      <c r="F24" s="25"/>
      <c r="G24" s="25"/>
      <c r="I24" s="25"/>
      <c r="J24" s="61"/>
      <c r="K24" s="25"/>
      <c r="L24" s="25"/>
    </row>
    <row r="25" spans="1:12" ht="13.5" thickBot="1" x14ac:dyDescent="0.25"/>
    <row r="26" spans="1:12" ht="48.75" customHeight="1" thickBot="1" x14ac:dyDescent="0.25">
      <c r="A26" s="435" t="s">
        <v>186</v>
      </c>
      <c r="B26" s="436"/>
      <c r="C26" s="436"/>
      <c r="D26" s="436"/>
      <c r="E26" s="436"/>
      <c r="F26" s="436"/>
      <c r="G26" s="437"/>
    </row>
    <row r="27" spans="1:12" ht="42" customHeight="1" thickBot="1" x14ac:dyDescent="0.25">
      <c r="A27" s="438"/>
      <c r="B27" s="440" t="s">
        <v>163</v>
      </c>
      <c r="C27" s="442" t="s">
        <v>164</v>
      </c>
      <c r="D27" s="444" t="s">
        <v>44</v>
      </c>
      <c r="E27" s="445"/>
      <c r="F27" s="445"/>
      <c r="G27" s="446"/>
      <c r="I27" s="85"/>
    </row>
    <row r="28" spans="1:12" ht="42" customHeight="1" thickBot="1" x14ac:dyDescent="0.25">
      <c r="A28" s="439"/>
      <c r="B28" s="441"/>
      <c r="C28" s="455"/>
      <c r="D28" s="397" t="s">
        <v>6</v>
      </c>
      <c r="E28" s="398" t="s">
        <v>7</v>
      </c>
      <c r="F28" s="399" t="s">
        <v>184</v>
      </c>
      <c r="G28" s="400" t="s">
        <v>185</v>
      </c>
      <c r="H28" s="85"/>
      <c r="I28" s="85"/>
    </row>
    <row r="29" spans="1:12" ht="39" customHeight="1" x14ac:dyDescent="0.2">
      <c r="A29" s="86" t="s">
        <v>172</v>
      </c>
      <c r="B29" s="87" t="s">
        <v>152</v>
      </c>
      <c r="C29" s="88" t="s">
        <v>156</v>
      </c>
      <c r="D29" s="401" t="s">
        <v>173</v>
      </c>
      <c r="E29" s="402" t="s">
        <v>153</v>
      </c>
      <c r="F29" s="403" t="s">
        <v>154</v>
      </c>
      <c r="G29" s="404" t="s">
        <v>155</v>
      </c>
      <c r="H29" s="85"/>
      <c r="I29" s="85"/>
    </row>
    <row r="30" spans="1:12" ht="39" customHeight="1" thickBot="1" x14ac:dyDescent="0.25">
      <c r="A30" s="89" t="s">
        <v>162</v>
      </c>
      <c r="B30" s="405" t="s">
        <v>159</v>
      </c>
      <c r="C30" s="406" t="s">
        <v>161</v>
      </c>
      <c r="D30" s="453" t="s">
        <v>160</v>
      </c>
      <c r="E30" s="453"/>
      <c r="F30" s="453"/>
      <c r="G30" s="454"/>
      <c r="H30" s="85"/>
      <c r="I30" s="85"/>
    </row>
    <row r="31" spans="1:12" ht="4.5" customHeight="1" x14ac:dyDescent="0.2">
      <c r="A31" s="420"/>
      <c r="B31" s="421"/>
      <c r="C31" s="421"/>
      <c r="D31" s="421"/>
      <c r="E31" s="421"/>
      <c r="F31" s="421"/>
      <c r="G31" s="422"/>
      <c r="H31" s="85"/>
      <c r="I31" s="85"/>
    </row>
    <row r="32" spans="1:12" ht="30" customHeight="1" x14ac:dyDescent="0.2">
      <c r="A32" s="423" t="s">
        <v>158</v>
      </c>
      <c r="B32" s="424"/>
      <c r="C32" s="424"/>
      <c r="D32" s="424"/>
      <c r="E32" s="424"/>
      <c r="F32" s="424"/>
      <c r="G32" s="425"/>
      <c r="H32" s="85"/>
    </row>
    <row r="33" spans="1:8" ht="18" customHeight="1" x14ac:dyDescent="0.2">
      <c r="A33" s="423" t="s">
        <v>157</v>
      </c>
      <c r="B33" s="424"/>
      <c r="C33" s="424"/>
      <c r="D33" s="424"/>
      <c r="E33" s="424"/>
      <c r="F33" s="424"/>
      <c r="G33" s="425"/>
      <c r="H33" s="85"/>
    </row>
    <row r="34" spans="1:8" ht="27.75" customHeight="1" x14ac:dyDescent="0.2">
      <c r="A34" s="423" t="s">
        <v>174</v>
      </c>
      <c r="B34" s="424"/>
      <c r="C34" s="424"/>
      <c r="D34" s="424"/>
      <c r="E34" s="424"/>
      <c r="F34" s="424"/>
      <c r="G34" s="425"/>
      <c r="H34" s="85"/>
    </row>
    <row r="35" spans="1:8" x14ac:dyDescent="0.2">
      <c r="B35" s="90"/>
      <c r="H35" s="85"/>
    </row>
    <row r="36" spans="1:8" x14ac:dyDescent="0.2">
      <c r="H36" s="85"/>
    </row>
    <row r="37" spans="1:8" x14ac:dyDescent="0.2">
      <c r="H37" s="85"/>
    </row>
    <row r="38" spans="1:8" x14ac:dyDescent="0.2">
      <c r="H38" s="85"/>
    </row>
    <row r="39" spans="1:8" x14ac:dyDescent="0.2">
      <c r="H39" s="85"/>
    </row>
    <row r="55" ht="12.75" customHeight="1" x14ac:dyDescent="0.2"/>
    <row r="56" ht="38.25" customHeight="1" x14ac:dyDescent="0.2"/>
  </sheetData>
  <mergeCells count="13">
    <mergeCell ref="A34:G34"/>
    <mergeCell ref="A32:G32"/>
    <mergeCell ref="A33:G33"/>
    <mergeCell ref="A31:G31"/>
    <mergeCell ref="A2:G2"/>
    <mergeCell ref="A3:G3"/>
    <mergeCell ref="D5:F5"/>
    <mergeCell ref="A27:A28"/>
    <mergeCell ref="D27:G27"/>
    <mergeCell ref="A26:G26"/>
    <mergeCell ref="D30:G30"/>
    <mergeCell ref="B27:B28"/>
    <mergeCell ref="C27:C28"/>
  </mergeCells>
  <pageMargins left="0.7" right="0.7" top="0.75" bottom="0.75" header="0.3" footer="0.3"/>
  <pageSetup paperSize="9" orientation="portrait" horizontalDpi="300" verticalDpi="300" r:id="rId1"/>
  <ignoredErrors>
    <ignoredError sqref="B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IncAcum</vt:lpstr>
      <vt:lpstr>Cohorte vacunada</vt:lpstr>
      <vt:lpstr>NNT desde 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2016-08-25T10:26:28Z</dcterms:created>
  <dcterms:modified xsi:type="dcterms:W3CDTF">2019-05-14T18:18:40Z</dcterms:modified>
</cp:coreProperties>
</file>