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20190221-Galo\0-Datos\010-Temas publc\20190301-HCTZ asoc Ca\"/>
    </mc:Choice>
  </mc:AlternateContent>
  <bookViews>
    <workbookView xWindow="-120" yWindow="-120" windowWidth="20730" windowHeight="11160"/>
  </bookViews>
  <sheets>
    <sheet name="Tabla PICO CasCon" sheetId="2" r:id="rId1"/>
    <sheet name="Chi tendenc" sheetId="9" r:id="rId2"/>
    <sheet name="labio CE" sheetId="10" r:id="rId3"/>
    <sheet name="piel CB y CE" sheetId="1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9" i="11" l="1"/>
  <c r="M19" i="11"/>
  <c r="M21" i="11" s="1"/>
  <c r="M25" i="11" s="1"/>
  <c r="L19" i="11"/>
  <c r="L21" i="11" s="1"/>
  <c r="L25" i="11" s="1"/>
  <c r="R18" i="11"/>
  <c r="R17" i="11"/>
  <c r="R21" i="11" s="1"/>
  <c r="C17" i="11"/>
  <c r="C21" i="11" s="1"/>
  <c r="C25" i="11" s="1"/>
  <c r="H6" i="11" s="1"/>
  <c r="J6" i="11" s="1"/>
  <c r="B17" i="11"/>
  <c r="B21" i="11" s="1"/>
  <c r="B25" i="11" s="1"/>
  <c r="F15" i="11"/>
  <c r="D17" i="11" s="1"/>
  <c r="C15" i="11"/>
  <c r="B15" i="11"/>
  <c r="A15" i="11"/>
  <c r="D15" i="11" s="1"/>
  <c r="G15" i="11" s="1"/>
  <c r="D18" i="11" s="1"/>
  <c r="M9" i="11"/>
  <c r="O9" i="11" s="1"/>
  <c r="P9" i="11" s="1"/>
  <c r="J9" i="11"/>
  <c r="D9" i="11"/>
  <c r="C9" i="11"/>
  <c r="M8" i="11"/>
  <c r="N8" i="11" s="1"/>
  <c r="N18" i="11" s="1"/>
  <c r="E8" i="11"/>
  <c r="O7" i="11"/>
  <c r="P7" i="11" s="1"/>
  <c r="N7" i="11"/>
  <c r="N17" i="11" s="1"/>
  <c r="E7" i="11"/>
  <c r="E9" i="11" s="1"/>
  <c r="V5" i="11"/>
  <c r="O8" i="11" l="1"/>
  <c r="P8" i="11" s="1"/>
  <c r="N9" i="11"/>
  <c r="N19" i="11" s="1"/>
  <c r="N21" i="11"/>
  <c r="N25" i="11" s="1"/>
  <c r="O18" i="11"/>
  <c r="Q8" i="11"/>
  <c r="P18" i="11" s="1"/>
  <c r="O17" i="11"/>
  <c r="Q7" i="11"/>
  <c r="P17" i="11" s="1"/>
  <c r="Q9" i="11"/>
  <c r="P19" i="11" s="1"/>
  <c r="O19" i="11"/>
  <c r="E15" i="11"/>
  <c r="H15" i="11" s="1"/>
  <c r="D19" i="11" s="1"/>
  <c r="D21" i="11" s="1"/>
  <c r="D25" i="11" s="1"/>
  <c r="P21" i="11" l="1"/>
  <c r="P25" i="11" s="1"/>
  <c r="O21" i="11"/>
  <c r="O25" i="11" s="1"/>
  <c r="R19" i="10" l="1"/>
  <c r="M19" i="10"/>
  <c r="M21" i="10" s="1"/>
  <c r="M25" i="10" s="1"/>
  <c r="R18" i="10"/>
  <c r="R17" i="10"/>
  <c r="C17" i="10"/>
  <c r="C21" i="10" s="1"/>
  <c r="C25" i="10" s="1"/>
  <c r="H6" i="10" s="1"/>
  <c r="J6" i="10" s="1"/>
  <c r="B17" i="10"/>
  <c r="B21" i="10" s="1"/>
  <c r="B25" i="10" s="1"/>
  <c r="F15" i="10"/>
  <c r="D17" i="10" s="1"/>
  <c r="C15" i="10"/>
  <c r="B15" i="10"/>
  <c r="A15" i="10"/>
  <c r="E15" i="10" s="1"/>
  <c r="H15" i="10" s="1"/>
  <c r="D19" i="10" s="1"/>
  <c r="M9" i="10"/>
  <c r="J9" i="10"/>
  <c r="D9" i="10"/>
  <c r="C9" i="10"/>
  <c r="M8" i="10"/>
  <c r="E8" i="10"/>
  <c r="O7" i="10"/>
  <c r="L19" i="10" s="1"/>
  <c r="L21" i="10" s="1"/>
  <c r="L25" i="10" s="1"/>
  <c r="N7" i="10"/>
  <c r="N17" i="10" s="1"/>
  <c r="E7" i="10"/>
  <c r="E9" i="10" s="1"/>
  <c r="N9" i="10" l="1"/>
  <c r="N19" i="10" s="1"/>
  <c r="O9" i="10"/>
  <c r="P9" i="10" s="1"/>
  <c r="R21" i="10"/>
  <c r="P7" i="10"/>
  <c r="N8" i="10"/>
  <c r="N18" i="10" s="1"/>
  <c r="N21" i="10" s="1"/>
  <c r="N25" i="10" s="1"/>
  <c r="D15" i="10"/>
  <c r="G15" i="10" s="1"/>
  <c r="D18" i="10" s="1"/>
  <c r="D21" i="10" s="1"/>
  <c r="D25" i="10" s="1"/>
  <c r="O8" i="10"/>
  <c r="P8" i="10" s="1"/>
  <c r="E8" i="9"/>
  <c r="E9" i="9"/>
  <c r="E10" i="9"/>
  <c r="E11" i="9"/>
  <c r="E26" i="9"/>
  <c r="E27" i="9"/>
  <c r="E28" i="9"/>
  <c r="E29" i="9"/>
  <c r="E30" i="9"/>
  <c r="E45" i="9"/>
  <c r="E46" i="9"/>
  <c r="E47" i="9"/>
  <c r="E48" i="9"/>
  <c r="E49" i="9"/>
  <c r="E50" i="9"/>
  <c r="E51" i="9"/>
  <c r="E66" i="9"/>
  <c r="E67" i="9"/>
  <c r="E68" i="9"/>
  <c r="E69" i="9"/>
  <c r="E70" i="9"/>
  <c r="E71" i="9"/>
  <c r="E72" i="9"/>
  <c r="E73" i="9"/>
  <c r="E88" i="9"/>
  <c r="E89" i="9"/>
  <c r="E90" i="9"/>
  <c r="E91" i="9"/>
  <c r="E92" i="9"/>
  <c r="E93" i="9"/>
  <c r="E94" i="9"/>
  <c r="E95" i="9"/>
  <c r="O19" i="10" l="1"/>
  <c r="Q9" i="10"/>
  <c r="P19" i="10" s="1"/>
  <c r="O18" i="10"/>
  <c r="Q8" i="10"/>
  <c r="P18" i="10" s="1"/>
  <c r="O17" i="10"/>
  <c r="Q7" i="10"/>
  <c r="P17" i="10" s="1"/>
  <c r="E31" i="9"/>
  <c r="E74" i="9"/>
  <c r="E52" i="9"/>
  <c r="E96" i="9"/>
  <c r="D96" i="9"/>
  <c r="C96" i="9"/>
  <c r="O95" i="9"/>
  <c r="O94" i="9"/>
  <c r="O93" i="9"/>
  <c r="G92" i="9"/>
  <c r="O92" i="9"/>
  <c r="O91" i="9"/>
  <c r="O90" i="9"/>
  <c r="O89" i="9"/>
  <c r="G89" i="9"/>
  <c r="D74" i="9"/>
  <c r="C74" i="9"/>
  <c r="O73" i="9"/>
  <c r="O72" i="9"/>
  <c r="O71" i="9"/>
  <c r="O70" i="9"/>
  <c r="O69" i="9"/>
  <c r="O68" i="9"/>
  <c r="O67" i="9"/>
  <c r="O66" i="9"/>
  <c r="D52" i="9"/>
  <c r="C52" i="9"/>
  <c r="O51" i="9"/>
  <c r="O50" i="9"/>
  <c r="O48" i="9"/>
  <c r="O47" i="9"/>
  <c r="G47" i="9"/>
  <c r="O46" i="9"/>
  <c r="D31" i="9"/>
  <c r="C31" i="9"/>
  <c r="O29" i="9"/>
  <c r="G29" i="9"/>
  <c r="O28" i="9"/>
  <c r="G28" i="9"/>
  <c r="O27" i="9"/>
  <c r="D12" i="9"/>
  <c r="C12" i="9"/>
  <c r="O10" i="9"/>
  <c r="O9" i="9"/>
  <c r="G8" i="9"/>
  <c r="O8" i="9"/>
  <c r="P21" i="10" l="1"/>
  <c r="P25" i="10" s="1"/>
  <c r="O21" i="10"/>
  <c r="O25" i="10" s="1"/>
  <c r="E12" i="9"/>
  <c r="G50" i="9"/>
  <c r="G67" i="9"/>
  <c r="G69" i="9"/>
  <c r="G71" i="9"/>
  <c r="G73" i="9"/>
  <c r="G88" i="9"/>
  <c r="G9" i="9"/>
  <c r="G48" i="9"/>
  <c r="G93" i="9"/>
  <c r="G52" i="9"/>
  <c r="O45" i="9"/>
  <c r="O52" i="9" s="1"/>
  <c r="B53" i="9" s="1"/>
  <c r="M49" i="9" s="1"/>
  <c r="G45" i="9"/>
  <c r="G46" i="9"/>
  <c r="O26" i="9"/>
  <c r="G31" i="9"/>
  <c r="G26" i="9"/>
  <c r="G27" i="9"/>
  <c r="G96" i="9"/>
  <c r="I92" i="9" s="1"/>
  <c r="O11" i="9"/>
  <c r="O12" i="9" s="1"/>
  <c r="B13" i="9" s="1"/>
  <c r="M11" i="9" s="1"/>
  <c r="G11" i="9"/>
  <c r="G12" i="9"/>
  <c r="O30" i="9"/>
  <c r="G30" i="9"/>
  <c r="O49" i="9"/>
  <c r="G49" i="9"/>
  <c r="O74" i="9"/>
  <c r="G74" i="9"/>
  <c r="G68" i="9"/>
  <c r="G72" i="9"/>
  <c r="O88" i="9"/>
  <c r="O96" i="9" s="1"/>
  <c r="B97" i="9" s="1"/>
  <c r="M89" i="9" s="1"/>
  <c r="G91" i="9"/>
  <c r="G95" i="9"/>
  <c r="G10" i="9"/>
  <c r="G90" i="9"/>
  <c r="G94" i="9"/>
  <c r="G51" i="9"/>
  <c r="G66" i="9"/>
  <c r="G70" i="9"/>
  <c r="I51" i="9" l="1"/>
  <c r="I48" i="9"/>
  <c r="O31" i="9"/>
  <c r="B32" i="9" s="1"/>
  <c r="I50" i="9"/>
  <c r="M95" i="9"/>
  <c r="M90" i="9"/>
  <c r="I27" i="9"/>
  <c r="I26" i="9"/>
  <c r="I46" i="9"/>
  <c r="G75" i="9"/>
  <c r="I67" i="9"/>
  <c r="I71" i="9"/>
  <c r="I73" i="9"/>
  <c r="I69" i="9"/>
  <c r="G13" i="9"/>
  <c r="I8" i="9"/>
  <c r="I9" i="9"/>
  <c r="I66" i="9"/>
  <c r="G53" i="9"/>
  <c r="I47" i="9"/>
  <c r="J95" i="9"/>
  <c r="J91" i="9"/>
  <c r="J92" i="9"/>
  <c r="K92" i="9" s="1"/>
  <c r="J88" i="9"/>
  <c r="M92" i="9"/>
  <c r="J90" i="9"/>
  <c r="J93" i="9"/>
  <c r="J89" i="9"/>
  <c r="J94" i="9"/>
  <c r="M88" i="9"/>
  <c r="I68" i="9"/>
  <c r="J8" i="9"/>
  <c r="J9" i="9"/>
  <c r="J10" i="9"/>
  <c r="M9" i="9"/>
  <c r="J11" i="9"/>
  <c r="J49" i="9"/>
  <c r="J50" i="9"/>
  <c r="M48" i="9"/>
  <c r="J46" i="9"/>
  <c r="J51" i="9"/>
  <c r="K51" i="9" s="1"/>
  <c r="J47" i="9"/>
  <c r="M50" i="9"/>
  <c r="J48" i="9"/>
  <c r="K48" i="9" s="1"/>
  <c r="J45" i="9"/>
  <c r="I90" i="9"/>
  <c r="K90" i="9" s="1"/>
  <c r="M8" i="9"/>
  <c r="I10" i="9"/>
  <c r="B75" i="9"/>
  <c r="M47" i="9"/>
  <c r="M10" i="9"/>
  <c r="I29" i="9"/>
  <c r="G32" i="9"/>
  <c r="M93" i="9"/>
  <c r="I45" i="9"/>
  <c r="G97" i="9"/>
  <c r="I89" i="9"/>
  <c r="I93" i="9"/>
  <c r="I95" i="9"/>
  <c r="M51" i="9"/>
  <c r="M94" i="9"/>
  <c r="M91" i="9"/>
  <c r="I72" i="9"/>
  <c r="M46" i="9"/>
  <c r="I70" i="9"/>
  <c r="I94" i="9"/>
  <c r="I91" i="9"/>
  <c r="I49" i="9"/>
  <c r="I30" i="9"/>
  <c r="I11" i="9"/>
  <c r="I88" i="9"/>
  <c r="M45" i="9"/>
  <c r="I28" i="9"/>
  <c r="J30" i="9" l="1"/>
  <c r="J26" i="9"/>
  <c r="M27" i="9"/>
  <c r="J28" i="9"/>
  <c r="K28" i="9" s="1"/>
  <c r="J29" i="9"/>
  <c r="K50" i="9"/>
  <c r="M28" i="9"/>
  <c r="J27" i="9"/>
  <c r="K27" i="9" s="1"/>
  <c r="M29" i="9"/>
  <c r="K94" i="9"/>
  <c r="K49" i="9"/>
  <c r="K10" i="9"/>
  <c r="K46" i="9"/>
  <c r="K91" i="9"/>
  <c r="K95" i="9"/>
  <c r="K45" i="9"/>
  <c r="K30" i="9"/>
  <c r="K26" i="9"/>
  <c r="M26" i="9"/>
  <c r="M30" i="9"/>
  <c r="K29" i="9"/>
  <c r="K11" i="9"/>
  <c r="M52" i="9"/>
  <c r="M53" i="9" s="1"/>
  <c r="K88" i="9"/>
  <c r="K89" i="9"/>
  <c r="J72" i="9"/>
  <c r="K72" i="9" s="1"/>
  <c r="J68" i="9"/>
  <c r="K68" i="9" s="1"/>
  <c r="J73" i="9"/>
  <c r="K73" i="9" s="1"/>
  <c r="M71" i="9"/>
  <c r="J69" i="9"/>
  <c r="K69" i="9" s="1"/>
  <c r="M67" i="9"/>
  <c r="M73" i="9"/>
  <c r="M69" i="9"/>
  <c r="J70" i="9"/>
  <c r="K70" i="9" s="1"/>
  <c r="J66" i="9"/>
  <c r="K66" i="9" s="1"/>
  <c r="J71" i="9"/>
  <c r="K71" i="9" s="1"/>
  <c r="J67" i="9"/>
  <c r="K67" i="9" s="1"/>
  <c r="M70" i="9"/>
  <c r="M68" i="9"/>
  <c r="M66" i="9"/>
  <c r="M72" i="9"/>
  <c r="K93" i="9"/>
  <c r="M96" i="9"/>
  <c r="M97" i="9" s="1"/>
  <c r="K9" i="9"/>
  <c r="M12" i="9"/>
  <c r="M13" i="9" s="1"/>
  <c r="K8" i="9"/>
  <c r="K47" i="9"/>
  <c r="K52" i="9" l="1"/>
  <c r="K53" i="9" s="1"/>
  <c r="K31" i="9"/>
  <c r="K32" i="9" s="1"/>
  <c r="M31" i="9"/>
  <c r="M32" i="9" s="1"/>
  <c r="B34" i="9" s="1"/>
  <c r="B35" i="9" s="1"/>
  <c r="B55" i="9"/>
  <c r="B56" i="9" s="1"/>
  <c r="K96" i="9"/>
  <c r="K97" i="9" s="1"/>
  <c r="B99" i="9" s="1"/>
  <c r="B100" i="9" s="1"/>
  <c r="K12" i="9"/>
  <c r="K13" i="9" s="1"/>
  <c r="B15" i="9" s="1"/>
  <c r="B16" i="9" s="1"/>
  <c r="M74" i="9"/>
  <c r="M75" i="9" s="1"/>
  <c r="K74" i="9"/>
  <c r="K75" i="9" s="1"/>
  <c r="B77" i="9" l="1"/>
  <c r="B78" i="9" s="1"/>
</calcChain>
</file>

<file path=xl/sharedStrings.xml><?xml version="1.0" encoding="utf-8"?>
<sst xmlns="http://schemas.openxmlformats.org/spreadsheetml/2006/main" count="525" uniqueCount="253">
  <si>
    <t>Población (casos y controles)</t>
  </si>
  <si>
    <t>Nº casos / Nº controles</t>
  </si>
  <si>
    <r>
      <t xml:space="preserve">Características </t>
    </r>
    <r>
      <rPr>
        <b/>
        <sz val="10"/>
        <color theme="1"/>
        <rFont val="Calibri"/>
        <family val="2"/>
        <scheme val="minor"/>
      </rPr>
      <t>sociodemográficas y clínicas</t>
    </r>
    <r>
      <rPr>
        <b/>
        <sz val="10"/>
        <color rgb="FF000000"/>
        <rFont val="Calibri"/>
        <family val="2"/>
        <scheme val="minor"/>
      </rPr>
      <t xml:space="preserve"> (casos y controles)</t>
    </r>
  </si>
  <si>
    <t>n.i.</t>
  </si>
  <si>
    <t>Exposición (Casos y Controles)</t>
  </si>
  <si>
    <t>VALIDEZ DE LA EVIDENCIA DE LA EXPOSICIÓN</t>
  </si>
  <si>
    <t>Con el evento de análisis (casos)</t>
  </si>
  <si>
    <t>Variable de análisis</t>
  </si>
  <si>
    <t>Registro del caso</t>
  </si>
  <si>
    <t>Algún método de validación de los registros vs diagnóstico certificado</t>
  </si>
  <si>
    <t>VALIDEZ DE LA EVIDENCIA DEL CASO</t>
  </si>
  <si>
    <t>Sin el evento de análisis (controles)</t>
  </si>
  <si>
    <t>Procedencia de los controles</t>
  </si>
  <si>
    <t>Factores de los controles para el emparejamiento con los casos</t>
  </si>
  <si>
    <t>Cálculos para esta variable</t>
  </si>
  <si>
    <t>Ajustado estadísticamente por las siguientes covariables</t>
  </si>
  <si>
    <t>72 (64-80) / 72 (64-80)</t>
  </si>
  <si>
    <t>67,3% / 67,4%</t>
  </si>
  <si>
    <t>Dinamarca (5,77 millones habitantes)</t>
  </si>
  <si>
    <t>Datos que se obtienen por encuesta</t>
  </si>
  <si>
    <t>Ninguno</t>
  </si>
  <si>
    <t>Estatus de fumador</t>
  </si>
  <si>
    <t>Estratos de tiempo de exposición acumulada</t>
  </si>
  <si>
    <t>¿Gradiente dosis-respuesta?</t>
  </si>
  <si>
    <t>¿Gradiente tiempo-respuesta?</t>
  </si>
  <si>
    <t>Ambito</t>
  </si>
  <si>
    <t>Registradas mediante BD primarias o secundarias</t>
  </si>
  <si>
    <t>BD poblacionales secundarias</t>
  </si>
  <si>
    <t>Ocupación de riesgo</t>
  </si>
  <si>
    <t>BAJA-MODERADA</t>
  </si>
  <si>
    <t>633 / 63.067 (20 controles por cada caso)</t>
  </si>
  <si>
    <t>Nivel de estudios, casos vs controles</t>
  </si>
  <si>
    <t>% varones, casos / controles</t>
  </si>
  <si>
    <t>Puntuación ïndice de comorbilidades de Charlson, casos vs controles</t>
  </si>
  <si>
    <r>
      <rPr>
        <b/>
        <sz val="10"/>
        <color rgb="FF000000"/>
        <rFont val="Calibri"/>
        <family val="2"/>
        <scheme val="minor"/>
      </rPr>
      <t xml:space="preserve">Puntuación 0: </t>
    </r>
    <r>
      <rPr>
        <sz val="10"/>
        <color rgb="FF000000"/>
        <rFont val="Calibri"/>
        <family val="2"/>
        <scheme val="minor"/>
      </rPr>
      <t xml:space="preserve">59,1% vs 66,4%; </t>
    </r>
    <r>
      <rPr>
        <b/>
        <sz val="10"/>
        <color rgb="FF000000"/>
        <rFont val="Calibri"/>
        <family val="2"/>
        <scheme val="minor"/>
      </rPr>
      <t xml:space="preserve">Puntuación 1: </t>
    </r>
    <r>
      <rPr>
        <sz val="10"/>
        <color rgb="FF000000"/>
        <rFont val="Calibri"/>
        <family val="2"/>
        <scheme val="minor"/>
      </rPr>
      <t xml:space="preserve">21,8% vs 18,8%; </t>
    </r>
    <r>
      <rPr>
        <b/>
        <sz val="10"/>
        <color rgb="FF000000"/>
        <rFont val="Calibri"/>
        <family val="2"/>
        <scheme val="minor"/>
      </rPr>
      <t>Puntuación 2: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9,2%</t>
    </r>
    <r>
      <rPr>
        <sz val="10"/>
        <color rgb="FF000000"/>
        <rFont val="Calibri"/>
        <family val="2"/>
        <scheme val="minor"/>
      </rPr>
      <t xml:space="preserve"> vs 8%; </t>
    </r>
    <r>
      <rPr>
        <b/>
        <sz val="10"/>
        <color rgb="FF000000"/>
        <rFont val="Calibri"/>
        <family val="2"/>
        <scheme val="minor"/>
      </rPr>
      <t xml:space="preserve">Puntuación </t>
    </r>
    <r>
      <rPr>
        <b/>
        <sz val="10"/>
        <color rgb="FF000000"/>
        <rFont val="Calibri"/>
        <family val="2"/>
      </rPr>
      <t>≥ 3:</t>
    </r>
    <r>
      <rPr>
        <sz val="10"/>
        <color rgb="FF000000"/>
        <rFont val="Calibri"/>
        <family val="2"/>
      </rPr>
      <t xml:space="preserve"> </t>
    </r>
    <r>
      <rPr>
        <sz val="10"/>
        <color rgb="FFFF0000"/>
        <rFont val="Calibri"/>
        <family val="2"/>
      </rPr>
      <t>10%</t>
    </r>
    <r>
      <rPr>
        <sz val="10"/>
        <color rgb="FF000000"/>
        <rFont val="Calibri"/>
        <family val="2"/>
      </rPr>
      <t xml:space="preserve"> vs 6,8%</t>
    </r>
  </si>
  <si>
    <t>Uso de sustancias potencialmente fotosoensibilizantes, casos vs controles</t>
  </si>
  <si>
    <t>Uso de sustancias potencialmente protectoras de la fotosensibilización, casos vs controles</t>
  </si>
  <si>
    <t>Diagnósticos o condiciones de los que se informa, casos vs controles</t>
  </si>
  <si>
    <r>
      <rPr>
        <b/>
        <sz val="10"/>
        <color rgb="FF000000"/>
        <rFont val="Calibri"/>
        <family val="2"/>
        <scheme val="minor"/>
      </rPr>
      <t xml:space="preserve">AAS: </t>
    </r>
    <r>
      <rPr>
        <sz val="10"/>
        <color rgb="FF000000"/>
        <rFont val="Calibri"/>
        <family val="2"/>
        <scheme val="minor"/>
      </rPr>
      <t xml:space="preserve">29,2% vs 28,4%; </t>
    </r>
    <r>
      <rPr>
        <b/>
        <sz val="10"/>
        <color rgb="FF000000"/>
        <rFont val="Calibri"/>
        <family val="2"/>
        <scheme val="minor"/>
      </rPr>
      <t xml:space="preserve">AINEs: </t>
    </r>
    <r>
      <rPr>
        <sz val="10"/>
        <color rgb="FF000000"/>
        <rFont val="Calibri"/>
        <family val="2"/>
        <scheme val="minor"/>
      </rPr>
      <t xml:space="preserve">53,7% vs 51,7%; </t>
    </r>
    <r>
      <rPr>
        <b/>
        <sz val="10"/>
        <color rgb="FF000000"/>
        <rFont val="Calibri"/>
        <family val="2"/>
        <scheme val="minor"/>
      </rPr>
      <t xml:space="preserve">Estatinas: </t>
    </r>
    <r>
      <rPr>
        <sz val="10"/>
        <color rgb="FF000000"/>
        <rFont val="Calibri"/>
        <family val="2"/>
        <scheme val="minor"/>
      </rPr>
      <t>21,,5% vs 20,4%</t>
    </r>
  </si>
  <si>
    <t>Datos obtenidos de</t>
  </si>
  <si>
    <t>Registro Nacional de Prescripciones de Dinamarca, cuyo contenido tiene validez alta</t>
  </si>
  <si>
    <r>
      <t xml:space="preserve">MODERADA. </t>
    </r>
    <r>
      <rPr>
        <sz val="10"/>
        <color rgb="FF000000"/>
        <rFont val="Calibri"/>
        <family val="2"/>
        <scheme val="minor"/>
      </rPr>
      <t xml:space="preserve">Se justifica la rebaja porque: </t>
    </r>
    <r>
      <rPr>
        <b/>
        <sz val="10"/>
        <color rgb="FF000000"/>
        <rFont val="Calibri"/>
        <family val="2"/>
        <scheme val="minor"/>
      </rPr>
      <t>a)</t>
    </r>
    <r>
      <rPr>
        <sz val="10"/>
        <color rgb="FF000000"/>
        <rFont val="Calibri"/>
        <family val="2"/>
        <scheme val="minor"/>
      </rPr>
      <t xml:space="preserve"> prescrito no significa tomado; y </t>
    </r>
    <r>
      <rPr>
        <b/>
        <sz val="10"/>
        <color rgb="FF000000"/>
        <rFont val="Calibri"/>
        <family val="2"/>
        <scheme val="minor"/>
      </rPr>
      <t>b)</t>
    </r>
    <r>
      <rPr>
        <sz val="10"/>
        <color rgb="FF000000"/>
        <rFont val="Calibri"/>
        <family val="2"/>
        <scheme val="minor"/>
      </rPr>
      <t xml:space="preserve"> un estudio transversal mostró sólo 4,7% de no adherencia en Grupo Cardiovascular</t>
    </r>
  </si>
  <si>
    <r>
      <t>MODERADA-ALTA:</t>
    </r>
    <r>
      <rPr>
        <sz val="10"/>
        <color rgb="FF000000"/>
        <rFont val="Calibri"/>
        <family val="2"/>
        <scheme val="minor"/>
      </rPr>
      <t xml:space="preserve"> Se justifica mantener la validez porque los casos utilizados para el análisis estaban diagnosticados histológicamente.</t>
    </r>
  </si>
  <si>
    <t>Registro Danés de Cáncer, cuyo contenido (en CIE 10) tiene validez moderada-alta</t>
  </si>
  <si>
    <t>Registro Nacional de Pacientes de Dinamarca, cuyo contenido tiene una validez desde el 15 al 100%</t>
  </si>
  <si>
    <t>Edad (año de nacimiento) y sexo.</t>
  </si>
  <si>
    <t>Período de demora (tiempo inmortal)</t>
  </si>
  <si>
    <t>Inclusión</t>
  </si>
  <si>
    <t>Expuestos a HCTZ al menos 2 años. Pero se hacen análisis de sensibilidad con un tiempo de demora de 1 año y de 6 meses</t>
  </si>
  <si>
    <t>Retinoides tópicos u orales, tetraciclina, macrólidos, aminoquinolinas y amiodarona; b) AAS, AINEs o estatinas; c) consumo alcohol, DM o EPOC; d) antecedentes cáncer piel no melanoma; e) puntuación Comorbilidad Charlson; y f) nivel educación académica.</t>
  </si>
  <si>
    <t>Estratos de dosis acumulada en mg</t>
  </si>
  <si>
    <t>a) de 0 a 1 año: OR 1,0 (0,7–1,6); b) de 1 a 2 años: OR 1,3 (0,7–2,2); c) de 2 a 3 años: OR 0,7 (0,3–1,7); de 3 a 5 años: OR 2,3 (1,5–3,4); y d) más de 5 años: OR 4,5 (3,5–5,9)</t>
  </si>
  <si>
    <t>71.553 / 1.430.883 (20 controles por cada caso)</t>
  </si>
  <si>
    <t>8.629 /172.432 (20 controles por cada caso)</t>
  </si>
  <si>
    <t>66 (57-76) / 66 (57-76)</t>
  </si>
  <si>
    <t>77 (68-85) / 77 (68-85)</t>
  </si>
  <si>
    <t>47,3% / 47,3%</t>
  </si>
  <si>
    <t>55,7% / 55,7%</t>
  </si>
  <si>
    <r>
      <rPr>
        <b/>
        <sz val="10"/>
        <rFont val="Calibri"/>
        <family val="2"/>
        <scheme val="minor"/>
      </rPr>
      <t>De 7 a 10 años:</t>
    </r>
    <r>
      <rPr>
        <sz val="10"/>
        <rFont val="Calibri"/>
        <family val="2"/>
        <scheme val="minor"/>
      </rPr>
      <t xml:space="preserve"> 29,4% vs 36,6%; </t>
    </r>
    <r>
      <rPr>
        <b/>
        <sz val="10"/>
        <rFont val="Calibri"/>
        <family val="2"/>
        <scheme val="minor"/>
      </rPr>
      <t xml:space="preserve">de 11 a 12 años: </t>
    </r>
    <r>
      <rPr>
        <sz val="10"/>
        <rFont val="Calibri"/>
        <family val="2"/>
        <scheme val="minor"/>
      </rPr>
      <t xml:space="preserve">38,5% vs 35,6%; </t>
    </r>
    <r>
      <rPr>
        <b/>
        <sz val="10"/>
        <rFont val="Calibri"/>
        <family val="2"/>
        <scheme val="minor"/>
      </rPr>
      <t>más de 13 años:</t>
    </r>
    <r>
      <rPr>
        <sz val="10"/>
        <rFont val="Calibri"/>
        <family val="2"/>
        <scheme val="minor"/>
      </rPr>
      <t xml:space="preserve"> 25,5% vs 19,7%; </t>
    </r>
    <r>
      <rPr>
        <b/>
        <sz val="10"/>
        <rFont val="Calibri"/>
        <family val="2"/>
        <scheme val="minor"/>
      </rPr>
      <t>desconocido:</t>
    </r>
    <r>
      <rPr>
        <sz val="10"/>
        <rFont val="Calibri"/>
        <family val="2"/>
        <scheme val="minor"/>
      </rPr>
      <t xml:space="preserve"> 6,8% vs 8%</t>
    </r>
  </si>
  <si>
    <r>
      <rPr>
        <b/>
        <sz val="10"/>
        <rFont val="Calibri"/>
        <family val="2"/>
        <scheme val="minor"/>
      </rPr>
      <t>De 7 a 10 años:</t>
    </r>
    <r>
      <rPr>
        <sz val="10"/>
        <rFont val="Calibri"/>
        <family val="2"/>
        <scheme val="minor"/>
      </rPr>
      <t xml:space="preserve"> 37% vs 39,5%; </t>
    </r>
    <r>
      <rPr>
        <b/>
        <sz val="10"/>
        <rFont val="Calibri"/>
        <family val="2"/>
        <scheme val="minor"/>
      </rPr>
      <t xml:space="preserve">de 11 a 12 años: </t>
    </r>
    <r>
      <rPr>
        <sz val="10"/>
        <rFont val="Calibri"/>
        <family val="2"/>
        <scheme val="minor"/>
      </rPr>
      <t xml:space="preserve">30,4% vs 28,9%; </t>
    </r>
    <r>
      <rPr>
        <b/>
        <sz val="10"/>
        <rFont val="Calibri"/>
        <family val="2"/>
        <scheme val="minor"/>
      </rPr>
      <t>más de 13 años:</t>
    </r>
    <r>
      <rPr>
        <sz val="10"/>
        <rFont val="Calibri"/>
        <family val="2"/>
        <scheme val="minor"/>
      </rPr>
      <t xml:space="preserve"> 15,3% vs 14,4%; </t>
    </r>
    <r>
      <rPr>
        <b/>
        <sz val="10"/>
        <rFont val="Calibri"/>
        <family val="2"/>
        <scheme val="minor"/>
      </rPr>
      <t>desconocido:</t>
    </r>
    <r>
      <rPr>
        <sz val="10"/>
        <rFont val="Calibri"/>
        <family val="2"/>
        <scheme val="minor"/>
      </rPr>
      <t xml:space="preserve"> 16,6% vs 17,3%</t>
    </r>
  </si>
  <si>
    <r>
      <rPr>
        <b/>
        <sz val="10"/>
        <color rgb="FF000000"/>
        <rFont val="Calibri"/>
        <family val="2"/>
        <scheme val="minor"/>
      </rPr>
      <t>AAS:</t>
    </r>
    <r>
      <rPr>
        <sz val="10"/>
        <color rgb="FF000000"/>
        <rFont val="Calibri"/>
        <family val="2"/>
        <scheme val="minor"/>
      </rPr>
      <t xml:space="preserve"> 19,8% vs 19,9%; </t>
    </r>
    <r>
      <rPr>
        <b/>
        <sz val="10"/>
        <color rgb="FF000000"/>
        <rFont val="Calibri"/>
        <family val="2"/>
        <scheme val="minor"/>
      </rPr>
      <t xml:space="preserve">AINEs: </t>
    </r>
    <r>
      <rPr>
        <sz val="10"/>
        <color rgb="FF009900"/>
        <rFont val="Calibri"/>
        <family val="2"/>
        <scheme val="minor"/>
      </rPr>
      <t>52,2%</t>
    </r>
    <r>
      <rPr>
        <sz val="10"/>
        <color rgb="FF000000"/>
        <rFont val="Calibri"/>
        <family val="2"/>
        <scheme val="minor"/>
      </rPr>
      <t xml:space="preserve"> vs 50,7%; </t>
    </r>
    <r>
      <rPr>
        <b/>
        <sz val="10"/>
        <color rgb="FF000000"/>
        <rFont val="Calibri"/>
        <family val="2"/>
        <scheme val="minor"/>
      </rPr>
      <t>Estatinas:</t>
    </r>
    <r>
      <rPr>
        <sz val="10"/>
        <color rgb="FF000000"/>
        <rFont val="Calibri"/>
        <family val="2"/>
        <scheme val="minor"/>
      </rPr>
      <t xml:space="preserve"> 15,8% vs 16%; </t>
    </r>
    <r>
      <rPr>
        <b/>
        <sz val="10"/>
        <color rgb="FF000000"/>
        <rFont val="Calibri"/>
        <family val="2"/>
        <scheme val="minor"/>
      </rPr>
      <t>Glucocorticoides:</t>
    </r>
    <r>
      <rPr>
        <sz val="10"/>
        <color rgb="FF000000"/>
        <rFont val="Calibri"/>
        <family val="2"/>
        <scheme val="minor"/>
      </rPr>
      <t xml:space="preserve"> 12,7% vs 11,8%</t>
    </r>
  </si>
  <si>
    <r>
      <rPr>
        <b/>
        <sz val="10"/>
        <color rgb="FF000000"/>
        <rFont val="Calibri"/>
        <family val="2"/>
        <scheme val="minor"/>
      </rPr>
      <t>AAS: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9900"/>
        <rFont val="Calibri"/>
        <family val="2"/>
        <scheme val="minor"/>
      </rPr>
      <t>34,2%</t>
    </r>
    <r>
      <rPr>
        <sz val="10"/>
        <color rgb="FF000000"/>
        <rFont val="Calibri"/>
        <family val="2"/>
        <scheme val="minor"/>
      </rPr>
      <t xml:space="preserve"> vs 31,5%; </t>
    </r>
    <r>
      <rPr>
        <b/>
        <sz val="10"/>
        <color rgb="FF000000"/>
        <rFont val="Calibri"/>
        <family val="2"/>
        <scheme val="minor"/>
      </rPr>
      <t xml:space="preserve">AINEs: </t>
    </r>
    <r>
      <rPr>
        <sz val="10"/>
        <color rgb="FF009900"/>
        <rFont val="Calibri"/>
        <family val="2"/>
        <scheme val="minor"/>
      </rPr>
      <t>54,8%</t>
    </r>
    <r>
      <rPr>
        <sz val="10"/>
        <color rgb="FF000000"/>
        <rFont val="Calibri"/>
        <family val="2"/>
        <scheme val="minor"/>
      </rPr>
      <t xml:space="preserve"> vs 51,9%; </t>
    </r>
    <r>
      <rPr>
        <b/>
        <sz val="10"/>
        <color rgb="FF000000"/>
        <rFont val="Calibri"/>
        <family val="2"/>
        <scheme val="minor"/>
      </rPr>
      <t>Estatinas: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9900"/>
        <rFont val="Calibri"/>
        <family val="2"/>
        <scheme val="minor"/>
      </rPr>
      <t>20,6%</t>
    </r>
    <r>
      <rPr>
        <sz val="10"/>
        <color rgb="FF000000"/>
        <rFont val="Calibri"/>
        <family val="2"/>
        <scheme val="minor"/>
      </rPr>
      <t xml:space="preserve"> vs 18,8%; </t>
    </r>
    <r>
      <rPr>
        <b/>
        <sz val="10"/>
        <color rgb="FF000000"/>
        <rFont val="Calibri"/>
        <family val="2"/>
        <scheme val="minor"/>
      </rPr>
      <t>Glucocorticoides: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9900"/>
        <rFont val="Calibri"/>
        <family val="2"/>
        <scheme val="minor"/>
      </rPr>
      <t>16,8%</t>
    </r>
    <r>
      <rPr>
        <sz val="10"/>
        <color rgb="FF000000"/>
        <rFont val="Calibri"/>
        <family val="2"/>
        <scheme val="minor"/>
      </rPr>
      <t xml:space="preserve"> vs 14,2%</t>
    </r>
  </si>
  <si>
    <r>
      <rPr>
        <b/>
        <sz val="10"/>
        <color rgb="FF000000"/>
        <rFont val="Calibri"/>
        <family val="2"/>
        <scheme val="minor"/>
      </rPr>
      <t xml:space="preserve">Entidades asociadas al uso de alcohol: </t>
    </r>
    <r>
      <rPr>
        <sz val="10"/>
        <color rgb="FF000000"/>
        <rFont val="Calibri"/>
        <family val="2"/>
        <scheme val="minor"/>
      </rPr>
      <t xml:space="preserve">4,4% vs 3,4%; </t>
    </r>
    <r>
      <rPr>
        <b/>
        <sz val="10"/>
        <color rgb="FF000000"/>
        <rFont val="Calibri"/>
        <family val="2"/>
        <scheme val="minor"/>
      </rPr>
      <t>Diabetes</t>
    </r>
    <r>
      <rPr>
        <sz val="10"/>
        <color rgb="FF000000"/>
        <rFont val="Calibri"/>
        <family val="2"/>
        <scheme val="minor"/>
      </rPr>
      <t xml:space="preserve">: </t>
    </r>
    <r>
      <rPr>
        <sz val="10"/>
        <color rgb="FFFF0000"/>
        <rFont val="Calibri"/>
        <family val="2"/>
        <scheme val="minor"/>
      </rPr>
      <t>10,4%</t>
    </r>
    <r>
      <rPr>
        <sz val="10"/>
        <color rgb="FF000000"/>
        <rFont val="Calibri"/>
        <family val="2"/>
        <scheme val="minor"/>
      </rPr>
      <t xml:space="preserve"> vs 8,1%; </t>
    </r>
    <r>
      <rPr>
        <b/>
        <sz val="10"/>
        <color rgb="FF000000"/>
        <rFont val="Calibri"/>
        <family val="2"/>
        <scheme val="minor"/>
      </rPr>
      <t xml:space="preserve">EPOC: </t>
    </r>
    <r>
      <rPr>
        <sz val="10"/>
        <color rgb="FFFF0000"/>
        <rFont val="Calibri"/>
        <family val="2"/>
        <scheme val="minor"/>
      </rPr>
      <t>7,4%</t>
    </r>
    <r>
      <rPr>
        <sz val="10"/>
        <color rgb="FF000000"/>
        <rFont val="Calibri"/>
        <family val="2"/>
        <scheme val="minor"/>
      </rPr>
      <t xml:space="preserve"> vs 5,8%</t>
    </r>
  </si>
  <si>
    <r>
      <rPr>
        <b/>
        <sz val="10"/>
        <color rgb="FF000000"/>
        <rFont val="Calibri"/>
        <family val="2"/>
        <scheme val="minor"/>
      </rPr>
      <t xml:space="preserve">Entidades asociadas al uso de alcohol: </t>
    </r>
    <r>
      <rPr>
        <sz val="10"/>
        <rFont val="Calibri"/>
        <family val="2"/>
        <scheme val="minor"/>
      </rPr>
      <t xml:space="preserve">2,6% vs 2,6%; </t>
    </r>
    <r>
      <rPr>
        <b/>
        <sz val="10"/>
        <rFont val="Calibri"/>
        <family val="2"/>
        <scheme val="minor"/>
      </rPr>
      <t>Diabetes:</t>
    </r>
    <r>
      <rPr>
        <sz val="10"/>
        <rFont val="Calibri"/>
        <family val="2"/>
        <scheme val="minor"/>
      </rPr>
      <t xml:space="preserve"> 9,1%</t>
    </r>
    <r>
      <rPr>
        <sz val="10"/>
        <color rgb="FF000000"/>
        <rFont val="Calibri"/>
        <family val="2"/>
        <scheme val="minor"/>
      </rPr>
      <t xml:space="preserve"> vs 8,4%; </t>
    </r>
    <r>
      <rPr>
        <b/>
        <sz val="10"/>
        <rFont val="Calibri"/>
        <family val="2"/>
        <scheme val="minor"/>
      </rPr>
      <t xml:space="preserve">EPOC: </t>
    </r>
    <r>
      <rPr>
        <sz val="10"/>
        <rFont val="Calibri"/>
        <family val="2"/>
        <scheme val="minor"/>
      </rPr>
      <t>7,4% vs 6,3%</t>
    </r>
    <r>
      <rPr>
        <sz val="10"/>
        <color rgb="FF000000"/>
        <rFont val="Calibri"/>
        <family val="2"/>
        <scheme val="minor"/>
      </rPr>
      <t xml:space="preserve">; </t>
    </r>
    <r>
      <rPr>
        <b/>
        <sz val="10"/>
        <color rgb="FF000000"/>
        <rFont val="Calibri"/>
        <family val="2"/>
        <scheme val="minor"/>
      </rPr>
      <t>Enf Renal Crónica:</t>
    </r>
    <r>
      <rPr>
        <sz val="10"/>
        <color rgb="FF000000"/>
        <rFont val="Calibri"/>
        <family val="2"/>
        <scheme val="minor"/>
      </rPr>
      <t xml:space="preserve"> 1,9% vs 1,2%</t>
    </r>
  </si>
  <si>
    <r>
      <rPr>
        <b/>
        <sz val="10"/>
        <color rgb="FF000000"/>
        <rFont val="Calibri"/>
        <family val="2"/>
        <scheme val="minor"/>
      </rPr>
      <t xml:space="preserve">Entidades asociadas al uso de alcohol: </t>
    </r>
    <r>
      <rPr>
        <sz val="10"/>
        <rFont val="Calibri"/>
        <family val="2"/>
        <scheme val="minor"/>
      </rPr>
      <t xml:space="preserve">2,6% vs 3,4%; </t>
    </r>
    <r>
      <rPr>
        <b/>
        <sz val="10"/>
        <rFont val="Calibri"/>
        <family val="2"/>
        <scheme val="minor"/>
      </rPr>
      <t>Diabetes:</t>
    </r>
    <r>
      <rPr>
        <sz val="10"/>
        <rFont val="Calibri"/>
        <family val="2"/>
        <scheme val="minor"/>
      </rPr>
      <t xml:space="preserve"> 5,4%</t>
    </r>
    <r>
      <rPr>
        <sz val="10"/>
        <color rgb="FF000000"/>
        <rFont val="Calibri"/>
        <family val="2"/>
        <scheme val="minor"/>
      </rPr>
      <t xml:space="preserve"> vs 6,8%; </t>
    </r>
    <r>
      <rPr>
        <b/>
        <sz val="10"/>
        <rFont val="Calibri"/>
        <family val="2"/>
        <scheme val="minor"/>
      </rPr>
      <t xml:space="preserve">EPOC: </t>
    </r>
    <r>
      <rPr>
        <sz val="10"/>
        <rFont val="Calibri"/>
        <family val="2"/>
        <scheme val="minor"/>
      </rPr>
      <t>4,7% vs 4,3%</t>
    </r>
    <r>
      <rPr>
        <sz val="10"/>
        <color rgb="FF000000"/>
        <rFont val="Calibri"/>
        <family val="2"/>
        <scheme val="minor"/>
      </rPr>
      <t xml:space="preserve">; </t>
    </r>
    <r>
      <rPr>
        <b/>
        <sz val="10"/>
        <color rgb="FF000000"/>
        <rFont val="Calibri"/>
        <family val="2"/>
        <scheme val="minor"/>
      </rPr>
      <t>Enf Renal Crónica:</t>
    </r>
    <r>
      <rPr>
        <sz val="10"/>
        <color rgb="FF000000"/>
        <rFont val="Calibri"/>
        <family val="2"/>
        <scheme val="minor"/>
      </rPr>
      <t xml:space="preserve"> 0,8% vs 0,8%</t>
    </r>
  </si>
  <si>
    <r>
      <rPr>
        <b/>
        <sz val="10"/>
        <rFont val="Calibri"/>
        <family val="2"/>
        <scheme val="minor"/>
      </rPr>
      <t xml:space="preserve">Puntuación 0: </t>
    </r>
    <r>
      <rPr>
        <sz val="10"/>
        <rFont val="Calibri"/>
        <family val="2"/>
        <scheme val="minor"/>
      </rPr>
      <t xml:space="preserve">73,8% vs 73,1%; </t>
    </r>
    <r>
      <rPr>
        <b/>
        <sz val="10"/>
        <rFont val="Calibri"/>
        <family val="2"/>
        <scheme val="minor"/>
      </rPr>
      <t xml:space="preserve">Puntuación 1: </t>
    </r>
    <r>
      <rPr>
        <sz val="10"/>
        <rFont val="Calibri"/>
        <family val="2"/>
        <scheme val="minor"/>
      </rPr>
      <t xml:space="preserve">16% vs 16,4%; </t>
    </r>
    <r>
      <rPr>
        <b/>
        <sz val="10"/>
        <rFont val="Calibri"/>
        <family val="2"/>
        <scheme val="minor"/>
      </rPr>
      <t>Puntuación 2:</t>
    </r>
    <r>
      <rPr>
        <sz val="10"/>
        <rFont val="Calibri"/>
        <family val="2"/>
        <scheme val="minor"/>
      </rPr>
      <t xml:space="preserve"> 5,8% vs 5,8%; </t>
    </r>
    <r>
      <rPr>
        <b/>
        <sz val="10"/>
        <rFont val="Calibri"/>
        <family val="2"/>
        <scheme val="minor"/>
      </rPr>
      <t xml:space="preserve">Puntuación </t>
    </r>
    <r>
      <rPr>
        <b/>
        <sz val="10"/>
        <rFont val="Calibri"/>
        <family val="2"/>
      </rPr>
      <t>≥ 3:</t>
    </r>
    <r>
      <rPr>
        <sz val="10"/>
        <rFont val="Calibri"/>
        <family val="2"/>
      </rPr>
      <t xml:space="preserve"> 4,4% vs 4,7%</t>
    </r>
  </si>
  <si>
    <r>
      <rPr>
        <b/>
        <sz val="10"/>
        <rFont val="Calibri"/>
        <family val="2"/>
        <scheme val="minor"/>
      </rPr>
      <t xml:space="preserve">Puntuación 0: </t>
    </r>
    <r>
      <rPr>
        <sz val="10"/>
        <rFont val="Calibri"/>
        <family val="2"/>
        <scheme val="minor"/>
      </rPr>
      <t xml:space="preserve">59,5% vs 63,7%; </t>
    </r>
    <r>
      <rPr>
        <b/>
        <sz val="10"/>
        <rFont val="Calibri"/>
        <family val="2"/>
        <scheme val="minor"/>
      </rPr>
      <t xml:space="preserve">Puntuación 1: </t>
    </r>
    <r>
      <rPr>
        <sz val="10"/>
        <rFont val="Calibri"/>
        <family val="2"/>
        <scheme val="minor"/>
      </rPr>
      <t xml:space="preserve">22,2% vs 20,9%; </t>
    </r>
    <r>
      <rPr>
        <b/>
        <sz val="10"/>
        <rFont val="Calibri"/>
        <family val="2"/>
        <scheme val="minor"/>
      </rPr>
      <t>Puntuación 2:</t>
    </r>
    <r>
      <rPr>
        <sz val="1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9,6%</t>
    </r>
    <r>
      <rPr>
        <sz val="10"/>
        <rFont val="Calibri"/>
        <family val="2"/>
        <scheme val="minor"/>
      </rPr>
      <t xml:space="preserve"> vs 8,4%; </t>
    </r>
    <r>
      <rPr>
        <b/>
        <sz val="10"/>
        <rFont val="Calibri"/>
        <family val="2"/>
        <scheme val="minor"/>
      </rPr>
      <t xml:space="preserve">Puntuación </t>
    </r>
    <r>
      <rPr>
        <b/>
        <sz val="10"/>
        <rFont val="Calibri"/>
        <family val="2"/>
      </rPr>
      <t>≥ 3:</t>
    </r>
    <r>
      <rPr>
        <sz val="10"/>
        <rFont val="Calibri"/>
        <family val="2"/>
      </rPr>
      <t xml:space="preserve"> </t>
    </r>
    <r>
      <rPr>
        <sz val="10"/>
        <color rgb="FFFF0000"/>
        <rFont val="Calibri"/>
        <family val="2"/>
      </rPr>
      <t>8,8%</t>
    </r>
    <r>
      <rPr>
        <sz val="10"/>
        <rFont val="Calibri"/>
        <family val="2"/>
      </rPr>
      <t xml:space="preserve"> vs 7%</t>
    </r>
  </si>
  <si>
    <t>Carcinoma de piel de células basales</t>
  </si>
  <si>
    <t>Carcinoma de piel de células escamosas</t>
  </si>
  <si>
    <t>Carcinoma de piel de células epiteliales labio de células escamosas epiletiales</t>
  </si>
  <si>
    <t>a) De 0-4.999 mg: OR 1,0 (0,6–1,7); b) De 5.000-9.999 mg: OR 1,2 (0,7–2,2); c) De 10.000-24.999 mg: OR 1,1 (0,7–1,7); d) De 25.000-49.999 mg: OR 1,8 (1,2–2,9); y d) &gt; 50.000 mg: OR 5,5 (4,2–7,2)</t>
  </si>
  <si>
    <t>a) De 1-9.999 mg: OR 1,02 (0,98-1,06); De 10.000-24.999 mg: OR 1,03 (0,98-1,08); c) De 25.000-49.999 mg: OR 11,03 (0,97-1,09); d) De 50.000-74.999 mg: OR 1,14 (1,04-1,25); e) De 75.000-99.999 mg: OR 1,18 (1,04-1,33); f) De 100.000-149.999 mg: OR 1,30 (1,17-1,44); f) De 150.000-199.999 mg: OR 1,39 (1,24-1,56); y g) &gt;200.000 mg: OR 1,54 (1,38-1,71)</t>
  </si>
  <si>
    <t>a) De 1-9.999 mg: OR 1,01 (0,91-1,12); De 10.000-24.999 mg: OR 1,12 (0,99-1,27); c) De 25.000-49.999 mg: OR 1,54 (1,36-1,75); d) De 50.000-74.999 mg: OR 2,05 (1,70-2,46); e) De 75.000-99.999 mg: OR 2,84 (2,28-3,54); f) De 100.000-149.999 mg: OR 3,56 (3,02-4,20); f) De 150.000-199.999 mg: OR 5,82 (4,96-6,84); y g) &gt;200.000 mg: OR 7,38 (6,32-8,60)</t>
  </si>
  <si>
    <r>
      <rPr>
        <b/>
        <sz val="10"/>
        <color rgb="FF000000"/>
        <rFont val="Calibri"/>
        <family val="2"/>
        <scheme val="minor"/>
      </rPr>
      <t xml:space="preserve">De 7 a 10 años: </t>
    </r>
    <r>
      <rPr>
        <sz val="10"/>
        <color rgb="FFFF0000"/>
        <rFont val="Calibri"/>
        <family val="2"/>
        <scheme val="minor"/>
      </rPr>
      <t>50,7%</t>
    </r>
    <r>
      <rPr>
        <sz val="10"/>
        <color rgb="FF000000"/>
        <rFont val="Calibri"/>
        <family val="2"/>
        <scheme val="minor"/>
      </rPr>
      <t xml:space="preserve"> vs 38,7%; </t>
    </r>
    <r>
      <rPr>
        <b/>
        <sz val="10"/>
        <color rgb="FF000000"/>
        <rFont val="Calibri"/>
        <family val="2"/>
        <scheme val="minor"/>
      </rPr>
      <t xml:space="preserve">de 11 a 12 años: </t>
    </r>
    <r>
      <rPr>
        <sz val="10"/>
        <color rgb="FF000000"/>
        <rFont val="Calibri"/>
        <family val="2"/>
        <scheme val="minor"/>
      </rPr>
      <t xml:space="preserve">27% vs 34,6%; </t>
    </r>
    <r>
      <rPr>
        <b/>
        <sz val="10"/>
        <color rgb="FF000000"/>
        <rFont val="Calibri"/>
        <family val="2"/>
        <scheme val="minor"/>
      </rPr>
      <t>más de 13 años:</t>
    </r>
    <r>
      <rPr>
        <sz val="10"/>
        <color rgb="FF000000"/>
        <rFont val="Calibri"/>
        <family val="2"/>
        <scheme val="minor"/>
      </rPr>
      <t xml:space="preserve"> 11,8% vs 17,3%; </t>
    </r>
    <r>
      <rPr>
        <b/>
        <sz val="10"/>
        <color rgb="FF000000"/>
        <rFont val="Calibri"/>
        <family val="2"/>
        <scheme val="minor"/>
      </rPr>
      <t>desconocido:</t>
    </r>
    <r>
      <rPr>
        <sz val="10"/>
        <color rgb="FF000000"/>
        <rFont val="Calibri"/>
        <family val="2"/>
        <scheme val="minor"/>
      </rPr>
      <t xml:space="preserve"> 10,4% vs 9,4%</t>
    </r>
  </si>
  <si>
    <t>97 /1.857 (20 controles por cada caso)</t>
  </si>
  <si>
    <t>80 (70-87) / 79 (70-86)</t>
  </si>
  <si>
    <t>59,2% / 40,9%</t>
  </si>
  <si>
    <r>
      <rPr>
        <b/>
        <sz val="10"/>
        <rFont val="Calibri"/>
        <family val="2"/>
        <scheme val="minor"/>
      </rPr>
      <t>De 7 a 10 años:</t>
    </r>
    <r>
      <rPr>
        <sz val="10"/>
        <rFont val="Calibri"/>
        <family val="2"/>
        <scheme val="minor"/>
      </rPr>
      <t xml:space="preserve"> 34% vs 39,7%; </t>
    </r>
    <r>
      <rPr>
        <b/>
        <sz val="10"/>
        <rFont val="Calibri"/>
        <family val="2"/>
        <scheme val="minor"/>
      </rPr>
      <t xml:space="preserve">de 11 a 12 años: </t>
    </r>
    <r>
      <rPr>
        <sz val="10"/>
        <rFont val="Calibri"/>
        <family val="2"/>
        <scheme val="minor"/>
      </rPr>
      <t xml:space="preserve">35,1% vs 26,7%; </t>
    </r>
    <r>
      <rPr>
        <b/>
        <sz val="10"/>
        <rFont val="Calibri"/>
        <family val="2"/>
        <scheme val="minor"/>
      </rPr>
      <t>más de 13 años:</t>
    </r>
    <r>
      <rPr>
        <sz val="10"/>
        <rFont val="Calibri"/>
        <family val="2"/>
        <scheme val="minor"/>
      </rPr>
      <t xml:space="preserve"> 9,3% vs 15,5%; </t>
    </r>
    <r>
      <rPr>
        <b/>
        <sz val="10"/>
        <rFont val="Calibri"/>
        <family val="2"/>
        <scheme val="minor"/>
      </rPr>
      <t>desconocido:</t>
    </r>
    <r>
      <rPr>
        <sz val="10"/>
        <rFont val="Calibri"/>
        <family val="2"/>
        <scheme val="minor"/>
      </rPr>
      <t xml:space="preserve"> 21,6% vs 18,1%</t>
    </r>
  </si>
  <si>
    <r>
      <t xml:space="preserve">retinoides tópicos: 0,3% vs 0,1%; retin orales: 0,5% vs 0,2%; tetraciclinas: 2% vs 1,3%; macrólidos: </t>
    </r>
    <r>
      <rPr>
        <sz val="10"/>
        <color rgb="FFFF0000"/>
        <rFont val="Calibri"/>
        <family val="2"/>
        <scheme val="minor"/>
      </rPr>
      <t>21,6%</t>
    </r>
    <r>
      <rPr>
        <sz val="10"/>
        <color theme="1"/>
        <rFont val="Calibri"/>
        <family val="2"/>
        <scheme val="minor"/>
      </rPr>
      <t xml:space="preserve"> vs 18,9%; aminoquinolinas: 7% vs 5,4%; amiodarona: 0,7% vs 0,7%; metoxipsoraleno: 0,2% vs 0,1%</t>
    </r>
  </si>
  <si>
    <r>
      <rPr>
        <b/>
        <sz val="10"/>
        <color rgb="FF000000"/>
        <rFont val="Calibri"/>
        <family val="2"/>
        <scheme val="minor"/>
      </rPr>
      <t>AAS: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9900"/>
        <rFont val="Calibri"/>
        <family val="2"/>
        <scheme val="minor"/>
      </rPr>
      <t>45,4%</t>
    </r>
    <r>
      <rPr>
        <sz val="10"/>
        <color rgb="FF000000"/>
        <rFont val="Calibri"/>
        <family val="2"/>
        <scheme val="minor"/>
      </rPr>
      <t xml:space="preserve"> vs 34,1%; </t>
    </r>
    <r>
      <rPr>
        <b/>
        <sz val="10"/>
        <color rgb="FF000000"/>
        <rFont val="Calibri"/>
        <family val="2"/>
        <scheme val="minor"/>
      </rPr>
      <t xml:space="preserve">AINEs: </t>
    </r>
    <r>
      <rPr>
        <sz val="10"/>
        <color rgb="FF009900"/>
        <rFont val="Calibri"/>
        <family val="2"/>
        <scheme val="minor"/>
      </rPr>
      <t>68%</t>
    </r>
    <r>
      <rPr>
        <sz val="10"/>
        <color rgb="FF000000"/>
        <rFont val="Calibri"/>
        <family val="2"/>
        <scheme val="minor"/>
      </rPr>
      <t xml:space="preserve"> vs 57,3%; </t>
    </r>
    <r>
      <rPr>
        <b/>
        <sz val="10"/>
        <color rgb="FF000000"/>
        <rFont val="Calibri"/>
        <family val="2"/>
        <scheme val="minor"/>
      </rPr>
      <t>Estatinas: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9900"/>
        <rFont val="Calibri"/>
        <family val="2"/>
        <scheme val="minor"/>
      </rPr>
      <t>35,1%</t>
    </r>
    <r>
      <rPr>
        <sz val="10"/>
        <color rgb="FF000000"/>
        <rFont val="Calibri"/>
        <family val="2"/>
        <scheme val="minor"/>
      </rPr>
      <t xml:space="preserve"> vs 24,9%; </t>
    </r>
    <r>
      <rPr>
        <b/>
        <sz val="10"/>
        <color rgb="FF000000"/>
        <rFont val="Calibri"/>
        <family val="2"/>
        <scheme val="minor"/>
      </rPr>
      <t>Glucocorticoides:</t>
    </r>
    <r>
      <rPr>
        <sz val="10"/>
        <color rgb="FF000000"/>
        <rFont val="Calibri"/>
        <family val="2"/>
        <scheme val="minor"/>
      </rPr>
      <t xml:space="preserve"> </t>
    </r>
    <r>
      <rPr>
        <sz val="10"/>
        <color rgb="FF009900"/>
        <rFont val="Calibri"/>
        <family val="2"/>
        <scheme val="minor"/>
      </rPr>
      <t>36,1</t>
    </r>
    <r>
      <rPr>
        <sz val="10"/>
        <color rgb="FF000000"/>
        <rFont val="Calibri"/>
        <family val="2"/>
        <scheme val="minor"/>
      </rPr>
      <t xml:space="preserve"> vs 16,9%</t>
    </r>
  </si>
  <si>
    <r>
      <t xml:space="preserve">retinoides tópicos: 0,3% vs 0,2%; retin orales: 0,6% vs 0,4%; tetraciclinas: 2,2% vs 1,6%; macrólidos: </t>
    </r>
    <r>
      <rPr>
        <sz val="10"/>
        <color rgb="FFFF0000"/>
        <rFont val="Calibri"/>
        <family val="2"/>
        <scheme val="minor"/>
      </rPr>
      <t>23,1%</t>
    </r>
    <r>
      <rPr>
        <sz val="10"/>
        <color theme="1"/>
        <rFont val="Calibri"/>
        <family val="2"/>
        <scheme val="minor"/>
      </rPr>
      <t xml:space="preserve"> vs 20,7%; aminoquinolinas: 6,2% vs 4,9%; amiodarona: 0,5% vs 0,4%; metoxipsoraleno: 0,1% vs 0,1%</t>
    </r>
  </si>
  <si>
    <r>
      <t xml:space="preserve">retinoides tópicos: 1,9% vs 1,9%; retin orales: 0,8% vs 0,2%; tetraciclinas: 4,6% vs 4,9%; macrólidos: </t>
    </r>
    <r>
      <rPr>
        <sz val="10"/>
        <color rgb="FFFF0000"/>
        <rFont val="Calibri"/>
        <family val="2"/>
        <scheme val="minor"/>
      </rPr>
      <t>42,5%</t>
    </r>
    <r>
      <rPr>
        <sz val="10"/>
        <color rgb="FF000000"/>
        <rFont val="Calibri"/>
        <family val="2"/>
        <scheme val="minor"/>
      </rPr>
      <t xml:space="preserve"> vs 37,6%; aminoquinolinas: </t>
    </r>
    <r>
      <rPr>
        <sz val="10"/>
        <color rgb="FFFF0000"/>
        <rFont val="Calibri"/>
        <family val="2"/>
        <scheme val="minor"/>
      </rPr>
      <t>18%</t>
    </r>
    <r>
      <rPr>
        <sz val="10"/>
        <color rgb="FF000000"/>
        <rFont val="Calibri"/>
        <family val="2"/>
        <scheme val="minor"/>
      </rPr>
      <t xml:space="preserve"> vs 15,2%; amiodarona: 1,1% vs 2,5%</t>
    </r>
  </si>
  <si>
    <r>
      <rPr>
        <b/>
        <sz val="10"/>
        <color rgb="FF000000"/>
        <rFont val="Calibri"/>
        <family val="2"/>
        <scheme val="minor"/>
      </rPr>
      <t>Entidades asociadas al uso de alcohol: &lt;1</t>
    </r>
    <r>
      <rPr>
        <sz val="10"/>
        <rFont val="Calibri"/>
        <family val="2"/>
        <scheme val="minor"/>
      </rPr>
      <t xml:space="preserve">% vs 1,9%; </t>
    </r>
    <r>
      <rPr>
        <b/>
        <sz val="10"/>
        <rFont val="Calibri"/>
        <family val="2"/>
        <scheme val="minor"/>
      </rPr>
      <t>Diabetes:</t>
    </r>
    <r>
      <rPr>
        <sz val="10"/>
        <rFont val="Calibri"/>
        <family val="2"/>
        <scheme val="minor"/>
      </rPr>
      <t xml:space="preserve"> 19,6%</t>
    </r>
    <r>
      <rPr>
        <sz val="10"/>
        <color rgb="FF000000"/>
        <rFont val="Calibri"/>
        <family val="2"/>
        <scheme val="minor"/>
      </rPr>
      <t xml:space="preserve"> vs 10,1%; </t>
    </r>
    <r>
      <rPr>
        <b/>
        <sz val="10"/>
        <rFont val="Calibri"/>
        <family val="2"/>
        <scheme val="minor"/>
      </rPr>
      <t>EPOC: 10,3</t>
    </r>
    <r>
      <rPr>
        <sz val="10"/>
        <rFont val="Calibri"/>
        <family val="2"/>
        <scheme val="minor"/>
      </rPr>
      <t>% vs 7,8%</t>
    </r>
    <r>
      <rPr>
        <sz val="10"/>
        <color rgb="FF000000"/>
        <rFont val="Calibri"/>
        <family val="2"/>
        <scheme val="minor"/>
      </rPr>
      <t xml:space="preserve">; </t>
    </r>
    <r>
      <rPr>
        <b/>
        <sz val="10"/>
        <color rgb="FF000000"/>
        <rFont val="Calibri"/>
        <family val="2"/>
        <scheme val="minor"/>
      </rPr>
      <t>Enf Renal Crónica:</t>
    </r>
    <r>
      <rPr>
        <sz val="10"/>
        <color rgb="FF000000"/>
        <rFont val="Calibri"/>
        <family val="2"/>
        <scheme val="minor"/>
      </rPr>
      <t xml:space="preserve"> &lt;1% vs 1,9%</t>
    </r>
  </si>
  <si>
    <r>
      <rPr>
        <b/>
        <sz val="10"/>
        <rFont val="Calibri"/>
        <family val="2"/>
        <scheme val="minor"/>
      </rPr>
      <t>Puntuación 0: 44</t>
    </r>
    <r>
      <rPr>
        <sz val="10"/>
        <rFont val="Calibri"/>
        <family val="2"/>
        <scheme val="minor"/>
      </rPr>
      <t xml:space="preserve">% vs 61%; </t>
    </r>
    <r>
      <rPr>
        <b/>
        <sz val="10"/>
        <rFont val="Calibri"/>
        <family val="2"/>
        <scheme val="minor"/>
      </rPr>
      <t>Puntuación 1: 22,3</t>
    </r>
    <r>
      <rPr>
        <sz val="10"/>
        <rFont val="Calibri"/>
        <family val="2"/>
        <scheme val="minor"/>
      </rPr>
      <t xml:space="preserve">% vs 26,8%; </t>
    </r>
    <r>
      <rPr>
        <b/>
        <sz val="10"/>
        <rFont val="Calibri"/>
        <family val="2"/>
        <scheme val="minor"/>
      </rPr>
      <t>Puntuación 2:</t>
    </r>
    <r>
      <rPr>
        <sz val="10"/>
        <rFont val="Calibri"/>
        <family val="2"/>
        <scheme val="minor"/>
      </rPr>
      <t xml:space="preserve"> 9,3% vs 9,2%; </t>
    </r>
    <r>
      <rPr>
        <b/>
        <sz val="10"/>
        <rFont val="Calibri"/>
        <family val="2"/>
        <scheme val="minor"/>
      </rPr>
      <t xml:space="preserve">Puntuación </t>
    </r>
    <r>
      <rPr>
        <b/>
        <sz val="10"/>
        <rFont val="Calibri"/>
        <family val="2"/>
      </rPr>
      <t>≥ 3:</t>
    </r>
    <r>
      <rPr>
        <sz val="10"/>
        <rFont val="Calibri"/>
        <family val="2"/>
      </rPr>
      <t xml:space="preserve"> </t>
    </r>
    <r>
      <rPr>
        <sz val="10"/>
        <color rgb="FFFF0000"/>
        <rFont val="Calibri"/>
        <family val="2"/>
      </rPr>
      <t>19,6%</t>
    </r>
    <r>
      <rPr>
        <sz val="10"/>
        <rFont val="Calibri"/>
        <family val="2"/>
      </rPr>
      <t xml:space="preserve"> vs 7,5%</t>
    </r>
  </si>
  <si>
    <t>Expuestos a HCTZ al menos 2 años., sin historia de cáncer (excepto melanoma), residente en Dinamarca 10 o más años; no tener anecdentes de transplante de órganos, o uso de azatioprina, o VIH o SIDA</t>
  </si>
  <si>
    <t>Carcinoma de piel de células de Merkel</t>
  </si>
  <si>
    <t>BAJA</t>
  </si>
  <si>
    <t>Grado de exposición a la luz UV</t>
  </si>
  <si>
    <t>Fotitipo cutáneo o raza, casos / controles</t>
  </si>
  <si>
    <r>
      <t xml:space="preserve">retinoides tópicos: 0% vs 0,01%; retin orales: 1% vs 0,4%; tetraciclinas: 1% vs 1,7%; macrólidos: </t>
    </r>
    <r>
      <rPr>
        <sz val="10"/>
        <color rgb="FFFF0000"/>
        <rFont val="Calibri"/>
        <family val="2"/>
        <scheme val="minor"/>
      </rPr>
      <t xml:space="preserve">36, </t>
    </r>
    <r>
      <rPr>
        <sz val="10"/>
        <color theme="1"/>
        <rFont val="Calibri"/>
        <family val="2"/>
        <scheme val="minor"/>
      </rPr>
      <t xml:space="preserve">22,3%; aminoquinolinas: </t>
    </r>
    <r>
      <rPr>
        <sz val="10"/>
        <color rgb="FFFF0000"/>
        <rFont val="Calibri"/>
        <family val="2"/>
        <scheme val="minor"/>
      </rPr>
      <t>26,2%</t>
    </r>
    <r>
      <rPr>
        <sz val="10"/>
        <color theme="1"/>
        <rFont val="Calibri"/>
        <family val="2"/>
        <scheme val="minor"/>
      </rPr>
      <t xml:space="preserve"> vs 6,2%; amiodarona: 1% vs 0,9%; metoxipsoraleno: 0% vs &lt;0,01%</t>
    </r>
  </si>
  <si>
    <t>Casos</t>
  </si>
  <si>
    <t>Controles</t>
  </si>
  <si>
    <t>Puntuaciones asignadas</t>
  </si>
  <si>
    <t>Evento sí</t>
  </si>
  <si>
    <t>Total</t>
  </si>
  <si>
    <t>% Evento sí</t>
  </si>
  <si>
    <t>Promedio ponderado</t>
  </si>
  <si>
    <r>
      <t>p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(1-p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</t>
    </r>
  </si>
  <si>
    <t>Numerador</t>
  </si>
  <si>
    <t>Denominador</t>
  </si>
  <si>
    <r>
      <t xml:space="preserve">χ² </t>
    </r>
    <r>
      <rPr>
        <b/>
        <vertAlign val="subscript"/>
        <sz val="10"/>
        <color rgb="FF0070C0"/>
        <rFont val="Calibri"/>
        <family val="2"/>
        <scheme val="minor"/>
      </rPr>
      <t>1 g l</t>
    </r>
    <r>
      <rPr>
        <b/>
        <sz val="10"/>
        <color rgb="FF0070C0"/>
        <rFont val="Calibri"/>
        <family val="2"/>
        <scheme val="minor"/>
      </rPr>
      <t xml:space="preserve"> =</t>
    </r>
  </si>
  <si>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</t>
    </r>
  </si>
  <si>
    <t>20190201-CasCon, BD DIN [HCLTZ vs otros o no], +=Melanoma. Pottegard</t>
  </si>
  <si>
    <t>Pottegard A, Pedersen SA, Schmidt SAJ, Holmich LR, Friis S, Gaist D. Association of Hydrochlorothiazide Use and Risk of Malignant Melanoma. JAMA Intern Med. 2018 Aug 1;178(8):1120-22.</t>
  </si>
  <si>
    <r>
      <t xml:space="preserve">HCTZ dosis acumulativa </t>
    </r>
    <r>
      <rPr>
        <b/>
        <sz val="11"/>
        <color rgb="FFFF0066"/>
        <rFont val="Calibri"/>
        <family val="2"/>
        <scheme val="minor"/>
      </rPr>
      <t>en mg</t>
    </r>
  </si>
  <si>
    <t>Melanoma maligno</t>
  </si>
  <si>
    <t>1 - 24.999</t>
  </si>
  <si>
    <t>25.000-49.999</t>
  </si>
  <si>
    <t>50.000-99.000</t>
  </si>
  <si>
    <t>≥ 100.000</t>
  </si>
  <si>
    <t>20171031-CasCon, BD DIN [HCLTZ vs otros o no] +CaLabio CélEscam. Pottegard</t>
  </si>
  <si>
    <t xml:space="preserve">Pottegard A, Hallas J, Olesen M, Svendsen MT, Habel LA, Friedman GD, Friis S. Hydrochlorothiazide use is strongly associated with risk of lip cancer. J Intern Med. 2017 Oct;282(4):322-331. </t>
  </si>
  <si>
    <r>
      <t xml:space="preserve">HCTZ dosis acumuoativa en tiempo, </t>
    </r>
    <r>
      <rPr>
        <b/>
        <sz val="11"/>
        <color rgb="FFFF0000"/>
        <rFont val="Calibri"/>
        <family val="2"/>
        <scheme val="minor"/>
      </rPr>
      <t>en años</t>
    </r>
  </si>
  <si>
    <t>Ca labio Cél Escam piel</t>
  </si>
  <si>
    <t>0 a 1</t>
  </si>
  <si>
    <t>1 a 2</t>
  </si>
  <si>
    <t>2 a 3</t>
  </si>
  <si>
    <t>3  a 5</t>
  </si>
  <si>
    <t>más de 5</t>
  </si>
  <si>
    <t>1 - 4.999</t>
  </si>
  <si>
    <t>5.000-9.999</t>
  </si>
  <si>
    <t>10.000-24.999</t>
  </si>
  <si>
    <t>50.000-74.999</t>
  </si>
  <si>
    <t>75.000-99.999</t>
  </si>
  <si>
    <t xml:space="preserve">Pedersen SA, Gaist D, Schmidt SAJ, Hölmich LR, Friis S, Pottegard A. Hydrochlorothiazide use and risk of nonmelanoma skin cancer: A nationwide case-control study from Denmark. J Am Acad Dermatol. 2018 Apr;78(4):673-681.e9. </t>
  </si>
  <si>
    <t>Ca piel Basocelular</t>
  </si>
  <si>
    <t>1-9.999</t>
  </si>
  <si>
    <t>10000-24999</t>
  </si>
  <si>
    <t>25000-49999</t>
  </si>
  <si>
    <t>50000-74999</t>
  </si>
  <si>
    <t>75000-99999</t>
  </si>
  <si>
    <t>100000-149999</t>
  </si>
  <si>
    <t>150000-199999</t>
  </si>
  <si>
    <t>≥ 200.000</t>
  </si>
  <si>
    <t>Ca piel Células Espinosas</t>
  </si>
  <si>
    <t>No puede descartarse que sí lo hay, pues con los datos crudos se obtiene un valor de p &lt; 0,01 mediante el test chi cuadrado de tendencia.</t>
  </si>
  <si>
    <t>a) De 1-24.999 mg: OR 1,14 (1,07-1,22); b) De 25.000-49.999 mg: OR 1,18 (1,05-1,32); c) De 50.000-99.999 mg: OR 1,21 (1,05-1,4); y d) &gt;100.000 mg: OR 1,21 (1,04-1,42)</t>
  </si>
  <si>
    <t>19.273 /192.730 (10 controles por cada caso)</t>
  </si>
  <si>
    <t>Menalona maligno</t>
  </si>
  <si>
    <t>No puede confirmarse que sí lo hay, pues con los datos crudos se obtiene un valor de p = 0,11 mediante el test chi cuadrado de tendencia. Con los datos ajustados p= 0,42.</t>
  </si>
  <si>
    <t>No se encontró diferencia estadísticamente significativa entre los usuarios frente a los no usuarios de HCTZ.</t>
  </si>
  <si>
    <t>No hay datos ni siquiera para calcularlo</t>
  </si>
  <si>
    <t>Edad, casos / controles, Mediana años (IQR)</t>
  </si>
  <si>
    <r>
      <rPr>
        <u/>
        <sz val="11"/>
        <color theme="1"/>
        <rFont val="Calibri"/>
        <family val="2"/>
        <scheme val="minor"/>
      </rPr>
      <t>Abreviaturas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AAS:</t>
    </r>
    <r>
      <rPr>
        <sz val="11"/>
        <color theme="1"/>
        <rFont val="Calibri"/>
        <family val="2"/>
        <scheme val="minor"/>
      </rPr>
      <t xml:space="preserve"> ácido acetil salicílico; </t>
    </r>
    <r>
      <rPr>
        <b/>
        <sz val="11"/>
        <color theme="1"/>
        <rFont val="Calibri"/>
        <family val="2"/>
        <scheme val="minor"/>
      </rPr>
      <t xml:space="preserve">AINE: </t>
    </r>
    <r>
      <rPr>
        <sz val="11"/>
        <color theme="1"/>
        <rFont val="Calibri"/>
        <family val="2"/>
        <scheme val="minor"/>
      </rPr>
      <t xml:space="preserve">antiinflamatorio no esteroiddeo; </t>
    </r>
    <r>
      <rPr>
        <b/>
        <sz val="11"/>
        <color theme="1"/>
        <rFont val="Calibri"/>
        <family val="2"/>
        <scheme val="minor"/>
      </rPr>
      <t>BD:</t>
    </r>
    <r>
      <rPr>
        <sz val="11"/>
        <color theme="1"/>
        <rFont val="Calibri"/>
        <family val="2"/>
        <scheme val="minor"/>
      </rPr>
      <t xml:space="preserve"> base(s) de datos; </t>
    </r>
    <r>
      <rPr>
        <b/>
        <sz val="12"/>
        <color theme="1"/>
        <rFont val="Calibri"/>
        <family val="2"/>
        <scheme val="minor"/>
      </rPr>
      <t xml:space="preserve">n.i.: </t>
    </r>
    <r>
      <rPr>
        <sz val="11"/>
        <color theme="1"/>
        <rFont val="Calibri"/>
        <family val="2"/>
        <scheme val="minor"/>
      </rPr>
      <t xml:space="preserve">no informa; </t>
    </r>
    <r>
      <rPr>
        <b/>
        <sz val="11"/>
        <color theme="1"/>
        <rFont val="Calibri"/>
        <family val="2"/>
        <scheme val="minor"/>
      </rPr>
      <t xml:space="preserve">CIE 10: </t>
    </r>
    <r>
      <rPr>
        <sz val="11"/>
        <color theme="1"/>
        <rFont val="Calibri"/>
        <family val="2"/>
        <scheme val="minor"/>
      </rPr>
      <t xml:space="preserve">clasificación internacional de enfermedades, edición 10ª; </t>
    </r>
    <r>
      <rPr>
        <b/>
        <sz val="11"/>
        <color theme="1"/>
        <rFont val="Calibri"/>
        <family val="2"/>
        <scheme val="minor"/>
      </rPr>
      <t>DM:</t>
    </r>
    <r>
      <rPr>
        <sz val="11"/>
        <color theme="1"/>
        <rFont val="Calibri"/>
        <family val="2"/>
        <scheme val="minor"/>
      </rPr>
      <t xml:space="preserve"> diabetes mellitus; </t>
    </r>
    <r>
      <rPr>
        <b/>
        <sz val="11"/>
        <color theme="1"/>
        <rFont val="Calibri"/>
        <family val="2"/>
        <scheme val="minor"/>
      </rPr>
      <t>DES:</t>
    </r>
    <r>
      <rPr>
        <sz val="11"/>
        <color theme="1"/>
        <rFont val="Calibri"/>
        <family val="2"/>
        <scheme val="minor"/>
      </rPr>
      <t xml:space="preserve"> diferencia estadísticamente significativa; </t>
    </r>
    <r>
      <rPr>
        <b/>
        <sz val="11"/>
        <color theme="1"/>
        <rFont val="Calibri"/>
        <family val="2"/>
        <scheme val="minor"/>
      </rPr>
      <t>No DES:</t>
    </r>
    <r>
      <rPr>
        <sz val="11"/>
        <color theme="1"/>
        <rFont val="Calibri"/>
        <family val="2"/>
        <scheme val="minor"/>
      </rPr>
      <t xml:space="preserve"> diferencia no estadísticamente significativa; </t>
    </r>
    <r>
      <rPr>
        <b/>
        <sz val="11"/>
        <color theme="1"/>
        <rFont val="Calibri"/>
        <family val="2"/>
        <scheme val="minor"/>
      </rPr>
      <t>HCTZ:</t>
    </r>
    <r>
      <rPr>
        <sz val="11"/>
        <color theme="1"/>
        <rFont val="Calibri"/>
        <family val="2"/>
        <scheme val="minor"/>
      </rPr>
      <t xml:space="preserve"> hidroclorotiazida; </t>
    </r>
    <r>
      <rPr>
        <b/>
        <sz val="11"/>
        <color theme="1"/>
        <rFont val="Calibri"/>
        <family val="2"/>
        <scheme val="minor"/>
      </rPr>
      <t>OR:</t>
    </r>
    <r>
      <rPr>
        <sz val="11"/>
        <color theme="1"/>
        <rFont val="Calibri"/>
        <family val="2"/>
        <scheme val="minor"/>
      </rPr>
      <t xml:space="preserve"> odds ratio</t>
    </r>
  </si>
  <si>
    <t>Test Chi cuadrado de tendencia</t>
  </si>
  <si>
    <t>Evento no</t>
  </si>
  <si>
    <t>Justificamos el ascenso por: 1) la validez moderada de la exposición,y moderada-alta del caso; 2) el ajuste por 12 covariables; 2) el gradiente de dosis-respuesta. No estimamos más ascenso por: a) no disponer de datos de variables de confusión conocidas (fototipo cutáneo, fumadores, exposición solar); y b) no poder descartar la posible influencia de otras variables de confusión no introducidas en el modelo, o desconocidas.</t>
  </si>
  <si>
    <t>VALIDEZ DE LA EVIDENCIA DE LA ASOCIACIÓN ENTRE LA EXPOSICIÓN Y EL EVENTO</t>
  </si>
  <si>
    <t>Justificamos el ascenso por: 1) la validez moderada de la exposición, y moderada-alta del caso; 2) el ajuste por 12 covariables; 2) el gradiente de dosis-respuesta. No estimamos más ascenso por: a) no disponer de datos de variables de confusión conocidas (fototipo cutáneo, fumadores, exposición solar); y b) no poder descartar la posible influencia de otras variables de confusión no introducidas en el modelo, o desconocidas.</t>
  </si>
  <si>
    <t>No estimamos más ascenso de la validez por: a) no hay un significativo gradiente dosis-respuesta); b) no disponer de datos de variables de confusión conocidas (fototipo cutáneo, fumadores, exposición solar); y c) no poder descartar la posible influencia de otras variables de confusión no introducidas en el modelo, o desconocidas. Y todo ello a pesar de: 1) la validez moderada de la exposición, y moderada-alta del caso; y 2) el ajuste por 12 covariables.</t>
  </si>
  <si>
    <t>20180430-CasCon, BD DIN [HCLTZ vs otros o no] +CaPielNoMel. Pedersen</t>
  </si>
  <si>
    <r>
      <rPr>
        <b/>
        <sz val="14"/>
        <color rgb="FF993300"/>
        <rFont val="Calibri"/>
        <family val="2"/>
        <scheme val="minor"/>
      </rPr>
      <t xml:space="preserve">Tabla 1. </t>
    </r>
    <r>
      <rPr>
        <b/>
        <sz val="14"/>
        <color theme="1"/>
        <rFont val="Calibri"/>
        <family val="2"/>
        <scheme val="minor"/>
      </rPr>
      <t>Validez de la evidencia de la exposición, de los eventos  y de la asociación entre ambos. Estudios de casos y controles. Casos de cáncer de piel del labio de células escamoas, exposición a HCTZ alta frente a exposiciòn baja o nula.</t>
    </r>
  </si>
  <si>
    <r>
      <t xml:space="preserve">Cáncer piel de labio de células espinosas, Pottegard 2017 </t>
    </r>
    <r>
      <rPr>
        <b/>
        <sz val="11"/>
        <color rgb="FF0070C0"/>
        <rFont val="Calibri"/>
        <family val="2"/>
        <scheme val="minor"/>
      </rPr>
      <t>(2)</t>
    </r>
  </si>
  <si>
    <r>
      <t xml:space="preserve"> Cáncer de piel de células basales, Pedersen 2018 </t>
    </r>
    <r>
      <rPr>
        <b/>
        <sz val="11"/>
        <color rgb="FF0070C0"/>
        <rFont val="Calibri"/>
        <family val="2"/>
        <scheme val="minor"/>
      </rPr>
      <t>(3)</t>
    </r>
  </si>
  <si>
    <r>
      <t xml:space="preserve">Cáncer de piel de células escamosas, Pedersen 2018 </t>
    </r>
    <r>
      <rPr>
        <b/>
        <sz val="11"/>
        <color rgb="FF0070C0"/>
        <rFont val="Calibri"/>
        <family val="2"/>
        <scheme val="minor"/>
      </rPr>
      <t>(3)</t>
    </r>
    <r>
      <rPr>
        <b/>
        <sz val="11"/>
        <color rgb="FF000000"/>
        <rFont val="Calibri"/>
        <family val="2"/>
        <scheme val="minor"/>
      </rPr>
      <t xml:space="preserve"> </t>
    </r>
  </si>
  <si>
    <r>
      <t xml:space="preserve">Cáncer de piel de células de Merkel, Pedersen 2019 </t>
    </r>
    <r>
      <rPr>
        <b/>
        <sz val="11"/>
        <color rgb="FF0070C0"/>
        <rFont val="Calibri"/>
        <family val="2"/>
        <scheme val="minor"/>
      </rPr>
      <t>(4)</t>
    </r>
  </si>
  <si>
    <r>
      <t xml:space="preserve">Melanoma maligno, Pedersen 2019 </t>
    </r>
    <r>
      <rPr>
        <b/>
        <sz val="11"/>
        <color rgb="FF0070C0"/>
        <rFont val="Calibri"/>
        <family val="2"/>
        <scheme val="minor"/>
      </rPr>
      <t>(5)</t>
    </r>
    <r>
      <rPr>
        <b/>
        <sz val="11"/>
        <color rgb="FF000000"/>
        <rFont val="Calibri"/>
        <family val="2"/>
        <scheme val="minor"/>
      </rPr>
      <t xml:space="preserve"> </t>
    </r>
  </si>
  <si>
    <t>odds = p ((1-p) =&gt;  p = odds / (1+odds)</t>
  </si>
  <si>
    <t>Cálculo de la odds ratio (OR) con sus IC, cuando es intercambiable por el RR (ECA y Est Cohortes)</t>
  </si>
  <si>
    <t>Ver pág 334 Mét Inv Clín y Epid. Argimón y Jiménez Villa</t>
  </si>
  <si>
    <r>
      <rPr>
        <b/>
        <sz val="10"/>
        <color rgb="FF0000FF"/>
        <rFont val="Calibri"/>
        <family val="2"/>
        <scheme val="minor"/>
      </rPr>
      <t>Abreviaturas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OR: </t>
    </r>
    <r>
      <rPr>
        <sz val="10"/>
        <rFont val="Calibri"/>
        <family val="2"/>
        <scheme val="minor"/>
      </rPr>
      <t xml:space="preserve">odds ratio; </t>
    </r>
    <r>
      <rPr>
        <b/>
        <sz val="10"/>
        <rFont val="Calibri"/>
        <family val="2"/>
        <scheme val="minor"/>
      </rPr>
      <t xml:space="preserve">IC 95%: </t>
    </r>
    <r>
      <rPr>
        <sz val="10"/>
        <rFont val="Calibri"/>
        <family val="2"/>
        <scheme val="minor"/>
      </rPr>
      <t>intervalo de confianza al 95%</t>
    </r>
  </si>
  <si>
    <t>Para transformar OR en RR, tenemos que conocer el RAc</t>
  </si>
  <si>
    <t xml:space="preserve">OR =  (RAi/(1-RAi)) / ((RAc /(1-RAc))  </t>
  </si>
  <si>
    <t>RAi = OR*RAc / (1-RAc + OR*RAc)</t>
  </si>
  <si>
    <t>Enfermos</t>
  </si>
  <si>
    <t>No enfermos</t>
  </si>
  <si>
    <t>Paso de Odds a Probabilidad</t>
  </si>
  <si>
    <t>RR = RAi / RAc = OR / [ (1-RAc) + (OR*RAc) ]</t>
  </si>
  <si>
    <r>
      <rPr>
        <b/>
        <sz val="10"/>
        <rFont val="Calibri"/>
        <family val="2"/>
      </rPr>
      <t xml:space="preserve">Si </t>
    </r>
    <r>
      <rPr>
        <b/>
        <sz val="10"/>
        <color indexed="12"/>
        <rFont val="Calibri"/>
        <family val="2"/>
      </rPr>
      <t>Odds =</t>
    </r>
  </si>
  <si>
    <t>=&gt; Probablidad =</t>
  </si>
  <si>
    <t>OR</t>
  </si>
  <si>
    <t>% RAc crudo</t>
  </si>
  <si>
    <t>RR</t>
  </si>
  <si>
    <t>RAi</t>
  </si>
  <si>
    <t>RAR</t>
  </si>
  <si>
    <t>NNT</t>
  </si>
  <si>
    <t>Expuestos</t>
  </si>
  <si>
    <t>No expuestos</t>
  </si>
  <si>
    <t>Paso de Probabilidad a Odds</t>
  </si>
  <si>
    <r>
      <rPr>
        <b/>
        <sz val="10"/>
        <rFont val="Calibri"/>
        <family val="2"/>
      </rPr>
      <t xml:space="preserve">Si </t>
    </r>
    <r>
      <rPr>
        <b/>
        <sz val="10"/>
        <color indexed="14"/>
        <rFont val="Calibri"/>
        <family val="2"/>
      </rPr>
      <t>Probablidad =</t>
    </r>
  </si>
  <si>
    <t>=&gt; Odds =</t>
  </si>
  <si>
    <t>Este es el método de Woolf</t>
  </si>
  <si>
    <t>Los límites del intervalos de confianza son los exponentes neperianos o antilogaritmos de la ecuación [ln OR +- Z α/2 x EE (ln OR) ]</t>
  </si>
  <si>
    <r>
      <t xml:space="preserve">EE del ln OR= Raíz (varianza del ln OR) = (1/a + 1/b + 1/c + 1/d); </t>
    </r>
    <r>
      <rPr>
        <sz val="10"/>
        <color indexed="17"/>
        <rFont val="Calibri"/>
        <family val="2"/>
      </rPr>
      <t>Recuérdese que el "ln OR" es el coeficiente de regresión (logística) llamado "bi"; ln OR = b; =&gt; OR=antilog bi = e^bi</t>
    </r>
  </si>
  <si>
    <r>
      <t>ln OR</t>
    </r>
    <r>
      <rPr>
        <b/>
        <sz val="10"/>
        <color indexed="17"/>
        <rFont val="Calibri"/>
        <family val="2"/>
      </rPr>
      <t xml:space="preserve"> = bi</t>
    </r>
  </si>
  <si>
    <t>EE (ln OR) = Raíz (1/a + 1/b + 1/c + 1/d)</t>
  </si>
  <si>
    <t>Z α/2 (0,05)</t>
  </si>
  <si>
    <t>ln de límite inferior</t>
  </si>
  <si>
    <t>ln de límite superior</t>
  </si>
  <si>
    <t>Límite inferior del IC</t>
  </si>
  <si>
    <t>Límite superior del IC</t>
  </si>
  <si>
    <t>(</t>
  </si>
  <si>
    <t>-</t>
  </si>
  <si>
    <t>)</t>
  </si>
  <si>
    <t>%</t>
  </si>
  <si>
    <t>Odds (expuestos / no expuestos) CASOS</t>
  </si>
  <si>
    <t>Odds (expuestos / no expuestos) CONTROLES</t>
  </si>
  <si>
    <t>Nº event Interv (%)</t>
  </si>
  <si>
    <t>Nº event Control (%)</t>
  </si>
  <si>
    <t>a</t>
  </si>
  <si>
    <t>/</t>
  </si>
  <si>
    <t>% event ajustados, Grupo Interv</t>
  </si>
  <si>
    <t>% event crudos, Grupo control</t>
  </si>
  <si>
    <t>RR (IC 95%) ajustado (obtenido desde el OR ajustado)</t>
  </si>
  <si>
    <t>RAR (IC 95%)</t>
  </si>
  <si>
    <t>NNT (IC 95%)</t>
  </si>
  <si>
    <t>20171031-CasCon, BD DIN [HCLTZ vs otros o no] +CaLabio cél escam. Pottegard</t>
  </si>
  <si>
    <t>Pottegard A, Hallas J, Olesen M, Svendsen MT, Habel LA, Friedman GD, Friis S. Hydrochlorothiazide use is strongly associated with risk of lip cancer. J Intern Med. 2017 Oct;282(4):322-331.</t>
  </si>
  <si>
    <t>Hosp Cáncer células escamosas piel labio</t>
  </si>
  <si>
    <r>
      <rPr>
        <b/>
        <sz val="11"/>
        <color rgb="FF993300"/>
        <rFont val="Calibri"/>
        <family val="2"/>
        <scheme val="minor"/>
      </rPr>
      <t xml:space="preserve">Tabla 2. </t>
    </r>
    <r>
      <rPr>
        <b/>
        <sz val="11"/>
        <color theme="1"/>
        <rFont val="Calibri"/>
        <family val="2"/>
        <scheme val="minor"/>
      </rPr>
      <t>Con validez de evidencia BAJA, estimación de los eventos esperables en la población española, aplicando los efectos estimados por Pedersen et al a los registros de casos CMBD por año promedios de 2014-15.</t>
    </r>
  </si>
  <si>
    <t>% event/año ajustados, Grupo HCTZ</t>
  </si>
  <si>
    <t>% event/año crudos, Grupo sin HCTZ</t>
  </si>
  <si>
    <t>RAR (IC 95%) por año</t>
  </si>
  <si>
    <t>NNT (IC 95%) por año</t>
  </si>
  <si>
    <t>Carcinoma de células escamosas piel labio</t>
  </si>
  <si>
    <t>Uso de HCTZ &gt; 25.000 mg</t>
  </si>
  <si>
    <t>Todas las edades población española (media del CMBD 2014-15)</t>
  </si>
  <si>
    <t>3,9 (3-4,9)</t>
  </si>
  <si>
    <t>-0,001% (-0,001% a -0,001%)</t>
  </si>
  <si>
    <t>-116038 (-168255 a -86285)</t>
  </si>
  <si>
    <t>Tramo CMBD 70-79 años (similar a la mediana del CasCon Potegard et al)</t>
  </si>
  <si>
    <t>-0,003% (-0,002% a -0,005%)</t>
  </si>
  <si>
    <t>-29478 (-42743 a -21920)</t>
  </si>
  <si>
    <t>Uso de HCTZ &gt; 100.000 mg</t>
  </si>
  <si>
    <t>7,7 (5,7-10,5)</t>
  </si>
  <si>
    <t>-0,002% (-0,001% a -0,003%)</t>
  </si>
  <si>
    <t>-50226 (-71598 a -35423)</t>
  </si>
  <si>
    <t>-0,008% (-0,005% a -0,011%)</t>
  </si>
  <si>
    <t>-12760 (-18189 a -8999)</t>
  </si>
  <si>
    <t>20180430-CasCon, BD DIN [HCLTZ vs otros o no] +CaPielNoMel Pedersen</t>
  </si>
  <si>
    <t>Hosp tumor maligno piel no melanoma: 1) de células basales de la epidermis (o baso-celular); y b) de la capa de células escamosas (o espinocelular, que tb se denomina epidermoide)</t>
  </si>
  <si>
    <r>
      <rPr>
        <b/>
        <sz val="11"/>
        <color rgb="FF993300"/>
        <rFont val="Calibri"/>
        <family val="2"/>
        <scheme val="minor"/>
      </rPr>
      <t>Tabla 3:</t>
    </r>
    <r>
      <rPr>
        <b/>
        <sz val="11"/>
        <color theme="1"/>
        <rFont val="Calibri"/>
        <family val="2"/>
        <scheme val="minor"/>
      </rPr>
      <t xml:space="preserve"> Con validez de evidencia baja, estimación de los eventos esperables en la población española, aplicando los efectos estimados por Pedersen y col a los registros de casos CMBD por año promedios de 2014-15.</t>
    </r>
  </si>
  <si>
    <t>Alto uso de HCTZ (&gt; 50.000mg)</t>
  </si>
  <si>
    <t>Carcinoma de piel basocelular</t>
  </si>
  <si>
    <t>1,29 (1,23-1,35)</t>
  </si>
  <si>
    <t>-0,001% (-0,001% a -0,002%)</t>
  </si>
  <si>
    <t>-79711 (-100505 a -66047)</t>
  </si>
  <si>
    <t>Tramo 60-69 años (CMBD), por ser edad similar al CasCon Pedersen y col</t>
  </si>
  <si>
    <t>-0,002% (-0,001% a -0,002%)</t>
  </si>
  <si>
    <t>-54843 (-69149 a -45441)</t>
  </si>
  <si>
    <t>Población española, según MA Tejera y col (incluye estudios 1982-2011)</t>
  </si>
  <si>
    <t>-0,033% (-0,026% a -0,04%)</t>
  </si>
  <si>
    <t>-3055 (-3851 a -2531)</t>
  </si>
  <si>
    <t>Carcinoma de piel células escamosas</t>
  </si>
  <si>
    <t>3,98 (3,68-4,31)</t>
  </si>
  <si>
    <t>-0,011% (-0,01% a -0,012%)</t>
  </si>
  <si>
    <t>-9449 (-10506 a -8507)</t>
  </si>
  <si>
    <t>Tramo 70-69 años (CMBD), por ser edad similar al CasCon Pedersen y col</t>
  </si>
  <si>
    <t>-0,01% (-0,009% a -0,011%)</t>
  </si>
  <si>
    <t>-10051 (-11176 a -9049)</t>
  </si>
  <si>
    <t>3,98 (3,68-4,3)</t>
  </si>
  <si>
    <t>-0,114% (-0,102% a -0,126%)</t>
  </si>
  <si>
    <t>-881 (-979 a -793)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</si>
</sst>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€_-;\-* #,##0.00\ _€_-;_-* &quot;-&quot;??\ _€_-;_-@_-"/>
    <numFmt numFmtId="164" formatCode="0.0000"/>
    <numFmt numFmtId="165" formatCode="0.0"/>
    <numFmt numFmtId="166" formatCode="0.0%"/>
    <numFmt numFmtId="167" formatCode="_-* #,##0\ _€_-;\-* #,##0\ _€_-;_-* &quot;-&quot;??\ _€_-;_-@_-"/>
    <numFmt numFmtId="168" formatCode="0.0000%"/>
    <numFmt numFmtId="169" formatCode="_-* #,##0.000\ _€_-;\-* #,##0.000\ _€_-;_-* &quot;-&quot;??\ _€_-;_-@_-"/>
    <numFmt numFmtId="170" formatCode="0.000"/>
    <numFmt numFmtId="171" formatCode="_-* #,##0.000\ _€_-;\-* #,##0.000\ _€_-;_-* &quot;-&quot;???\ _€_-;_-@_-"/>
    <numFmt numFmtId="172" formatCode="_-* #,##0.0000\ _€_-;\-* #,##0.0000\ _€_-;_-* &quot;-&quot;??\ _€_-;_-@_-"/>
    <numFmt numFmtId="173" formatCode="0.000%"/>
  </numFmts>
  <fonts count="6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rgb="FF0099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u/>
      <sz val="16"/>
      <color rgb="FF0000FF"/>
      <name val="Calibri"/>
      <family val="2"/>
      <scheme val="minor"/>
    </font>
    <font>
      <sz val="11"/>
      <color theme="1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99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933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indexed="52"/>
      <name val="Calibri"/>
      <family val="2"/>
      <scheme val="minor"/>
    </font>
    <font>
      <sz val="10"/>
      <color indexed="50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10"/>
      <color indexed="12"/>
      <name val="Calibri"/>
      <family val="2"/>
    </font>
    <font>
      <b/>
      <sz val="10"/>
      <color indexed="14"/>
      <name val="Calibri"/>
      <family val="2"/>
    </font>
    <font>
      <b/>
      <sz val="10"/>
      <color indexed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17"/>
      <name val="Calibri"/>
      <family val="2"/>
    </font>
    <font>
      <b/>
      <sz val="10"/>
      <color indexed="50"/>
      <name val="Calibri"/>
      <family val="2"/>
      <scheme val="minor"/>
    </font>
    <font>
      <b/>
      <sz val="10"/>
      <color indexed="17"/>
      <name val="Calibri"/>
      <family val="2"/>
    </font>
    <font>
      <b/>
      <sz val="11"/>
      <color rgb="FFFF6600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1"/>
      <color rgb="FFFF66CC"/>
      <name val="Calibri"/>
      <family val="2"/>
      <scheme val="minor"/>
    </font>
    <font>
      <sz val="10"/>
      <color rgb="FFFF6600"/>
      <name val="Calibri"/>
      <family val="2"/>
      <scheme val="minor"/>
    </font>
    <font>
      <sz val="11"/>
      <color rgb="FFFF660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311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left" vertical="top"/>
    </xf>
    <xf numFmtId="0" fontId="2" fillId="2" borderId="0" xfId="0" applyFont="1" applyFill="1"/>
    <xf numFmtId="0" fontId="5" fillId="2" borderId="0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2" borderId="0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5" fillId="0" borderId="0" xfId="1" applyFont="1" applyFill="1" applyBorder="1" applyAlignment="1">
      <alignment horizontal="center" vertical="top"/>
    </xf>
    <xf numFmtId="0" fontId="7" fillId="2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3" borderId="15" xfId="1" applyFont="1" applyFill="1" applyBorder="1" applyAlignment="1">
      <alignment horizontal="left" vertical="center" wrapText="1"/>
    </xf>
    <xf numFmtId="0" fontId="7" fillId="2" borderId="15" xfId="1" applyFont="1" applyFill="1" applyBorder="1" applyAlignment="1">
      <alignment horizontal="left" vertical="center" wrapText="1"/>
    </xf>
    <xf numFmtId="0" fontId="6" fillId="2" borderId="15" xfId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vertical="center"/>
    </xf>
    <xf numFmtId="0" fontId="22" fillId="0" borderId="0" xfId="0" applyFont="1"/>
    <xf numFmtId="0" fontId="16" fillId="0" borderId="0" xfId="0" applyFont="1"/>
    <xf numFmtId="0" fontId="0" fillId="0" borderId="15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23" fillId="0" borderId="0" xfId="0" applyFont="1"/>
    <xf numFmtId="3" fontId="1" fillId="0" borderId="8" xfId="0" applyNumberFormat="1" applyFont="1" applyBorder="1" applyAlignment="1">
      <alignment horizontal="right"/>
    </xf>
    <xf numFmtId="166" fontId="16" fillId="0" borderId="8" xfId="3" applyNumberFormat="1" applyFont="1" applyBorder="1"/>
    <xf numFmtId="3" fontId="24" fillId="0" borderId="8" xfId="0" applyNumberFormat="1" applyFont="1" applyBorder="1"/>
    <xf numFmtId="3" fontId="25" fillId="0" borderId="8" xfId="0" applyNumberFormat="1" applyFont="1" applyBorder="1"/>
    <xf numFmtId="3" fontId="16" fillId="0" borderId="0" xfId="0" applyNumberFormat="1" applyFont="1"/>
    <xf numFmtId="3" fontId="16" fillId="0" borderId="8" xfId="2" applyNumberFormat="1" applyFont="1" applyBorder="1"/>
    <xf numFmtId="0" fontId="0" fillId="0" borderId="0" xfId="0" applyFont="1" applyAlignment="1">
      <alignment horizontal="right"/>
    </xf>
    <xf numFmtId="166" fontId="1" fillId="0" borderId="0" xfId="3" applyNumberFormat="1" applyFont="1"/>
    <xf numFmtId="3" fontId="26" fillId="0" borderId="14" xfId="0" applyNumberFormat="1" applyFont="1" applyBorder="1"/>
    <xf numFmtId="3" fontId="27" fillId="0" borderId="14" xfId="0" applyNumberFormat="1" applyFont="1" applyBorder="1"/>
    <xf numFmtId="3" fontId="1" fillId="0" borderId="8" xfId="0" applyNumberFormat="1" applyFont="1" applyBorder="1"/>
    <xf numFmtId="0" fontId="0" fillId="0" borderId="0" xfId="0" applyFont="1" applyFill="1" applyAlignment="1">
      <alignment horizontal="right"/>
    </xf>
    <xf numFmtId="166" fontId="16" fillId="4" borderId="8" xfId="3" applyNumberFormat="1" applyFont="1" applyFill="1" applyBorder="1"/>
    <xf numFmtId="0" fontId="19" fillId="0" borderId="8" xfId="0" applyFont="1" applyBorder="1" applyAlignment="1">
      <alignment horizontal="right" vertical="center"/>
    </xf>
    <xf numFmtId="165" fontId="16" fillId="0" borderId="8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164" fontId="10" fillId="4" borderId="3" xfId="2" applyNumberFormat="1" applyFont="1" applyFill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1" fillId="0" borderId="0" xfId="0" applyFont="1" applyAlignment="1">
      <alignment vertical="center"/>
    </xf>
    <xf numFmtId="3" fontId="23" fillId="6" borderId="9" xfId="2" applyNumberFormat="1" applyFont="1" applyFill="1" applyBorder="1" applyAlignment="1">
      <alignment horizontal="center"/>
    </xf>
    <xf numFmtId="3" fontId="16" fillId="0" borderId="12" xfId="0" applyNumberFormat="1" applyFont="1" applyBorder="1"/>
    <xf numFmtId="4" fontId="16" fillId="0" borderId="0" xfId="0" applyNumberFormat="1" applyFont="1"/>
    <xf numFmtId="3" fontId="16" fillId="0" borderId="10" xfId="2" applyNumberFormat="1" applyFont="1" applyBorder="1"/>
    <xf numFmtId="3" fontId="16" fillId="0" borderId="0" xfId="0" applyNumberFormat="1" applyFont="1" applyBorder="1"/>
    <xf numFmtId="3" fontId="16" fillId="0" borderId="4" xfId="2" applyNumberFormat="1" applyFont="1" applyBorder="1"/>
    <xf numFmtId="3" fontId="23" fillId="6" borderId="8" xfId="2" applyNumberFormat="1" applyFont="1" applyFill="1" applyBorder="1" applyAlignment="1">
      <alignment horizontal="center"/>
    </xf>
    <xf numFmtId="3" fontId="16" fillId="0" borderId="5" xfId="0" applyNumberFormat="1" applyFont="1" applyBorder="1" applyAlignment="1">
      <alignment horizontal="center"/>
    </xf>
    <xf numFmtId="3" fontId="24" fillId="0" borderId="5" xfId="0" applyNumberFormat="1" applyFont="1" applyBorder="1"/>
    <xf numFmtId="3" fontId="24" fillId="0" borderId="0" xfId="0" applyNumberFormat="1" applyFont="1" applyBorder="1"/>
    <xf numFmtId="3" fontId="1" fillId="0" borderId="0" xfId="0" applyNumberFormat="1" applyFont="1" applyBorder="1"/>
    <xf numFmtId="3" fontId="1" fillId="0" borderId="13" xfId="0" applyNumberFormat="1" applyFont="1" applyBorder="1"/>
    <xf numFmtId="3" fontId="1" fillId="4" borderId="8" xfId="0" applyNumberFormat="1" applyFont="1" applyFill="1" applyBorder="1" applyAlignment="1">
      <alignment horizontal="center"/>
    </xf>
    <xf numFmtId="3" fontId="24" fillId="0" borderId="17" xfId="0" applyNumberFormat="1" applyFont="1" applyBorder="1"/>
    <xf numFmtId="3" fontId="24" fillId="0" borderId="18" xfId="0" applyNumberFormat="1" applyFont="1" applyFill="1" applyBorder="1" applyAlignment="1">
      <alignment horizontal="right"/>
    </xf>
    <xf numFmtId="11" fontId="24" fillId="4" borderId="19" xfId="0" applyNumberFormat="1" applyFont="1" applyFill="1" applyBorder="1" applyAlignment="1"/>
    <xf numFmtId="3" fontId="25" fillId="0" borderId="18" xfId="0" applyNumberFormat="1" applyFont="1" applyBorder="1" applyAlignment="1">
      <alignment horizontal="right"/>
    </xf>
    <xf numFmtId="11" fontId="25" fillId="4" borderId="19" xfId="0" applyNumberFormat="1" applyFont="1" applyFill="1" applyBorder="1"/>
    <xf numFmtId="16" fontId="23" fillId="0" borderId="0" xfId="0" applyNumberFormat="1" applyFont="1" applyFill="1" applyBorder="1"/>
    <xf numFmtId="0" fontId="23" fillId="0" borderId="0" xfId="0" applyFont="1" applyFill="1" applyBorder="1"/>
    <xf numFmtId="3" fontId="24" fillId="0" borderId="14" xfId="0" applyNumberFormat="1" applyFont="1" applyBorder="1"/>
    <xf numFmtId="3" fontId="25" fillId="0" borderId="14" xfId="0" applyNumberFormat="1" applyFont="1" applyBorder="1"/>
    <xf numFmtId="0" fontId="36" fillId="2" borderId="8" xfId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vertical="center"/>
    </xf>
    <xf numFmtId="3" fontId="16" fillId="5" borderId="13" xfId="0" applyNumberFormat="1" applyFont="1" applyFill="1" applyBorder="1" applyAlignment="1">
      <alignment horizontal="center"/>
    </xf>
    <xf numFmtId="3" fontId="16" fillId="5" borderId="8" xfId="0" applyNumberFormat="1" applyFont="1" applyFill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23" fillId="6" borderId="5" xfId="2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9" fillId="2" borderId="15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 wrapText="1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Fill="1"/>
    <xf numFmtId="10" fontId="10" fillId="0" borderId="0" xfId="3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10" fontId="10" fillId="0" borderId="0" xfId="0" applyNumberFormat="1" applyFont="1" applyFill="1" applyBorder="1"/>
    <xf numFmtId="43" fontId="10" fillId="0" borderId="0" xfId="2" applyFont="1" applyFill="1" applyBorder="1"/>
    <xf numFmtId="43" fontId="10" fillId="0" borderId="0" xfId="0" applyNumberFormat="1" applyFont="1"/>
    <xf numFmtId="0" fontId="10" fillId="0" borderId="0" xfId="0" applyFont="1" applyFill="1" applyBorder="1" applyAlignment="1">
      <alignment horizontal="center" vertical="distributed"/>
    </xf>
    <xf numFmtId="0" fontId="40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/>
    </xf>
    <xf numFmtId="43" fontId="41" fillId="0" borderId="0" xfId="0" applyNumberFormat="1" applyFont="1" applyFill="1" applyBorder="1"/>
    <xf numFmtId="43" fontId="10" fillId="0" borderId="0" xfId="0" applyNumberFormat="1" applyFont="1" applyFill="1" applyBorder="1"/>
    <xf numFmtId="0" fontId="10" fillId="0" borderId="0" xfId="0" applyFont="1"/>
    <xf numFmtId="0" fontId="40" fillId="0" borderId="0" xfId="0" applyFont="1" applyFill="1" applyBorder="1" applyAlignment="1">
      <alignment horizontal="right"/>
    </xf>
    <xf numFmtId="0" fontId="42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Border="1"/>
    <xf numFmtId="0" fontId="10" fillId="0" borderId="0" xfId="0" applyFont="1" applyFill="1" applyBorder="1" applyAlignment="1"/>
    <xf numFmtId="0" fontId="10" fillId="0" borderId="9" xfId="0" applyFont="1" applyFill="1" applyBorder="1" applyAlignment="1"/>
    <xf numFmtId="0" fontId="10" fillId="0" borderId="12" xfId="0" applyFont="1" applyFill="1" applyBorder="1" applyAlignment="1"/>
    <xf numFmtId="0" fontId="10" fillId="0" borderId="2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44" fillId="0" borderId="0" xfId="2" applyFont="1" applyFill="1" applyBorder="1"/>
    <xf numFmtId="167" fontId="45" fillId="0" borderId="0" xfId="2" applyNumberFormat="1" applyFont="1" applyBorder="1"/>
    <xf numFmtId="167" fontId="45" fillId="0" borderId="0" xfId="0" applyNumberFormat="1" applyFont="1" applyBorder="1"/>
    <xf numFmtId="167" fontId="46" fillId="0" borderId="0" xfId="2" applyNumberFormat="1" applyFont="1" applyBorder="1"/>
    <xf numFmtId="167" fontId="46" fillId="0" borderId="0" xfId="0" applyNumberFormat="1" applyFont="1" applyBorder="1"/>
    <xf numFmtId="0" fontId="10" fillId="0" borderId="5" xfId="0" applyFont="1" applyFill="1" applyBorder="1"/>
    <xf numFmtId="0" fontId="10" fillId="0" borderId="14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67" fontId="10" fillId="0" borderId="0" xfId="2" applyNumberFormat="1" applyFont="1" applyFill="1" applyBorder="1" applyAlignment="1"/>
    <xf numFmtId="0" fontId="10" fillId="0" borderId="4" xfId="0" applyFont="1" applyFill="1" applyBorder="1" applyAlignment="1">
      <alignment horizontal="center" vertical="center"/>
    </xf>
    <xf numFmtId="167" fontId="10" fillId="0" borderId="0" xfId="0" applyNumberFormat="1" applyFont="1" applyFill="1" applyBorder="1" applyAlignment="1">
      <alignment horizontal="center" vertical="center"/>
    </xf>
    <xf numFmtId="0" fontId="47" fillId="7" borderId="24" xfId="0" applyFont="1" applyFill="1" applyBorder="1" applyAlignment="1">
      <alignment horizontal="right" vertical="center"/>
    </xf>
    <xf numFmtId="165" fontId="47" fillId="7" borderId="15" xfId="0" applyNumberFormat="1" applyFont="1" applyFill="1" applyBorder="1" applyAlignment="1">
      <alignment horizontal="center" vertical="center"/>
    </xf>
    <xf numFmtId="49" fontId="48" fillId="8" borderId="24" xfId="0" applyNumberFormat="1" applyFont="1" applyFill="1" applyBorder="1" applyAlignment="1">
      <alignment horizontal="right" vertical="center"/>
    </xf>
    <xf numFmtId="165" fontId="48" fillId="8" borderId="15" xfId="0" applyNumberFormat="1" applyFont="1" applyFill="1" applyBorder="1" applyAlignment="1">
      <alignment horizontal="center" vertical="center"/>
    </xf>
    <xf numFmtId="43" fontId="20" fillId="0" borderId="8" xfId="2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 wrapText="1"/>
    </xf>
    <xf numFmtId="166" fontId="20" fillId="0" borderId="8" xfId="3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vertical="center"/>
    </xf>
    <xf numFmtId="167" fontId="10" fillId="5" borderId="8" xfId="0" applyNumberFormat="1" applyFont="1" applyFill="1" applyBorder="1" applyAlignment="1">
      <alignment vertical="center"/>
    </xf>
    <xf numFmtId="167" fontId="10" fillId="0" borderId="8" xfId="2" applyNumberFormat="1" applyFont="1" applyFill="1" applyBorder="1" applyAlignment="1">
      <alignment vertical="center"/>
    </xf>
    <xf numFmtId="10" fontId="10" fillId="0" borderId="0" xfId="3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2" fontId="10" fillId="7" borderId="8" xfId="2" applyNumberFormat="1" applyFont="1" applyFill="1" applyBorder="1" applyAlignment="1">
      <alignment horizontal="center"/>
    </xf>
    <xf numFmtId="168" fontId="10" fillId="5" borderId="8" xfId="3" applyNumberFormat="1" applyFont="1" applyFill="1" applyBorder="1" applyAlignment="1">
      <alignment horizontal="center"/>
    </xf>
    <xf numFmtId="169" fontId="10" fillId="4" borderId="8" xfId="0" applyNumberFormat="1" applyFont="1" applyFill="1" applyBorder="1" applyAlignment="1">
      <alignment wrapText="1"/>
    </xf>
    <xf numFmtId="10" fontId="10" fillId="4" borderId="8" xfId="3" applyNumberFormat="1" applyFont="1" applyFill="1" applyBorder="1" applyAlignment="1">
      <alignment horizontal="center"/>
    </xf>
    <xf numFmtId="2" fontId="10" fillId="4" borderId="8" xfId="2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166" fontId="10" fillId="0" borderId="0" xfId="3" applyNumberFormat="1" applyFont="1" applyFill="1" applyBorder="1" applyAlignment="1">
      <alignment horizontal="center"/>
    </xf>
    <xf numFmtId="166" fontId="10" fillId="0" borderId="0" xfId="3" applyNumberFormat="1" applyFont="1" applyFill="1" applyBorder="1" applyAlignment="1"/>
    <xf numFmtId="0" fontId="10" fillId="0" borderId="0" xfId="0" applyFont="1" applyAlignment="1">
      <alignment horizontal="right" vertical="center"/>
    </xf>
    <xf numFmtId="167" fontId="10" fillId="0" borderId="8" xfId="0" applyNumberFormat="1" applyFont="1" applyFill="1" applyBorder="1" applyAlignment="1">
      <alignment vertical="center"/>
    </xf>
    <xf numFmtId="0" fontId="48" fillId="7" borderId="24" xfId="0" applyFont="1" applyFill="1" applyBorder="1" applyAlignment="1">
      <alignment horizontal="right" vertical="center"/>
    </xf>
    <xf numFmtId="0" fontId="48" fillId="7" borderId="15" xfId="0" applyFont="1" applyFill="1" applyBorder="1" applyAlignment="1">
      <alignment horizontal="center" vertical="center"/>
    </xf>
    <xf numFmtId="49" fontId="47" fillId="8" borderId="24" xfId="0" applyNumberFormat="1" applyFont="1" applyFill="1" applyBorder="1" applyAlignment="1">
      <alignment horizontal="right" vertical="center"/>
    </xf>
    <xf numFmtId="43" fontId="10" fillId="0" borderId="0" xfId="2" applyFont="1" applyFill="1" applyBorder="1" applyAlignment="1">
      <alignment horizontal="center"/>
    </xf>
    <xf numFmtId="10" fontId="10" fillId="0" borderId="0" xfId="3" applyNumberFormat="1" applyFont="1" applyFill="1" applyBorder="1" applyAlignment="1">
      <alignment horizontal="center"/>
    </xf>
    <xf numFmtId="167" fontId="10" fillId="0" borderId="0" xfId="2" applyNumberFormat="1" applyFont="1" applyFill="1" applyBorder="1" applyAlignment="1">
      <alignment horizontal="center"/>
    </xf>
    <xf numFmtId="166" fontId="49" fillId="0" borderId="0" xfId="3" applyNumberFormat="1" applyFont="1" applyFill="1" applyBorder="1" applyAlignment="1"/>
    <xf numFmtId="167" fontId="10" fillId="0" borderId="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5" fillId="0" borderId="0" xfId="0" applyFont="1" applyFill="1"/>
    <xf numFmtId="167" fontId="45" fillId="0" borderId="0" xfId="0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43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3" fontId="10" fillId="0" borderId="0" xfId="2" applyFont="1" applyAlignment="1">
      <alignment horizontal="center" vertical="center"/>
    </xf>
    <xf numFmtId="170" fontId="10" fillId="0" borderId="0" xfId="0" applyNumberFormat="1" applyFont="1" applyFill="1" applyAlignment="1">
      <alignment vertical="center"/>
    </xf>
    <xf numFmtId="171" fontId="10" fillId="0" borderId="0" xfId="0" applyNumberFormat="1" applyFont="1" applyFill="1"/>
    <xf numFmtId="0" fontId="10" fillId="0" borderId="0" xfId="0" applyFont="1" applyFill="1" applyBorder="1" applyAlignment="1">
      <alignment wrapText="1"/>
    </xf>
    <xf numFmtId="166" fontId="52" fillId="0" borderId="0" xfId="3" applyNumberFormat="1" applyFont="1" applyFill="1" applyBorder="1" applyAlignment="1"/>
    <xf numFmtId="0" fontId="20" fillId="0" borderId="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43" fontId="10" fillId="0" borderId="8" xfId="2" applyFont="1" applyFill="1" applyBorder="1"/>
    <xf numFmtId="169" fontId="10" fillId="0" borderId="8" xfId="2" applyNumberFormat="1" applyFont="1" applyFill="1" applyBorder="1" applyAlignment="1">
      <alignment vertical="center"/>
    </xf>
    <xf numFmtId="43" fontId="10" fillId="0" borderId="8" xfId="2" applyFont="1" applyFill="1" applyBorder="1" applyAlignment="1">
      <alignment horizontal="center" vertical="center"/>
    </xf>
    <xf numFmtId="43" fontId="10" fillId="0" borderId="8" xfId="2" applyFont="1" applyFill="1" applyBorder="1" applyAlignment="1">
      <alignment vertical="center"/>
    </xf>
    <xf numFmtId="43" fontId="10" fillId="0" borderId="8" xfId="0" applyNumberFormat="1" applyFont="1" applyFill="1" applyBorder="1" applyAlignment="1">
      <alignment vertical="center"/>
    </xf>
    <xf numFmtId="172" fontId="10" fillId="0" borderId="8" xfId="2" applyNumberFormat="1" applyFont="1" applyFill="1" applyBorder="1" applyAlignment="1">
      <alignment vertical="center"/>
    </xf>
    <xf numFmtId="172" fontId="10" fillId="0" borderId="8" xfId="0" applyNumberFormat="1" applyFont="1" applyFill="1" applyBorder="1" applyAlignment="1">
      <alignment horizontal="center" vertical="center"/>
    </xf>
    <xf numFmtId="49" fontId="10" fillId="9" borderId="9" xfId="0" applyNumberFormat="1" applyFont="1" applyFill="1" applyBorder="1"/>
    <xf numFmtId="172" fontId="10" fillId="9" borderId="12" xfId="0" applyNumberFormat="1" applyFont="1" applyFill="1" applyBorder="1" applyAlignment="1">
      <alignment vertical="center"/>
    </xf>
    <xf numFmtId="2" fontId="10" fillId="9" borderId="12" xfId="0" applyNumberFormat="1" applyFont="1" applyFill="1" applyBorder="1" applyAlignment="1">
      <alignment vertical="center"/>
    </xf>
    <xf numFmtId="10" fontId="10" fillId="9" borderId="12" xfId="0" applyNumberFormat="1" applyFont="1" applyFill="1" applyBorder="1" applyAlignment="1">
      <alignment vertical="center"/>
    </xf>
    <xf numFmtId="1" fontId="10" fillId="9" borderId="12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49" fontId="10" fillId="2" borderId="9" xfId="0" applyNumberFormat="1" applyFont="1" applyFill="1" applyBorder="1"/>
    <xf numFmtId="167" fontId="10" fillId="2" borderId="12" xfId="0" applyNumberFormat="1" applyFont="1" applyFill="1" applyBorder="1"/>
    <xf numFmtId="2" fontId="10" fillId="2" borderId="12" xfId="0" applyNumberFormat="1" applyFont="1" applyFill="1" applyBorder="1"/>
    <xf numFmtId="10" fontId="10" fillId="2" borderId="12" xfId="0" applyNumberFormat="1" applyFont="1" applyFill="1" applyBorder="1"/>
    <xf numFmtId="1" fontId="10" fillId="2" borderId="12" xfId="0" applyNumberFormat="1" applyFont="1" applyFill="1" applyBorder="1" applyAlignment="1">
      <alignment horizontal="center"/>
    </xf>
    <xf numFmtId="0" fontId="0" fillId="2" borderId="12" xfId="0" applyFill="1" applyBorder="1"/>
    <xf numFmtId="2" fontId="10" fillId="2" borderId="20" xfId="0" applyNumberFormat="1" applyFont="1" applyFill="1" applyBorder="1"/>
    <xf numFmtId="49" fontId="10" fillId="9" borderId="5" xfId="0" applyNumberFormat="1" applyFont="1" applyFill="1" applyBorder="1"/>
    <xf numFmtId="167" fontId="10" fillId="9" borderId="0" xfId="0" applyNumberFormat="1" applyFont="1" applyFill="1" applyBorder="1" applyAlignment="1">
      <alignment vertical="center"/>
    </xf>
    <xf numFmtId="2" fontId="10" fillId="9" borderId="0" xfId="0" applyNumberFormat="1" applyFont="1" applyFill="1" applyBorder="1" applyAlignment="1">
      <alignment vertical="center"/>
    </xf>
    <xf numFmtId="10" fontId="10" fillId="9" borderId="0" xfId="0" applyNumberFormat="1" applyFont="1" applyFill="1" applyBorder="1" applyAlignment="1">
      <alignment vertical="center"/>
    </xf>
    <xf numFmtId="1" fontId="10" fillId="9" borderId="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2" borderId="5" xfId="0" applyNumberFormat="1" applyFont="1" applyFill="1" applyBorder="1"/>
    <xf numFmtId="167" fontId="10" fillId="2" borderId="0" xfId="0" applyNumberFormat="1" applyFont="1" applyFill="1" applyBorder="1"/>
    <xf numFmtId="2" fontId="10" fillId="2" borderId="0" xfId="0" applyNumberFormat="1" applyFont="1" applyFill="1" applyBorder="1"/>
    <xf numFmtId="10" fontId="10" fillId="2" borderId="0" xfId="0" applyNumberFormat="1" applyFont="1" applyFill="1" applyBorder="1"/>
    <xf numFmtId="1" fontId="1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10" fillId="2" borderId="14" xfId="0" applyNumberFormat="1" applyFont="1" applyFill="1" applyBorder="1"/>
    <xf numFmtId="49" fontId="10" fillId="9" borderId="8" xfId="0" applyNumberFormat="1" applyFont="1" applyFill="1" applyBorder="1" applyAlignment="1">
      <alignment horizontal="center" vertical="center" wrapText="1"/>
    </xf>
    <xf numFmtId="49" fontId="10" fillId="9" borderId="8" xfId="0" applyNumberFormat="1" applyFont="1" applyFill="1" applyBorder="1" applyAlignment="1">
      <alignment horizontal="center"/>
    </xf>
    <xf numFmtId="0" fontId="0" fillId="0" borderId="0" xfId="0" applyBorder="1"/>
    <xf numFmtId="49" fontId="10" fillId="9" borderId="8" xfId="0" applyNumberFormat="1" applyFont="1" applyFill="1" applyBorder="1" applyAlignment="1">
      <alignment horizontal="center" vertical="center"/>
    </xf>
    <xf numFmtId="0" fontId="10" fillId="9" borderId="5" xfId="0" applyFont="1" applyFill="1" applyBorder="1"/>
    <xf numFmtId="172" fontId="10" fillId="9" borderId="8" xfId="0" applyNumberFormat="1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0" fillId="2" borderId="5" xfId="0" applyFont="1" applyFill="1" applyBorder="1"/>
    <xf numFmtId="168" fontId="10" fillId="9" borderId="8" xfId="0" applyNumberFormat="1" applyFont="1" applyFill="1" applyBorder="1" applyAlignment="1">
      <alignment horizontal="center"/>
    </xf>
    <xf numFmtId="0" fontId="10" fillId="9" borderId="8" xfId="0" applyFont="1" applyFill="1" applyBorder="1" applyAlignment="1">
      <alignment horizontal="center"/>
    </xf>
    <xf numFmtId="49" fontId="10" fillId="9" borderId="17" xfId="0" applyNumberFormat="1" applyFont="1" applyFill="1" applyBorder="1"/>
    <xf numFmtId="0" fontId="10" fillId="9" borderId="18" xfId="0" applyFont="1" applyFill="1" applyBorder="1" applyAlignment="1">
      <alignment vertical="center"/>
    </xf>
    <xf numFmtId="1" fontId="10" fillId="9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49" fontId="10" fillId="2" borderId="17" xfId="0" applyNumberFormat="1" applyFont="1" applyFill="1" applyBorder="1"/>
    <xf numFmtId="0" fontId="10" fillId="2" borderId="18" xfId="0" applyFont="1" applyFill="1" applyBorder="1"/>
    <xf numFmtId="0" fontId="0" fillId="0" borderId="18" xfId="0" applyBorder="1"/>
    <xf numFmtId="0" fontId="0" fillId="0" borderId="19" xfId="0" applyBorder="1"/>
    <xf numFmtId="43" fontId="10" fillId="0" borderId="0" xfId="2" applyNumberFormat="1" applyFont="1"/>
    <xf numFmtId="43" fontId="10" fillId="0" borderId="0" xfId="2" applyFont="1"/>
    <xf numFmtId="166" fontId="10" fillId="0" borderId="0" xfId="3" applyNumberFormat="1" applyFont="1"/>
    <xf numFmtId="49" fontId="20" fillId="9" borderId="8" xfId="0" applyNumberFormat="1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distributed"/>
    </xf>
    <xf numFmtId="0" fontId="10" fillId="0" borderId="8" xfId="0" applyFont="1" applyBorder="1" applyAlignment="1">
      <alignment horizontal="center" vertical="center"/>
    </xf>
    <xf numFmtId="173" fontId="10" fillId="0" borderId="8" xfId="3" applyNumberFormat="1" applyFont="1" applyBorder="1" applyAlignment="1">
      <alignment horizontal="center" vertical="center"/>
    </xf>
    <xf numFmtId="0" fontId="0" fillId="0" borderId="0" xfId="0" applyFill="1" applyBorder="1"/>
    <xf numFmtId="49" fontId="10" fillId="0" borderId="0" xfId="0" applyNumberFormat="1" applyFont="1" applyFill="1" applyBorder="1" applyAlignment="1">
      <alignment horizontal="center" vertical="center" wrapText="1"/>
    </xf>
    <xf numFmtId="0" fontId="54" fillId="0" borderId="0" xfId="0" applyFont="1"/>
    <xf numFmtId="0" fontId="0" fillId="0" borderId="8" xfId="0" applyBorder="1" applyAlignment="1">
      <alignment horizontal="left" vertical="center"/>
    </xf>
    <xf numFmtId="49" fontId="20" fillId="0" borderId="8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distributed"/>
    </xf>
    <xf numFmtId="0" fontId="1" fillId="0" borderId="0" xfId="0" applyFont="1" applyBorder="1" applyAlignment="1">
      <alignment horizontal="right"/>
    </xf>
    <xf numFmtId="0" fontId="56" fillId="0" borderId="0" xfId="0" applyFont="1" applyBorder="1" applyAlignment="1">
      <alignment horizontal="right"/>
    </xf>
    <xf numFmtId="0" fontId="31" fillId="0" borderId="8" xfId="0" applyFont="1" applyBorder="1" applyAlignment="1">
      <alignment horizontal="right" vertical="center" wrapText="1"/>
    </xf>
    <xf numFmtId="168" fontId="10" fillId="0" borderId="8" xfId="3" applyNumberFormat="1" applyFont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173" fontId="57" fillId="0" borderId="0" xfId="3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173" fontId="10" fillId="0" borderId="0" xfId="3" applyNumberFormat="1" applyFont="1" applyFill="1" applyBorder="1"/>
    <xf numFmtId="43" fontId="10" fillId="0" borderId="0" xfId="2" applyFont="1" applyFill="1" applyBorder="1" applyAlignment="1"/>
    <xf numFmtId="10" fontId="10" fillId="9" borderId="8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distributed"/>
    </xf>
    <xf numFmtId="0" fontId="31" fillId="0" borderId="0" xfId="0" applyFont="1" applyBorder="1" applyAlignment="1">
      <alignment horizontal="right" vertical="center" wrapText="1"/>
    </xf>
    <xf numFmtId="173" fontId="10" fillId="0" borderId="0" xfId="3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9" fillId="0" borderId="8" xfId="0" applyFont="1" applyBorder="1" applyAlignment="1">
      <alignment horizontal="right" vertical="center" wrapText="1"/>
    </xf>
    <xf numFmtId="173" fontId="60" fillId="0" borderId="8" xfId="3" applyNumberFormat="1" applyFont="1" applyBorder="1" applyAlignment="1">
      <alignment horizontal="center" vertical="center"/>
    </xf>
    <xf numFmtId="0" fontId="60" fillId="0" borderId="8" xfId="0" applyFont="1" applyBorder="1" applyAlignment="1">
      <alignment horizontal="center" vertical="center"/>
    </xf>
    <xf numFmtId="168" fontId="10" fillId="0" borderId="0" xfId="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8" fontId="60" fillId="0" borderId="8" xfId="3" applyNumberFormat="1" applyFont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top" wrapText="1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center" vertical="top"/>
    </xf>
    <xf numFmtId="0" fontId="7" fillId="0" borderId="6" xfId="1" applyFont="1" applyFill="1" applyBorder="1" applyAlignment="1">
      <alignment horizontal="left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7" fillId="0" borderId="1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left" vertical="center" wrapText="1"/>
    </xf>
    <xf numFmtId="0" fontId="9" fillId="3" borderId="18" xfId="1" applyFont="1" applyFill="1" applyBorder="1" applyAlignment="1">
      <alignment horizontal="left" vertical="center" wrapText="1"/>
    </xf>
    <xf numFmtId="0" fontId="7" fillId="2" borderId="21" xfId="1" applyFont="1" applyFill="1" applyBorder="1" applyAlignment="1">
      <alignment horizontal="left" vertical="center" wrapText="1"/>
    </xf>
    <xf numFmtId="0" fontId="7" fillId="2" borderId="22" xfId="1" applyFont="1" applyFill="1" applyBorder="1" applyAlignment="1">
      <alignment horizontal="left" vertical="center" wrapText="1"/>
    </xf>
    <xf numFmtId="0" fontId="7" fillId="2" borderId="23" xfId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33" fillId="0" borderId="0" xfId="0" applyFont="1" applyAlignment="1">
      <alignment horizontal="left" wrapText="1"/>
    </xf>
    <xf numFmtId="0" fontId="1" fillId="0" borderId="8" xfId="0" applyFont="1" applyBorder="1" applyAlignment="1">
      <alignment vertical="center" wrapText="1"/>
    </xf>
    <xf numFmtId="0" fontId="58" fillId="0" borderId="18" xfId="0" applyFont="1" applyBorder="1" applyAlignment="1">
      <alignment horizontal="left" wrapText="1"/>
    </xf>
  </cellXfs>
  <cellStyles count="4"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colors>
    <mruColors>
      <color rgb="FFFF3300"/>
      <color rgb="FFFF6600"/>
      <color rgb="FFFF99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2" style="1" customWidth="1"/>
    <col min="2" max="2" width="15.42578125" style="2" customWidth="1"/>
    <col min="3" max="3" width="37" style="2" customWidth="1"/>
    <col min="4" max="4" width="59.7109375" style="2" customWidth="1"/>
    <col min="5" max="6" width="59.7109375" style="1" customWidth="1"/>
    <col min="7" max="7" width="60.85546875" style="1" customWidth="1"/>
    <col min="8" max="8" width="62.140625" style="1" customWidth="1"/>
    <col min="9" max="16384" width="11.42578125" style="1"/>
  </cols>
  <sheetData>
    <row r="1" spans="1:8" ht="13.5" thickBot="1" x14ac:dyDescent="0.25"/>
    <row r="2" spans="1:8" ht="24" customHeight="1" thickBot="1" x14ac:dyDescent="0.25">
      <c r="B2" s="277" t="s">
        <v>151</v>
      </c>
      <c r="C2" s="278"/>
      <c r="D2" s="278"/>
      <c r="E2" s="278"/>
      <c r="F2" s="278"/>
      <c r="G2" s="278"/>
      <c r="H2" s="279"/>
    </row>
    <row r="3" spans="1:8" ht="34.5" customHeight="1" thickBot="1" x14ac:dyDescent="0.25">
      <c r="B3" s="281"/>
      <c r="C3" s="282"/>
      <c r="D3" s="97" t="s">
        <v>152</v>
      </c>
      <c r="E3" s="97" t="s">
        <v>153</v>
      </c>
      <c r="F3" s="97" t="s">
        <v>154</v>
      </c>
      <c r="G3" s="97" t="s">
        <v>155</v>
      </c>
      <c r="H3" s="97" t="s">
        <v>156</v>
      </c>
    </row>
    <row r="4" spans="1:8" ht="3.75" customHeight="1" thickBot="1" x14ac:dyDescent="0.25">
      <c r="A4" s="3"/>
      <c r="B4" s="4"/>
      <c r="C4" s="4"/>
      <c r="D4" s="4"/>
      <c r="E4" s="12"/>
    </row>
    <row r="5" spans="1:8" ht="21" customHeight="1" x14ac:dyDescent="0.2">
      <c r="B5" s="286" t="s">
        <v>0</v>
      </c>
      <c r="C5" s="26" t="s">
        <v>1</v>
      </c>
      <c r="D5" s="16" t="s">
        <v>30</v>
      </c>
      <c r="E5" s="16" t="s">
        <v>52</v>
      </c>
      <c r="F5" s="16" t="s">
        <v>53</v>
      </c>
      <c r="G5" s="16" t="s">
        <v>74</v>
      </c>
      <c r="H5" s="16" t="s">
        <v>137</v>
      </c>
    </row>
    <row r="6" spans="1:8" ht="21" customHeight="1" x14ac:dyDescent="0.2">
      <c r="B6" s="287"/>
      <c r="C6" s="27" t="s">
        <v>25</v>
      </c>
      <c r="D6" s="16" t="s">
        <v>18</v>
      </c>
      <c r="E6" s="16" t="s">
        <v>18</v>
      </c>
      <c r="F6" s="16" t="s">
        <v>18</v>
      </c>
      <c r="G6" s="16" t="s">
        <v>18</v>
      </c>
      <c r="H6" s="16" t="s">
        <v>18</v>
      </c>
    </row>
    <row r="7" spans="1:8" ht="23.25" customHeight="1" x14ac:dyDescent="0.2">
      <c r="B7" s="287"/>
      <c r="C7" s="28" t="s">
        <v>26</v>
      </c>
      <c r="D7" s="17" t="s">
        <v>27</v>
      </c>
      <c r="E7" s="17" t="s">
        <v>27</v>
      </c>
      <c r="F7" s="17" t="s">
        <v>27</v>
      </c>
      <c r="G7" s="17" t="s">
        <v>27</v>
      </c>
      <c r="H7" s="17" t="s">
        <v>27</v>
      </c>
    </row>
    <row r="8" spans="1:8" ht="21" customHeight="1" thickBot="1" x14ac:dyDescent="0.25">
      <c r="B8" s="288"/>
      <c r="C8" s="28" t="s">
        <v>19</v>
      </c>
      <c r="D8" s="18" t="s">
        <v>20</v>
      </c>
      <c r="E8" s="18" t="s">
        <v>20</v>
      </c>
      <c r="F8" s="18" t="s">
        <v>20</v>
      </c>
      <c r="G8" s="18" t="s">
        <v>20</v>
      </c>
      <c r="H8" s="18" t="s">
        <v>20</v>
      </c>
    </row>
    <row r="9" spans="1:8" ht="8.25" customHeight="1" thickBot="1" x14ac:dyDescent="0.25">
      <c r="A9" s="8"/>
      <c r="B9" s="13"/>
      <c r="C9" s="14"/>
      <c r="D9" s="15"/>
    </row>
    <row r="10" spans="1:8" ht="21" customHeight="1" x14ac:dyDescent="0.2">
      <c r="B10" s="283" t="s">
        <v>2</v>
      </c>
      <c r="C10" s="29" t="s">
        <v>142</v>
      </c>
      <c r="D10" s="19" t="s">
        <v>16</v>
      </c>
      <c r="E10" s="36" t="s">
        <v>54</v>
      </c>
      <c r="F10" s="20" t="s">
        <v>55</v>
      </c>
      <c r="G10" s="36" t="s">
        <v>75</v>
      </c>
      <c r="H10" s="36" t="s">
        <v>3</v>
      </c>
    </row>
    <row r="11" spans="1:8" ht="21" customHeight="1" x14ac:dyDescent="0.2">
      <c r="B11" s="284"/>
      <c r="C11" s="29" t="s">
        <v>32</v>
      </c>
      <c r="D11" s="19" t="s">
        <v>17</v>
      </c>
      <c r="E11" s="36" t="s">
        <v>56</v>
      </c>
      <c r="F11" s="36" t="s">
        <v>57</v>
      </c>
      <c r="G11" s="36" t="s">
        <v>76</v>
      </c>
      <c r="H11" s="36" t="s">
        <v>3</v>
      </c>
    </row>
    <row r="12" spans="1:8" ht="21" customHeight="1" x14ac:dyDescent="0.2">
      <c r="B12" s="284"/>
      <c r="C12" s="27" t="s">
        <v>88</v>
      </c>
      <c r="D12" s="19" t="s">
        <v>3</v>
      </c>
      <c r="E12" s="19" t="s">
        <v>3</v>
      </c>
      <c r="F12" s="19" t="s">
        <v>3</v>
      </c>
      <c r="G12" s="19" t="s">
        <v>3</v>
      </c>
      <c r="H12" s="36" t="s">
        <v>3</v>
      </c>
    </row>
    <row r="13" spans="1:8" ht="21" customHeight="1" x14ac:dyDescent="0.2">
      <c r="B13" s="284"/>
      <c r="C13" s="29" t="s">
        <v>28</v>
      </c>
      <c r="D13" s="19" t="s">
        <v>3</v>
      </c>
      <c r="E13" s="19" t="s">
        <v>3</v>
      </c>
      <c r="F13" s="19" t="s">
        <v>3</v>
      </c>
      <c r="G13" s="19" t="s">
        <v>3</v>
      </c>
      <c r="H13" s="36" t="s">
        <v>3</v>
      </c>
    </row>
    <row r="14" spans="1:8" ht="36.75" customHeight="1" x14ac:dyDescent="0.2">
      <c r="B14" s="284"/>
      <c r="C14" s="29" t="s">
        <v>31</v>
      </c>
      <c r="D14" s="16" t="s">
        <v>73</v>
      </c>
      <c r="E14" s="22" t="s">
        <v>58</v>
      </c>
      <c r="F14" s="22" t="s">
        <v>59</v>
      </c>
      <c r="G14" s="22" t="s">
        <v>77</v>
      </c>
      <c r="H14" s="36" t="s">
        <v>3</v>
      </c>
    </row>
    <row r="15" spans="1:8" ht="21" customHeight="1" x14ac:dyDescent="0.2">
      <c r="B15" s="284"/>
      <c r="C15" s="29" t="s">
        <v>87</v>
      </c>
      <c r="D15" s="19" t="s">
        <v>3</v>
      </c>
      <c r="E15" s="19" t="s">
        <v>3</v>
      </c>
      <c r="F15" s="19" t="s">
        <v>3</v>
      </c>
      <c r="G15" s="19" t="s">
        <v>3</v>
      </c>
      <c r="H15" s="36" t="s">
        <v>3</v>
      </c>
    </row>
    <row r="16" spans="1:8" ht="21" customHeight="1" x14ac:dyDescent="0.2">
      <c r="B16" s="284"/>
      <c r="C16" s="29" t="s">
        <v>21</v>
      </c>
      <c r="D16" s="19" t="s">
        <v>3</v>
      </c>
      <c r="E16" s="19" t="s">
        <v>3</v>
      </c>
      <c r="F16" s="19" t="s">
        <v>3</v>
      </c>
      <c r="G16" s="19" t="s">
        <v>3</v>
      </c>
      <c r="H16" s="36" t="s">
        <v>3</v>
      </c>
    </row>
    <row r="17" spans="2:8" ht="52.5" customHeight="1" x14ac:dyDescent="0.2">
      <c r="B17" s="284"/>
      <c r="C17" s="29" t="s">
        <v>35</v>
      </c>
      <c r="D17" s="17" t="s">
        <v>81</v>
      </c>
      <c r="E17" s="34" t="s">
        <v>80</v>
      </c>
      <c r="F17" s="34" t="s">
        <v>78</v>
      </c>
      <c r="G17" s="20" t="s">
        <v>89</v>
      </c>
      <c r="H17" s="36" t="s">
        <v>3</v>
      </c>
    </row>
    <row r="18" spans="2:8" ht="38.25" customHeight="1" x14ac:dyDescent="0.2">
      <c r="B18" s="284"/>
      <c r="C18" s="29" t="s">
        <v>36</v>
      </c>
      <c r="D18" s="16" t="s">
        <v>38</v>
      </c>
      <c r="E18" s="16" t="s">
        <v>60</v>
      </c>
      <c r="F18" s="16" t="s">
        <v>61</v>
      </c>
      <c r="G18" s="16" t="s">
        <v>79</v>
      </c>
      <c r="H18" s="36" t="s">
        <v>3</v>
      </c>
    </row>
    <row r="19" spans="2:8" ht="42.75" customHeight="1" x14ac:dyDescent="0.2">
      <c r="B19" s="284"/>
      <c r="C19" s="29" t="s">
        <v>37</v>
      </c>
      <c r="D19" s="16" t="s">
        <v>62</v>
      </c>
      <c r="E19" s="16" t="s">
        <v>64</v>
      </c>
      <c r="F19" s="16" t="s">
        <v>63</v>
      </c>
      <c r="G19" s="16" t="s">
        <v>82</v>
      </c>
      <c r="H19" s="36" t="s">
        <v>3</v>
      </c>
    </row>
    <row r="20" spans="2:8" ht="46.5" customHeight="1" thickBot="1" x14ac:dyDescent="0.25">
      <c r="B20" s="285"/>
      <c r="C20" s="29" t="s">
        <v>33</v>
      </c>
      <c r="D20" s="16" t="s">
        <v>34</v>
      </c>
      <c r="E20" s="22" t="s">
        <v>65</v>
      </c>
      <c r="F20" s="22" t="s">
        <v>66</v>
      </c>
      <c r="G20" s="22" t="s">
        <v>83</v>
      </c>
      <c r="H20" s="36" t="s">
        <v>3</v>
      </c>
    </row>
    <row r="21" spans="2:8" s="8" customFormat="1" ht="5.25" customHeight="1" thickBot="1" x14ac:dyDescent="0.25">
      <c r="B21" s="5"/>
      <c r="C21" s="6"/>
      <c r="D21" s="7"/>
    </row>
    <row r="22" spans="2:8" ht="27.95" customHeight="1" x14ac:dyDescent="0.2">
      <c r="B22" s="283" t="s">
        <v>4</v>
      </c>
      <c r="C22" s="30" t="s">
        <v>39</v>
      </c>
      <c r="D22" s="20" t="s">
        <v>40</v>
      </c>
      <c r="E22" s="20" t="s">
        <v>40</v>
      </c>
      <c r="F22" s="20" t="s">
        <v>40</v>
      </c>
      <c r="G22" s="20" t="s">
        <v>40</v>
      </c>
      <c r="H22" s="36" t="s">
        <v>3</v>
      </c>
    </row>
    <row r="23" spans="2:8" ht="38.25" x14ac:dyDescent="0.2">
      <c r="B23" s="284"/>
      <c r="C23" s="30" t="s">
        <v>47</v>
      </c>
      <c r="D23" s="20" t="s">
        <v>84</v>
      </c>
      <c r="E23" s="20" t="s">
        <v>84</v>
      </c>
      <c r="F23" s="20" t="s">
        <v>84</v>
      </c>
      <c r="G23" s="20" t="s">
        <v>84</v>
      </c>
      <c r="H23" s="36" t="s">
        <v>3</v>
      </c>
    </row>
    <row r="24" spans="2:8" ht="36" customHeight="1" x14ac:dyDescent="0.2">
      <c r="B24" s="284"/>
      <c r="C24" s="30" t="s">
        <v>46</v>
      </c>
      <c r="D24" s="20" t="s">
        <v>48</v>
      </c>
      <c r="E24" s="20" t="s">
        <v>48</v>
      </c>
      <c r="F24" s="20" t="s">
        <v>48</v>
      </c>
      <c r="G24" s="20" t="s">
        <v>48</v>
      </c>
      <c r="H24" s="36" t="s">
        <v>3</v>
      </c>
    </row>
    <row r="25" spans="2:8" ht="39" thickBot="1" x14ac:dyDescent="0.25">
      <c r="B25" s="285"/>
      <c r="C25" s="31" t="s">
        <v>5</v>
      </c>
      <c r="D25" s="21" t="s">
        <v>41</v>
      </c>
      <c r="E25" s="21" t="s">
        <v>41</v>
      </c>
      <c r="F25" s="21" t="s">
        <v>41</v>
      </c>
      <c r="G25" s="21" t="s">
        <v>41</v>
      </c>
      <c r="H25" s="36" t="s">
        <v>3</v>
      </c>
    </row>
    <row r="26" spans="2:8" ht="6.75" customHeight="1" thickBot="1" x14ac:dyDescent="0.25">
      <c r="B26" s="1"/>
      <c r="C26" s="1"/>
      <c r="D26" s="23"/>
    </row>
    <row r="27" spans="2:8" ht="25.5" customHeight="1" x14ac:dyDescent="0.2">
      <c r="B27" s="283" t="s">
        <v>6</v>
      </c>
      <c r="C27" s="32" t="s">
        <v>7</v>
      </c>
      <c r="D27" s="16" t="s">
        <v>69</v>
      </c>
      <c r="E27" s="16" t="s">
        <v>67</v>
      </c>
      <c r="F27" s="16" t="s">
        <v>68</v>
      </c>
      <c r="G27" s="16" t="s">
        <v>85</v>
      </c>
      <c r="H27" s="20" t="s">
        <v>138</v>
      </c>
    </row>
    <row r="28" spans="2:8" ht="27.95" customHeight="1" x14ac:dyDescent="0.2">
      <c r="B28" s="284"/>
      <c r="C28" s="32" t="s">
        <v>8</v>
      </c>
      <c r="D28" s="22" t="s">
        <v>43</v>
      </c>
      <c r="E28" s="22" t="s">
        <v>43</v>
      </c>
      <c r="F28" s="22" t="s">
        <v>43</v>
      </c>
      <c r="G28" s="22" t="s">
        <v>43</v>
      </c>
      <c r="H28" s="22" t="s">
        <v>43</v>
      </c>
    </row>
    <row r="29" spans="2:8" ht="27.95" customHeight="1" x14ac:dyDescent="0.2">
      <c r="B29" s="284"/>
      <c r="C29" s="32" t="s">
        <v>9</v>
      </c>
      <c r="D29" s="19" t="s">
        <v>3</v>
      </c>
      <c r="E29" s="19" t="s">
        <v>3</v>
      </c>
      <c r="F29" s="19" t="s">
        <v>3</v>
      </c>
      <c r="G29" s="19" t="s">
        <v>3</v>
      </c>
      <c r="H29" s="19" t="s">
        <v>3</v>
      </c>
    </row>
    <row r="30" spans="2:8" ht="42" customHeight="1" thickBot="1" x14ac:dyDescent="0.25">
      <c r="B30" s="285"/>
      <c r="C30" s="31" t="s">
        <v>10</v>
      </c>
      <c r="D30" s="21" t="s">
        <v>42</v>
      </c>
      <c r="E30" s="21" t="s">
        <v>42</v>
      </c>
      <c r="F30" s="21" t="s">
        <v>42</v>
      </c>
      <c r="G30" s="21" t="s">
        <v>42</v>
      </c>
      <c r="H30" s="21" t="s">
        <v>42</v>
      </c>
    </row>
    <row r="31" spans="2:8" ht="6" customHeight="1" thickBot="1" x14ac:dyDescent="0.25">
      <c r="B31" s="14"/>
      <c r="C31" s="9"/>
      <c r="D31" s="10"/>
      <c r="E31" s="8"/>
      <c r="F31" s="8"/>
    </row>
    <row r="32" spans="2:8" ht="27.95" customHeight="1" x14ac:dyDescent="0.2">
      <c r="B32" s="283" t="s">
        <v>11</v>
      </c>
      <c r="C32" s="26" t="s">
        <v>12</v>
      </c>
      <c r="D32" s="20" t="s">
        <v>44</v>
      </c>
      <c r="E32" s="20" t="s">
        <v>44</v>
      </c>
      <c r="F32" s="20" t="s">
        <v>44</v>
      </c>
      <c r="G32" s="20" t="s">
        <v>44</v>
      </c>
      <c r="H32" s="20" t="s">
        <v>44</v>
      </c>
    </row>
    <row r="33" spans="1:8" ht="27.95" customHeight="1" thickBot="1" x14ac:dyDescent="0.25">
      <c r="B33" s="285"/>
      <c r="C33" s="32" t="s">
        <v>13</v>
      </c>
      <c r="D33" s="16" t="s">
        <v>45</v>
      </c>
      <c r="E33" s="16" t="s">
        <v>45</v>
      </c>
      <c r="F33" s="16" t="s">
        <v>45</v>
      </c>
      <c r="G33" s="16" t="s">
        <v>45</v>
      </c>
      <c r="H33" s="16" t="s">
        <v>45</v>
      </c>
    </row>
    <row r="34" spans="1:8" ht="6" customHeight="1" thickBot="1" x14ac:dyDescent="0.25">
      <c r="B34" s="1"/>
      <c r="C34" s="1"/>
      <c r="D34" s="23"/>
    </row>
    <row r="35" spans="1:8" ht="63.75" x14ac:dyDescent="0.2">
      <c r="B35" s="291" t="s">
        <v>14</v>
      </c>
      <c r="C35" s="33" t="s">
        <v>50</v>
      </c>
      <c r="D35" s="20" t="s">
        <v>70</v>
      </c>
      <c r="E35" s="35" t="s">
        <v>71</v>
      </c>
      <c r="F35" s="35" t="s">
        <v>72</v>
      </c>
      <c r="G35" s="20" t="s">
        <v>140</v>
      </c>
      <c r="H35" s="20" t="s">
        <v>136</v>
      </c>
    </row>
    <row r="36" spans="1:8" ht="51" x14ac:dyDescent="0.2">
      <c r="B36" s="292"/>
      <c r="C36" s="32" t="s">
        <v>15</v>
      </c>
      <c r="D36" s="16" t="s">
        <v>49</v>
      </c>
      <c r="E36" s="16" t="s">
        <v>49</v>
      </c>
      <c r="F36" s="16" t="s">
        <v>49</v>
      </c>
      <c r="G36" s="16" t="s">
        <v>49</v>
      </c>
      <c r="H36" s="16" t="s">
        <v>49</v>
      </c>
    </row>
    <row r="37" spans="1:8" ht="42" customHeight="1" x14ac:dyDescent="0.2">
      <c r="B37" s="292"/>
      <c r="C37" s="33" t="s">
        <v>23</v>
      </c>
      <c r="D37" s="94" t="s">
        <v>135</v>
      </c>
      <c r="E37" s="16" t="s">
        <v>135</v>
      </c>
      <c r="F37" s="16" t="s">
        <v>135</v>
      </c>
      <c r="G37" s="85" t="s">
        <v>141</v>
      </c>
      <c r="H37" s="85" t="s">
        <v>139</v>
      </c>
    </row>
    <row r="38" spans="1:8" ht="15" x14ac:dyDescent="0.2">
      <c r="B38" s="292"/>
      <c r="C38" s="289" t="s">
        <v>147</v>
      </c>
      <c r="D38" s="25" t="s">
        <v>29</v>
      </c>
      <c r="E38" s="93" t="s">
        <v>29</v>
      </c>
      <c r="F38" s="25" t="s">
        <v>29</v>
      </c>
      <c r="G38" s="25" t="s">
        <v>86</v>
      </c>
      <c r="H38" s="25" t="s">
        <v>86</v>
      </c>
    </row>
    <row r="39" spans="1:8" s="11" customFormat="1" ht="84" customHeight="1" thickBot="1" x14ac:dyDescent="0.25">
      <c r="B39" s="293"/>
      <c r="C39" s="290"/>
      <c r="D39" s="96" t="s">
        <v>148</v>
      </c>
      <c r="E39" s="96" t="s">
        <v>148</v>
      </c>
      <c r="F39" s="96" t="s">
        <v>148</v>
      </c>
      <c r="G39" s="96" t="s">
        <v>149</v>
      </c>
      <c r="H39" s="96" t="s">
        <v>149</v>
      </c>
    </row>
    <row r="40" spans="1:8" ht="8.25" customHeight="1" x14ac:dyDescent="0.2">
      <c r="A40" s="3"/>
      <c r="B40" s="3"/>
      <c r="C40" s="3"/>
      <c r="D40" s="24"/>
    </row>
    <row r="41" spans="1:8" ht="38.25" hidden="1" x14ac:dyDescent="0.2">
      <c r="B41" s="291" t="s">
        <v>14</v>
      </c>
      <c r="C41" s="33" t="s">
        <v>22</v>
      </c>
      <c r="D41" s="16" t="s">
        <v>51</v>
      </c>
    </row>
    <row r="42" spans="1:8" ht="51" hidden="1" x14ac:dyDescent="0.2">
      <c r="B42" s="292"/>
      <c r="C42" s="32" t="s">
        <v>15</v>
      </c>
      <c r="D42" s="16" t="s">
        <v>49</v>
      </c>
    </row>
    <row r="43" spans="1:8" ht="25.5" hidden="1" x14ac:dyDescent="0.2">
      <c r="B43" s="292"/>
      <c r="C43" s="33" t="s">
        <v>24</v>
      </c>
      <c r="D43" s="16" t="s">
        <v>135</v>
      </c>
    </row>
    <row r="44" spans="1:8" ht="15" hidden="1" x14ac:dyDescent="0.2">
      <c r="B44" s="292"/>
      <c r="C44" s="289" t="s">
        <v>147</v>
      </c>
      <c r="D44" s="95" t="s">
        <v>29</v>
      </c>
    </row>
    <row r="45" spans="1:8" ht="83.25" hidden="1" customHeight="1" thickBot="1" x14ac:dyDescent="0.25">
      <c r="B45" s="293"/>
      <c r="C45" s="290"/>
      <c r="D45" s="96" t="s">
        <v>146</v>
      </c>
    </row>
    <row r="46" spans="1:8" ht="7.5" hidden="1" customHeight="1" x14ac:dyDescent="0.2"/>
    <row r="47" spans="1:8" ht="21" customHeight="1" x14ac:dyDescent="0.2">
      <c r="B47" s="280" t="s">
        <v>143</v>
      </c>
      <c r="C47" s="280"/>
      <c r="D47" s="280"/>
      <c r="E47" s="280"/>
      <c r="F47" s="280"/>
      <c r="G47" s="280"/>
      <c r="H47" s="280"/>
    </row>
  </sheetData>
  <mergeCells count="12">
    <mergeCell ref="B2:H2"/>
    <mergeCell ref="B47:H47"/>
    <mergeCell ref="B3:C3"/>
    <mergeCell ref="B22:B25"/>
    <mergeCell ref="B27:B30"/>
    <mergeCell ref="B32:B33"/>
    <mergeCell ref="B10:B20"/>
    <mergeCell ref="B5:B8"/>
    <mergeCell ref="C38:C39"/>
    <mergeCell ref="B35:B39"/>
    <mergeCell ref="B41:B45"/>
    <mergeCell ref="C44:C4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workbookViewId="0"/>
  </sheetViews>
  <sheetFormatPr baseColWidth="10" defaultRowHeight="15" x14ac:dyDescent="0.25"/>
  <cols>
    <col min="1" max="1" width="23.28515625" style="38" customWidth="1"/>
    <col min="2" max="2" width="18.5703125" style="38" customWidth="1"/>
    <col min="3" max="3" width="23.7109375" style="38" customWidth="1"/>
    <col min="4" max="4" width="16.85546875" style="38" customWidth="1"/>
    <col min="5" max="5" width="0" style="38" hidden="1" customWidth="1"/>
    <col min="6" max="6" width="11.42578125" style="38" hidden="1" customWidth="1"/>
    <col min="7" max="7" width="12.7109375" style="38" hidden="1" customWidth="1"/>
    <col min="8" max="8" width="7.140625" style="38" hidden="1" customWidth="1"/>
    <col min="9" max="9" width="14" style="38" hidden="1" customWidth="1"/>
    <col min="10" max="10" width="12.28515625" style="38" hidden="1" customWidth="1"/>
    <col min="11" max="11" width="16" style="38" hidden="1" customWidth="1"/>
    <col min="12" max="12" width="13.85546875" style="38" hidden="1" customWidth="1"/>
    <col min="13" max="13" width="20" style="38" hidden="1" customWidth="1"/>
    <col min="14" max="14" width="0" style="38" hidden="1" customWidth="1"/>
    <col min="15" max="15" width="13.7109375" style="38" hidden="1" customWidth="1"/>
    <col min="16" max="16384" width="11.42578125" style="38"/>
  </cols>
  <sheetData>
    <row r="1" spans="1:15" ht="21" x14ac:dyDescent="0.35">
      <c r="A1" s="37" t="s">
        <v>144</v>
      </c>
    </row>
    <row r="3" spans="1:15" x14ac:dyDescent="0.25">
      <c r="A3" s="60" t="s">
        <v>102</v>
      </c>
    </row>
    <row r="4" spans="1:15" x14ac:dyDescent="0.25">
      <c r="A4" s="61" t="s">
        <v>103</v>
      </c>
    </row>
    <row r="5" spans="1:15" x14ac:dyDescent="0.25">
      <c r="A5" s="92" t="s">
        <v>105</v>
      </c>
    </row>
    <row r="6" spans="1:15" x14ac:dyDescent="0.25">
      <c r="A6" s="300" t="s">
        <v>104</v>
      </c>
      <c r="B6" s="298" t="s">
        <v>92</v>
      </c>
      <c r="C6" s="86" t="s">
        <v>90</v>
      </c>
      <c r="D6" s="86" t="s">
        <v>91</v>
      </c>
    </row>
    <row r="7" spans="1:15" x14ac:dyDescent="0.25">
      <c r="A7" s="301"/>
      <c r="B7" s="299"/>
      <c r="C7" s="87" t="s">
        <v>93</v>
      </c>
      <c r="D7" s="87" t="s">
        <v>145</v>
      </c>
      <c r="E7" s="39" t="s">
        <v>94</v>
      </c>
      <c r="G7" s="40" t="s">
        <v>95</v>
      </c>
    </row>
    <row r="8" spans="1:15" x14ac:dyDescent="0.25">
      <c r="A8" s="41" t="s">
        <v>106</v>
      </c>
      <c r="B8" s="63">
        <v>12500</v>
      </c>
      <c r="C8" s="88">
        <v>1160</v>
      </c>
      <c r="D8" s="88">
        <v>10483</v>
      </c>
      <c r="E8" s="42">
        <f>C8+D8</f>
        <v>11643</v>
      </c>
      <c r="G8" s="43">
        <f>C8/E8</f>
        <v>9.9630679378167136E-2</v>
      </c>
      <c r="I8" s="44">
        <f>(G8-G12)*E8</f>
        <v>-27.219768774086088</v>
      </c>
      <c r="J8" s="44">
        <f>(B8-B13)</f>
        <v>-21851.23945422352</v>
      </c>
      <c r="K8" s="44">
        <f>I8*J8</f>
        <v>594785.68537115131</v>
      </c>
      <c r="L8" s="64"/>
      <c r="M8" s="45">
        <f>E8*(B8-B13)^2</f>
        <v>5559260818579.9385</v>
      </c>
      <c r="N8" s="65"/>
      <c r="O8" s="66">
        <f>E8*B8</f>
        <v>145537500</v>
      </c>
    </row>
    <row r="9" spans="1:15" x14ac:dyDescent="0.25">
      <c r="A9" s="41" t="s">
        <v>107</v>
      </c>
      <c r="B9" s="63">
        <v>37500</v>
      </c>
      <c r="C9" s="88">
        <v>385</v>
      </c>
      <c r="D9" s="88">
        <v>3355</v>
      </c>
      <c r="E9" s="42">
        <f>C9+D9</f>
        <v>3740</v>
      </c>
      <c r="G9" s="43">
        <f>C9/E9</f>
        <v>0.10294117647058823</v>
      </c>
      <c r="I9" s="44">
        <f>(G9-G12)*E9</f>
        <v>3.6376419123007766</v>
      </c>
      <c r="J9" s="44">
        <f>(B9-B13)</f>
        <v>3148.7605457764803</v>
      </c>
      <c r="K9" s="44">
        <f>I9*J9</f>
        <v>11454.063333115593</v>
      </c>
      <c r="L9" s="67"/>
      <c r="M9" s="45">
        <f>E9*(B9-B13)^2</f>
        <v>37080951725.148354</v>
      </c>
      <c r="N9" s="65"/>
      <c r="O9" s="66">
        <f>E9*B9</f>
        <v>140250000</v>
      </c>
    </row>
    <row r="10" spans="1:15" x14ac:dyDescent="0.25">
      <c r="A10" s="41" t="s">
        <v>108</v>
      </c>
      <c r="B10" s="63">
        <v>75000</v>
      </c>
      <c r="C10" s="89">
        <v>219</v>
      </c>
      <c r="D10" s="89">
        <v>1852</v>
      </c>
      <c r="E10" s="42">
        <f t="shared" ref="E10:E11" si="0">C10+D10</f>
        <v>2071</v>
      </c>
      <c r="G10" s="43">
        <f>C10/E10</f>
        <v>0.10574601641718977</v>
      </c>
      <c r="I10" s="44">
        <f>(G10-G12)*E10</f>
        <v>7.8231434225601539</v>
      </c>
      <c r="J10" s="44">
        <f>(B10-B13)</f>
        <v>40648.76054577648</v>
      </c>
      <c r="K10" s="44">
        <f t="shared" ref="K10:K11" si="1">I10*J10</f>
        <v>318001.08369891398</v>
      </c>
      <c r="L10" s="67"/>
      <c r="M10" s="45">
        <f>E10*(B10-B13)^2</f>
        <v>3421958310923.2085</v>
      </c>
      <c r="N10" s="65"/>
      <c r="O10" s="68">
        <f>E10*B10</f>
        <v>155325000</v>
      </c>
    </row>
    <row r="11" spans="1:15" x14ac:dyDescent="0.25">
      <c r="A11" s="41" t="s">
        <v>109</v>
      </c>
      <c r="B11" s="69">
        <v>125000</v>
      </c>
      <c r="C11" s="89">
        <v>194</v>
      </c>
      <c r="D11" s="89">
        <v>1554</v>
      </c>
      <c r="E11" s="42">
        <f t="shared" si="0"/>
        <v>1748</v>
      </c>
      <c r="G11" s="43">
        <f>C11/E11</f>
        <v>0.11098398169336385</v>
      </c>
      <c r="I11" s="44">
        <f>(G11-G12)*E11</f>
        <v>15.758983439225084</v>
      </c>
      <c r="J11" s="44">
        <f>(B11-B13)</f>
        <v>90648.760545776488</v>
      </c>
      <c r="K11" s="44">
        <f t="shared" si="1"/>
        <v>1428532.3162271718</v>
      </c>
      <c r="L11" s="67"/>
      <c r="M11" s="45">
        <f>E11*(B11-B13)^2</f>
        <v>14363661734272.695</v>
      </c>
      <c r="N11" s="65"/>
      <c r="O11" s="68">
        <f>E11*B11</f>
        <v>218500000</v>
      </c>
    </row>
    <row r="12" spans="1:15" x14ac:dyDescent="0.25">
      <c r="A12" s="48" t="s">
        <v>94</v>
      </c>
      <c r="B12" s="70"/>
      <c r="C12" s="90">
        <f>SUM(C8:C11)</f>
        <v>1958</v>
      </c>
      <c r="D12" s="90">
        <f>SUM(D8:D11)</f>
        <v>17244</v>
      </c>
      <c r="E12" s="42">
        <f>C12+D12</f>
        <v>19202</v>
      </c>
      <c r="G12" s="49">
        <f>C12/E12</f>
        <v>0.10196854494323508</v>
      </c>
      <c r="I12" s="71"/>
      <c r="J12" s="72"/>
      <c r="K12" s="50">
        <f>SUM(K8:K11)</f>
        <v>2352773.1486303527</v>
      </c>
      <c r="L12" s="73"/>
      <c r="M12" s="51">
        <f>SUM(M8:M11)</f>
        <v>23381961815500.992</v>
      </c>
      <c r="N12" s="65"/>
      <c r="O12" s="74">
        <f>SUM(O8:O11)</f>
        <v>659612500</v>
      </c>
    </row>
    <row r="13" spans="1:15" ht="18" x14ac:dyDescent="0.35">
      <c r="A13" s="53" t="s">
        <v>96</v>
      </c>
      <c r="B13" s="75">
        <f>O12/E12</f>
        <v>34351.23945422352</v>
      </c>
      <c r="C13" s="46"/>
      <c r="D13" s="46"/>
      <c r="E13" s="46"/>
      <c r="F13" s="48" t="s">
        <v>97</v>
      </c>
      <c r="G13" s="54">
        <f>G12*(1-G12)</f>
        <v>9.1570960785394534E-2</v>
      </c>
      <c r="I13" s="76"/>
      <c r="J13" s="77" t="s">
        <v>98</v>
      </c>
      <c r="K13" s="78">
        <f>K12^2</f>
        <v>5535541488915.9834</v>
      </c>
      <c r="L13" s="79" t="s">
        <v>99</v>
      </c>
      <c r="M13" s="80">
        <f>M12*G13</f>
        <v>2141108708492.8337</v>
      </c>
      <c r="N13" s="65"/>
      <c r="O13" s="65"/>
    </row>
    <row r="14" spans="1:15" x14ac:dyDescent="0.25">
      <c r="I14" s="46"/>
      <c r="J14" s="46"/>
      <c r="K14" s="46"/>
      <c r="L14" s="46"/>
      <c r="M14" s="46"/>
    </row>
    <row r="15" spans="1:15" ht="20.25" customHeight="1" thickBot="1" x14ac:dyDescent="0.3">
      <c r="A15" s="55" t="s">
        <v>100</v>
      </c>
      <c r="B15" s="56">
        <f>K13/M13</f>
        <v>2.5853621850020656</v>
      </c>
      <c r="E15" s="57"/>
      <c r="F15" s="57"/>
      <c r="G15" s="57"/>
      <c r="I15" s="57"/>
    </row>
    <row r="16" spans="1:15" ht="15.75" thickBot="1" x14ac:dyDescent="0.3">
      <c r="A16" s="58" t="s">
        <v>101</v>
      </c>
      <c r="B16" s="59">
        <f>CHIDIST(B15,1)</f>
        <v>0.10785573486834858</v>
      </c>
    </row>
    <row r="17" spans="1:15" x14ac:dyDescent="0.25">
      <c r="A17" s="57"/>
      <c r="B17" s="57"/>
      <c r="C17" s="57"/>
      <c r="D17" s="57"/>
      <c r="E17" s="57"/>
      <c r="F17" s="57"/>
      <c r="G17" s="57"/>
    </row>
    <row r="18" spans="1:15" x14ac:dyDescent="0.25">
      <c r="A18" s="57"/>
      <c r="B18" s="57"/>
      <c r="C18" s="57"/>
      <c r="D18" s="57"/>
      <c r="E18" s="57"/>
      <c r="F18" s="57"/>
      <c r="G18" s="57"/>
    </row>
    <row r="19" spans="1:15" x14ac:dyDescent="0.25">
      <c r="B19" s="57"/>
      <c r="C19" s="57"/>
      <c r="D19" s="57"/>
      <c r="E19" s="57"/>
      <c r="F19" s="57"/>
      <c r="G19" s="57"/>
    </row>
    <row r="21" spans="1:15" x14ac:dyDescent="0.25">
      <c r="A21" s="60" t="s">
        <v>110</v>
      </c>
    </row>
    <row r="22" spans="1:15" x14ac:dyDescent="0.25">
      <c r="A22" s="61" t="s">
        <v>111</v>
      </c>
    </row>
    <row r="23" spans="1:15" x14ac:dyDescent="0.25">
      <c r="A23" s="62" t="s">
        <v>113</v>
      </c>
    </row>
    <row r="24" spans="1:15" x14ac:dyDescent="0.25">
      <c r="A24" s="294" t="s">
        <v>112</v>
      </c>
      <c r="B24" s="296" t="s">
        <v>92</v>
      </c>
      <c r="C24" s="86" t="s">
        <v>90</v>
      </c>
      <c r="D24" s="86" t="s">
        <v>91</v>
      </c>
    </row>
    <row r="25" spans="1:15" x14ac:dyDescent="0.25">
      <c r="A25" s="295"/>
      <c r="B25" s="297"/>
      <c r="C25" s="87" t="s">
        <v>93</v>
      </c>
      <c r="D25" s="87" t="s">
        <v>145</v>
      </c>
      <c r="E25" s="39" t="s">
        <v>94</v>
      </c>
      <c r="G25" s="40" t="s">
        <v>95</v>
      </c>
    </row>
    <row r="26" spans="1:15" x14ac:dyDescent="0.25">
      <c r="A26" s="41" t="s">
        <v>114</v>
      </c>
      <c r="B26" s="91">
        <v>2500</v>
      </c>
      <c r="C26" s="88">
        <v>16</v>
      </c>
      <c r="D26" s="88">
        <v>1745</v>
      </c>
      <c r="E26" s="42">
        <f>C26+D26</f>
        <v>1761</v>
      </c>
      <c r="G26" s="43">
        <f t="shared" ref="G26:G31" si="2">C26/E26</f>
        <v>9.0857467348097673E-3</v>
      </c>
      <c r="I26" s="44">
        <f>(G26-G31)*E26</f>
        <v>-5.1210280373831765</v>
      </c>
      <c r="J26" s="44">
        <f>(B26-B32)</f>
        <v>-16652.554517133958</v>
      </c>
      <c r="K26" s="44">
        <f>I26*J26</f>
        <v>85278.198576294861</v>
      </c>
      <c r="L26" s="64"/>
      <c r="M26" s="45">
        <f>E26*(B26-B32)^2</f>
        <v>488338634197.11487</v>
      </c>
      <c r="N26" s="65"/>
      <c r="O26" s="47">
        <f>E26*B26</f>
        <v>4402500</v>
      </c>
    </row>
    <row r="27" spans="1:15" x14ac:dyDescent="0.25">
      <c r="A27" s="81" t="s">
        <v>115</v>
      </c>
      <c r="B27" s="63">
        <v>7500</v>
      </c>
      <c r="C27" s="88">
        <v>12</v>
      </c>
      <c r="D27" s="88">
        <v>1083</v>
      </c>
      <c r="E27" s="42">
        <f t="shared" ref="E27:E30" si="3">C27+D27</f>
        <v>1095</v>
      </c>
      <c r="G27" s="43">
        <f t="shared" si="2"/>
        <v>1.0958904109589041E-2</v>
      </c>
      <c r="I27" s="44">
        <f>(G27-G31)*E27</f>
        <v>-1.133177570093457</v>
      </c>
      <c r="J27" s="44">
        <f>(B27-B32)</f>
        <v>-11652.554517133958</v>
      </c>
      <c r="K27" s="44">
        <f t="shared" ref="K27:K29" si="4">I27*J27</f>
        <v>13204.413413107395</v>
      </c>
      <c r="L27" s="67"/>
      <c r="M27" s="45">
        <f>E27*(B27-B32)^2</f>
        <v>148681319318.38303</v>
      </c>
      <c r="N27" s="65"/>
      <c r="O27" s="47">
        <f>E27*B27</f>
        <v>8212500</v>
      </c>
    </row>
    <row r="28" spans="1:15" x14ac:dyDescent="0.25">
      <c r="A28" s="81" t="s">
        <v>116</v>
      </c>
      <c r="B28" s="63">
        <v>17500</v>
      </c>
      <c r="C28" s="88">
        <v>17</v>
      </c>
      <c r="D28" s="88">
        <v>1802</v>
      </c>
      <c r="E28" s="42">
        <f t="shared" si="3"/>
        <v>1819</v>
      </c>
      <c r="G28" s="43">
        <f t="shared" si="2"/>
        <v>9.3457943925233638E-3</v>
      </c>
      <c r="I28" s="44">
        <f>(G28-G31)*E28</f>
        <v>-4.8166666666666664</v>
      </c>
      <c r="J28" s="44">
        <f>(B28-B32)</f>
        <v>-1652.5545171339581</v>
      </c>
      <c r="K28" s="44">
        <f t="shared" si="4"/>
        <v>7959.8042575285644</v>
      </c>
      <c r="L28" s="67"/>
      <c r="M28" s="45">
        <f>E28*(B28-B32)^2</f>
        <v>4967573369.9896259</v>
      </c>
      <c r="N28" s="65"/>
      <c r="O28" s="47">
        <f>E28*B28</f>
        <v>31832500</v>
      </c>
    </row>
    <row r="29" spans="1:15" x14ac:dyDescent="0.25">
      <c r="A29" s="82" t="s">
        <v>117</v>
      </c>
      <c r="B29" s="63">
        <v>37500</v>
      </c>
      <c r="C29" s="88">
        <v>20</v>
      </c>
      <c r="D29" s="88">
        <v>1253</v>
      </c>
      <c r="E29" s="42">
        <f t="shared" si="3"/>
        <v>1273</v>
      </c>
      <c r="G29" s="43">
        <f t="shared" si="2"/>
        <v>1.5710919088766692E-2</v>
      </c>
      <c r="I29" s="44">
        <f>(G29-G31)*E29</f>
        <v>4.7319314641744548</v>
      </c>
      <c r="J29" s="44">
        <f>(B29-B32)</f>
        <v>18347.445482866042</v>
      </c>
      <c r="K29" s="44">
        <f t="shared" si="4"/>
        <v>86818.854567599294</v>
      </c>
      <c r="L29" s="67"/>
      <c r="M29" s="45">
        <f>E29*(B29-B32)^2</f>
        <v>428528406065.60199</v>
      </c>
      <c r="N29" s="65"/>
      <c r="O29" s="47">
        <f>E29*B29</f>
        <v>47737500</v>
      </c>
    </row>
    <row r="30" spans="1:15" x14ac:dyDescent="0.25">
      <c r="A30" s="41" t="s">
        <v>118</v>
      </c>
      <c r="B30" s="69">
        <v>65200</v>
      </c>
      <c r="C30" s="88">
        <v>12</v>
      </c>
      <c r="D30" s="88">
        <v>460</v>
      </c>
      <c r="E30" s="42">
        <f t="shared" si="3"/>
        <v>472</v>
      </c>
      <c r="G30" s="43">
        <f t="shared" si="2"/>
        <v>2.5423728813559324E-2</v>
      </c>
      <c r="I30" s="44">
        <f>(G30-G31)*E30</f>
        <v>6.3389408099688485</v>
      </c>
      <c r="J30" s="44">
        <f>(B30-B32)</f>
        <v>46047.445482866038</v>
      </c>
      <c r="K30" s="44">
        <f>I30*J30</f>
        <v>291892.03136615525</v>
      </c>
      <c r="L30" s="67"/>
      <c r="M30" s="45">
        <f>E30*(B30-B32)^2</f>
        <v>1000813335154.8295</v>
      </c>
      <c r="N30" s="65"/>
      <c r="O30" s="47">
        <f>E30*B30</f>
        <v>30774400</v>
      </c>
    </row>
    <row r="31" spans="1:15" x14ac:dyDescent="0.25">
      <c r="A31" s="48" t="s">
        <v>94</v>
      </c>
      <c r="B31" s="70"/>
      <c r="C31" s="90">
        <f>SUM(C26:C30)</f>
        <v>77</v>
      </c>
      <c r="D31" s="90">
        <f>SUM(D26:D30)</f>
        <v>6343</v>
      </c>
      <c r="E31" s="42">
        <f>SUM(E26:E30)</f>
        <v>6420</v>
      </c>
      <c r="G31" s="49">
        <f t="shared" si="2"/>
        <v>1.1993769470404984E-2</v>
      </c>
      <c r="I31" s="71"/>
      <c r="J31" s="72"/>
      <c r="K31" s="83">
        <f>SUM(K26:K30)</f>
        <v>485153.30218068534</v>
      </c>
      <c r="L31" s="67"/>
      <c r="M31" s="84">
        <f>SUM(M26:M30)</f>
        <v>2071329268105.9189</v>
      </c>
      <c r="N31" s="65"/>
      <c r="O31" s="52">
        <f>SUM(O26:O30)</f>
        <v>122959400</v>
      </c>
    </row>
    <row r="32" spans="1:15" ht="18" x14ac:dyDescent="0.35">
      <c r="A32" s="53" t="s">
        <v>96</v>
      </c>
      <c r="B32" s="75">
        <f>O31/E31</f>
        <v>19152.554517133958</v>
      </c>
      <c r="C32" s="46"/>
      <c r="D32" s="46"/>
      <c r="E32" s="46"/>
      <c r="F32" s="48" t="s">
        <v>97</v>
      </c>
      <c r="G32" s="54">
        <f>G31*(1-G31)</f>
        <v>1.1849918964295766E-2</v>
      </c>
      <c r="I32" s="76"/>
      <c r="J32" s="77" t="s">
        <v>98</v>
      </c>
      <c r="K32" s="78">
        <f>K31^2</f>
        <v>235373726616.82336</v>
      </c>
      <c r="L32" s="79" t="s">
        <v>99</v>
      </c>
      <c r="M32" s="80">
        <f>M31*G32</f>
        <v>24545083975.429199</v>
      </c>
      <c r="N32" s="65"/>
      <c r="O32" s="65"/>
    </row>
    <row r="33" spans="1:15" x14ac:dyDescent="0.25">
      <c r="I33" s="46"/>
      <c r="J33" s="46"/>
      <c r="K33" s="46"/>
      <c r="L33" s="46"/>
      <c r="M33" s="46"/>
    </row>
    <row r="34" spans="1:15" ht="20.25" customHeight="1" thickBot="1" x14ac:dyDescent="0.3">
      <c r="A34" s="55" t="s">
        <v>100</v>
      </c>
      <c r="B34" s="56">
        <f>K32/M32</f>
        <v>9.5894447479765681</v>
      </c>
      <c r="E34" s="57"/>
      <c r="F34" s="57"/>
      <c r="G34" s="57"/>
      <c r="I34" s="57"/>
    </row>
    <row r="35" spans="1:15" ht="15.75" thickBot="1" x14ac:dyDescent="0.3">
      <c r="A35" s="58" t="s">
        <v>101</v>
      </c>
      <c r="B35" s="59">
        <f>CHIDIST(B34,1)</f>
        <v>1.9569911814120793E-3</v>
      </c>
    </row>
    <row r="36" spans="1:15" x14ac:dyDescent="0.25">
      <c r="A36" s="57"/>
      <c r="B36" s="57"/>
      <c r="C36" s="57"/>
    </row>
    <row r="37" spans="1:15" x14ac:dyDescent="0.25">
      <c r="A37" s="57"/>
      <c r="B37" s="57"/>
      <c r="C37" s="57"/>
    </row>
    <row r="38" spans="1:15" x14ac:dyDescent="0.25">
      <c r="A38" s="57"/>
      <c r="B38" s="57"/>
      <c r="C38" s="57"/>
      <c r="D38" s="57"/>
      <c r="E38" s="57"/>
    </row>
    <row r="40" spans="1:15" x14ac:dyDescent="0.25">
      <c r="A40" s="60" t="s">
        <v>110</v>
      </c>
    </row>
    <row r="41" spans="1:15" x14ac:dyDescent="0.25">
      <c r="A41" s="61" t="s">
        <v>111</v>
      </c>
    </row>
    <row r="42" spans="1:15" x14ac:dyDescent="0.25">
      <c r="A42" s="62" t="s">
        <v>113</v>
      </c>
    </row>
    <row r="43" spans="1:15" x14ac:dyDescent="0.25">
      <c r="A43" s="294" t="s">
        <v>104</v>
      </c>
      <c r="B43" s="296"/>
      <c r="C43" s="86" t="s">
        <v>90</v>
      </c>
      <c r="D43" s="86" t="s">
        <v>91</v>
      </c>
    </row>
    <row r="44" spans="1:15" ht="15" customHeight="1" x14ac:dyDescent="0.25">
      <c r="A44" s="295"/>
      <c r="B44" s="297" t="s">
        <v>92</v>
      </c>
      <c r="C44" s="87" t="s">
        <v>93</v>
      </c>
      <c r="D44" s="87" t="s">
        <v>145</v>
      </c>
      <c r="E44" s="39" t="s">
        <v>94</v>
      </c>
      <c r="G44" s="40" t="s">
        <v>95</v>
      </c>
    </row>
    <row r="45" spans="1:15" x14ac:dyDescent="0.25">
      <c r="A45" s="41" t="s">
        <v>119</v>
      </c>
      <c r="B45" s="63">
        <v>2500</v>
      </c>
      <c r="C45" s="88">
        <v>16</v>
      </c>
      <c r="D45" s="88">
        <v>1745</v>
      </c>
      <c r="E45" s="42">
        <f>C45+D45</f>
        <v>1761</v>
      </c>
      <c r="G45" s="43">
        <f t="shared" ref="G45:G52" si="5">C45/E45</f>
        <v>9.0857467348097673E-3</v>
      </c>
      <c r="I45" s="44">
        <f>(G45-G52)*E45</f>
        <v>-16.464058355437668</v>
      </c>
      <c r="J45" s="44">
        <f>(B45-B53)</f>
        <v>-31072.201591511934</v>
      </c>
      <c r="K45" s="44">
        <f>I45*J45</f>
        <v>511574.54023457569</v>
      </c>
      <c r="L45" s="64"/>
      <c r="M45" s="45">
        <f>E45*(B45-B53)^2</f>
        <v>1700213294380.4033</v>
      </c>
      <c r="N45" s="65"/>
      <c r="O45" s="47">
        <f t="shared" ref="O45:O51" si="6">E45*B45</f>
        <v>4402500</v>
      </c>
    </row>
    <row r="46" spans="1:15" x14ac:dyDescent="0.25">
      <c r="A46" s="82" t="s">
        <v>120</v>
      </c>
      <c r="B46" s="63">
        <v>7500</v>
      </c>
      <c r="C46" s="88">
        <v>12</v>
      </c>
      <c r="D46" s="88">
        <v>1083</v>
      </c>
      <c r="E46" s="42">
        <f t="shared" ref="E46:E51" si="7">C46+D46</f>
        <v>1095</v>
      </c>
      <c r="G46" s="43">
        <f t="shared" si="5"/>
        <v>1.0958904109589041E-2</v>
      </c>
      <c r="I46" s="44">
        <f>(G46-G52)*E46</f>
        <v>-8.1863395225464188</v>
      </c>
      <c r="J46" s="44">
        <f>(B46-B53)</f>
        <v>-26072.201591511934</v>
      </c>
      <c r="K46" s="44">
        <f t="shared" ref="K46:K48" si="8">I46*J46</f>
        <v>213435.89432839179</v>
      </c>
      <c r="L46" s="67"/>
      <c r="M46" s="45">
        <f>E46*(B46-B53)^2</f>
        <v>744336866932.13904</v>
      </c>
      <c r="N46" s="65"/>
      <c r="O46" s="47">
        <f t="shared" si="6"/>
        <v>8212500</v>
      </c>
    </row>
    <row r="47" spans="1:15" x14ac:dyDescent="0.25">
      <c r="A47" s="82" t="s">
        <v>121</v>
      </c>
      <c r="B47" s="63">
        <v>17500</v>
      </c>
      <c r="C47" s="88">
        <v>17</v>
      </c>
      <c r="D47" s="88">
        <v>1802</v>
      </c>
      <c r="E47" s="42">
        <f t="shared" si="7"/>
        <v>1819</v>
      </c>
      <c r="G47" s="43">
        <f t="shared" si="5"/>
        <v>9.3457943925233638E-3</v>
      </c>
      <c r="I47" s="44">
        <f>(G47-G52)*E47</f>
        <v>-16.533289124668439</v>
      </c>
      <c r="J47" s="44">
        <f>(B47-B53)</f>
        <v>-16072.201591511934</v>
      </c>
      <c r="K47" s="44">
        <f t="shared" si="8"/>
        <v>265726.35578242305</v>
      </c>
      <c r="L47" s="67"/>
      <c r="M47" s="45">
        <f>E47*(B47-B53)^2</f>
        <v>469876192812.72351</v>
      </c>
      <c r="N47" s="65"/>
      <c r="O47" s="47">
        <f t="shared" si="6"/>
        <v>31832500</v>
      </c>
    </row>
    <row r="48" spans="1:15" x14ac:dyDescent="0.25">
      <c r="A48" s="82" t="s">
        <v>107</v>
      </c>
      <c r="B48" s="63">
        <v>37500</v>
      </c>
      <c r="C48" s="88">
        <v>20</v>
      </c>
      <c r="D48" s="88">
        <v>1253</v>
      </c>
      <c r="E48" s="42">
        <f t="shared" si="7"/>
        <v>1273</v>
      </c>
      <c r="G48" s="43">
        <f t="shared" si="5"/>
        <v>1.5710919088766692E-2</v>
      </c>
      <c r="I48" s="44">
        <f>(G48-G52)*E48</f>
        <v>-3.4677718832891262</v>
      </c>
      <c r="J48" s="44">
        <f>(B48-B53)</f>
        <v>3927.7984084880663</v>
      </c>
      <c r="K48" s="44">
        <f t="shared" si="8"/>
        <v>-13620.708884182695</v>
      </c>
      <c r="L48" s="67"/>
      <c r="M48" s="45">
        <f>E48*(B48-B53)^2</f>
        <v>19639335229.919327</v>
      </c>
      <c r="N48" s="65"/>
      <c r="O48" s="47">
        <f t="shared" si="6"/>
        <v>47737500</v>
      </c>
    </row>
    <row r="49" spans="1:15" x14ac:dyDescent="0.25">
      <c r="A49" s="41" t="s">
        <v>122</v>
      </c>
      <c r="B49" s="63">
        <v>65200</v>
      </c>
      <c r="C49" s="88">
        <v>12</v>
      </c>
      <c r="D49" s="88">
        <v>460</v>
      </c>
      <c r="E49" s="42">
        <f t="shared" si="7"/>
        <v>472</v>
      </c>
      <c r="G49" s="43">
        <f t="shared" si="5"/>
        <v>2.5423728813559324E-2</v>
      </c>
      <c r="I49" s="44">
        <f>(G49-G52)*E49</f>
        <v>3.2986737400530508</v>
      </c>
      <c r="J49" s="44">
        <f>(B49-B53)</f>
        <v>31627.798408488066</v>
      </c>
      <c r="K49" s="44">
        <f>I49*J49</f>
        <v>104329.78806577125</v>
      </c>
      <c r="L49" s="67"/>
      <c r="M49" s="45">
        <f>E49*(B49-B53)^2</f>
        <v>472149922383.27728</v>
      </c>
      <c r="N49" s="65"/>
      <c r="O49" s="47">
        <f t="shared" si="6"/>
        <v>30774400</v>
      </c>
    </row>
    <row r="50" spans="1:15" x14ac:dyDescent="0.25">
      <c r="A50" s="41" t="s">
        <v>123</v>
      </c>
      <c r="B50" s="63">
        <v>87500</v>
      </c>
      <c r="C50" s="89">
        <v>8</v>
      </c>
      <c r="D50" s="89">
        <v>254</v>
      </c>
      <c r="E50" s="42">
        <f t="shared" si="7"/>
        <v>262</v>
      </c>
      <c r="G50" s="43">
        <f t="shared" si="5"/>
        <v>3.0534351145038167E-2</v>
      </c>
      <c r="I50" s="44">
        <f>(G50-G52)*E50</f>
        <v>3.1700265251989386</v>
      </c>
      <c r="J50" s="44">
        <f>(B50-B53)</f>
        <v>53927.798408488066</v>
      </c>
      <c r="K50" s="44">
        <f t="shared" ref="K50:K51" si="9">I50*J50</f>
        <v>170952.55140048827</v>
      </c>
      <c r="L50" s="67"/>
      <c r="M50" s="45">
        <f>E50*(B50-B53)^2</f>
        <v>761950349590.87036</v>
      </c>
      <c r="N50" s="65"/>
      <c r="O50" s="47">
        <f t="shared" si="6"/>
        <v>22925000</v>
      </c>
    </row>
    <row r="51" spans="1:15" x14ac:dyDescent="0.25">
      <c r="A51" s="41" t="s">
        <v>109</v>
      </c>
      <c r="B51" s="69">
        <v>125000</v>
      </c>
      <c r="C51" s="89">
        <v>54</v>
      </c>
      <c r="D51" s="89">
        <v>804</v>
      </c>
      <c r="E51" s="42">
        <f t="shared" si="7"/>
        <v>858</v>
      </c>
      <c r="G51" s="43">
        <f t="shared" si="5"/>
        <v>6.2937062937062943E-2</v>
      </c>
      <c r="I51" s="44">
        <f>(G51-G52)*E51</f>
        <v>38.182758620689661</v>
      </c>
      <c r="J51" s="44">
        <f>(B51-B53)</f>
        <v>91427.798408488074</v>
      </c>
      <c r="K51" s="44">
        <f t="shared" si="9"/>
        <v>3490965.5578523744</v>
      </c>
      <c r="L51" s="67"/>
      <c r="M51" s="45">
        <f>E51*(B51-B53)^2</f>
        <v>7172058312124.249</v>
      </c>
      <c r="N51" s="65"/>
      <c r="O51" s="47">
        <f t="shared" si="6"/>
        <v>107250000</v>
      </c>
    </row>
    <row r="52" spans="1:15" x14ac:dyDescent="0.25">
      <c r="A52" s="48" t="s">
        <v>94</v>
      </c>
      <c r="B52" s="70"/>
      <c r="C52" s="90">
        <f>SUM(C45:C51)</f>
        <v>139</v>
      </c>
      <c r="D52" s="90">
        <f>SUM(D45:D51)</f>
        <v>7401</v>
      </c>
      <c r="E52" s="42">
        <f>SUM(E45:E51)</f>
        <v>7540</v>
      </c>
      <c r="G52" s="49">
        <f t="shared" si="5"/>
        <v>1.843501326259947E-2</v>
      </c>
      <c r="I52" s="71"/>
      <c r="J52" s="72"/>
      <c r="K52" s="50">
        <f>SUM(K45:K51)</f>
        <v>4743363.9787798412</v>
      </c>
      <c r="L52" s="73"/>
      <c r="M52" s="51">
        <f>SUM(M45:M51)</f>
        <v>11340224273453.582</v>
      </c>
      <c r="N52" s="65"/>
      <c r="O52" s="52">
        <f>SUM(O45:O51)</f>
        <v>253134400</v>
      </c>
    </row>
    <row r="53" spans="1:15" ht="18" x14ac:dyDescent="0.35">
      <c r="A53" s="53" t="s">
        <v>96</v>
      </c>
      <c r="B53" s="75">
        <f>O52/E52</f>
        <v>33572.201591511934</v>
      </c>
      <c r="C53" s="98"/>
      <c r="D53" s="98"/>
      <c r="E53" s="46"/>
      <c r="F53" s="48" t="s">
        <v>97</v>
      </c>
      <c r="G53" s="54">
        <f>G52*(1-G52)</f>
        <v>1.8095163548607251E-2</v>
      </c>
      <c r="I53" s="76"/>
      <c r="J53" s="77" t="s">
        <v>98</v>
      </c>
      <c r="K53" s="78">
        <f>K52^2</f>
        <v>22499501835186.125</v>
      </c>
      <c r="L53" s="79" t="s">
        <v>99</v>
      </c>
      <c r="M53" s="80">
        <f>M52*G53</f>
        <v>205203212906.02841</v>
      </c>
      <c r="N53" s="65"/>
      <c r="O53" s="65"/>
    </row>
    <row r="54" spans="1:15" x14ac:dyDescent="0.25">
      <c r="C54" s="99"/>
      <c r="D54" s="99"/>
      <c r="I54" s="46"/>
      <c r="J54" s="46"/>
      <c r="K54" s="46"/>
      <c r="L54" s="46"/>
      <c r="M54" s="46"/>
    </row>
    <row r="55" spans="1:15" ht="20.25" customHeight="1" thickBot="1" x14ac:dyDescent="0.3">
      <c r="A55" s="55" t="s">
        <v>100</v>
      </c>
      <c r="B55" s="56">
        <f>K53/M53</f>
        <v>109.64497834392894</v>
      </c>
      <c r="C55" s="99"/>
      <c r="D55" s="99"/>
      <c r="E55" s="57"/>
      <c r="F55" s="57"/>
      <c r="G55" s="57"/>
      <c r="I55" s="57"/>
    </row>
    <row r="56" spans="1:15" ht="15.75" thickBot="1" x14ac:dyDescent="0.3">
      <c r="A56" s="58" t="s">
        <v>101</v>
      </c>
      <c r="B56" s="59">
        <f>CHIDIST(B55,1)</f>
        <v>1.1721055844399261E-25</v>
      </c>
      <c r="C56" s="99"/>
      <c r="D56" s="99"/>
    </row>
    <row r="57" spans="1:15" x14ac:dyDescent="0.25">
      <c r="C57" s="99"/>
      <c r="D57" s="99"/>
    </row>
    <row r="58" spans="1:15" x14ac:dyDescent="0.25">
      <c r="C58" s="99"/>
      <c r="D58" s="99"/>
    </row>
    <row r="59" spans="1:15" x14ac:dyDescent="0.25">
      <c r="A59" s="62"/>
      <c r="C59" s="99"/>
      <c r="D59" s="99"/>
    </row>
    <row r="60" spans="1:15" x14ac:dyDescent="0.25">
      <c r="C60" s="99"/>
      <c r="D60" s="99"/>
    </row>
    <row r="61" spans="1:15" x14ac:dyDescent="0.25">
      <c r="A61" s="60" t="s">
        <v>150</v>
      </c>
      <c r="C61" s="99"/>
      <c r="D61" s="99"/>
    </row>
    <row r="62" spans="1:15" x14ac:dyDescent="0.25">
      <c r="A62" s="61" t="s">
        <v>124</v>
      </c>
      <c r="C62" s="99"/>
      <c r="D62" s="99"/>
    </row>
    <row r="63" spans="1:15" x14ac:dyDescent="0.25">
      <c r="A63" s="62" t="s">
        <v>125</v>
      </c>
      <c r="C63" s="99"/>
      <c r="D63" s="99"/>
    </row>
    <row r="64" spans="1:15" ht="15" customHeight="1" x14ac:dyDescent="0.25">
      <c r="A64" s="294" t="s">
        <v>104</v>
      </c>
      <c r="B64" s="296" t="s">
        <v>92</v>
      </c>
      <c r="C64" s="86" t="s">
        <v>90</v>
      </c>
      <c r="D64" s="86" t="s">
        <v>91</v>
      </c>
    </row>
    <row r="65" spans="1:15" x14ac:dyDescent="0.25">
      <c r="A65" s="295"/>
      <c r="B65" s="297"/>
      <c r="C65" s="87" t="s">
        <v>93</v>
      </c>
      <c r="D65" s="87" t="s">
        <v>145</v>
      </c>
      <c r="E65" s="39" t="s">
        <v>94</v>
      </c>
      <c r="G65" s="40" t="s">
        <v>95</v>
      </c>
    </row>
    <row r="66" spans="1:15" x14ac:dyDescent="0.25">
      <c r="A66" s="82" t="s">
        <v>126</v>
      </c>
      <c r="B66" s="63">
        <v>5000</v>
      </c>
      <c r="C66" s="88">
        <v>2907</v>
      </c>
      <c r="D66" s="88">
        <v>57782</v>
      </c>
      <c r="E66" s="42">
        <f>C66+D66</f>
        <v>60689</v>
      </c>
      <c r="G66" s="43">
        <f t="shared" ref="G66:G74" si="10">C66/E66</f>
        <v>4.789994891990311E-2</v>
      </c>
      <c r="I66" s="44">
        <f>(G66-G74)*E66</f>
        <v>-148.9382748312502</v>
      </c>
      <c r="J66" s="44">
        <f>(B66-B75)</f>
        <v>-33139.926954725954</v>
      </c>
      <c r="K66" s="44">
        <f>I66*J66</f>
        <v>4935803.5486705303</v>
      </c>
      <c r="L66" s="64"/>
      <c r="M66" s="45">
        <f>E66*(B66-B75)^2</f>
        <v>66651983042525.305</v>
      </c>
      <c r="N66" s="65"/>
      <c r="O66" s="66">
        <f t="shared" ref="O66:O73" si="11">E66*B66</f>
        <v>303445000</v>
      </c>
    </row>
    <row r="67" spans="1:15" x14ac:dyDescent="0.25">
      <c r="A67" s="82" t="s">
        <v>127</v>
      </c>
      <c r="B67" s="63">
        <v>17500</v>
      </c>
      <c r="C67" s="88">
        <v>1815</v>
      </c>
      <c r="D67" s="88">
        <v>36003</v>
      </c>
      <c r="E67" s="42">
        <f t="shared" ref="E67:E73" si="12">C67+D67</f>
        <v>37818</v>
      </c>
      <c r="G67" s="43">
        <f t="shared" si="10"/>
        <v>4.7993019197207679E-2</v>
      </c>
      <c r="I67" s="44">
        <f>(G67-G74)*E67</f>
        <v>-89.290294411972738</v>
      </c>
      <c r="J67" s="44">
        <f>(B67-B75)</f>
        <v>-20639.926954725954</v>
      </c>
      <c r="K67" s="44">
        <f t="shared" ref="K67:K69" si="13">I67*J67</f>
        <v>1842945.1544290923</v>
      </c>
      <c r="L67" s="67"/>
      <c r="M67" s="45">
        <f>E67*(B67-B75)^2</f>
        <v>16110717020049.324</v>
      </c>
      <c r="N67" s="65"/>
      <c r="O67" s="66">
        <f t="shared" si="11"/>
        <v>661815000</v>
      </c>
    </row>
    <row r="68" spans="1:15" x14ac:dyDescent="0.25">
      <c r="A68" s="82" t="s">
        <v>128</v>
      </c>
      <c r="B68" s="63">
        <v>37500</v>
      </c>
      <c r="C68" s="88">
        <v>1281</v>
      </c>
      <c r="D68" s="88">
        <v>25129</v>
      </c>
      <c r="E68" s="42">
        <f t="shared" si="12"/>
        <v>26410</v>
      </c>
      <c r="G68" s="43">
        <f t="shared" si="10"/>
        <v>4.8504354411207873E-2</v>
      </c>
      <c r="I68" s="44">
        <f>(G68-G74)*E68</f>
        <v>-48.851041181982197</v>
      </c>
      <c r="J68" s="44">
        <f>(B68-B75)</f>
        <v>-639.92695472595369</v>
      </c>
      <c r="K68" s="44">
        <f t="shared" si="13"/>
        <v>31261.098018778022</v>
      </c>
      <c r="L68" s="67"/>
      <c r="M68" s="45">
        <f>E68*(B68-B75)^2</f>
        <v>10815066860.033434</v>
      </c>
      <c r="N68" s="65"/>
      <c r="O68" s="66">
        <f t="shared" si="11"/>
        <v>990375000</v>
      </c>
    </row>
    <row r="69" spans="1:15" x14ac:dyDescent="0.25">
      <c r="A69" s="82" t="s">
        <v>129</v>
      </c>
      <c r="B69" s="63">
        <v>62500</v>
      </c>
      <c r="C69" s="88">
        <v>511</v>
      </c>
      <c r="D69" s="88">
        <v>9148</v>
      </c>
      <c r="E69" s="42">
        <f t="shared" si="12"/>
        <v>9659</v>
      </c>
      <c r="G69" s="43">
        <f t="shared" si="10"/>
        <v>5.2904027332021951E-2</v>
      </c>
      <c r="I69" s="44">
        <f>(G69-G74)*E69</f>
        <v>24.630018675624207</v>
      </c>
      <c r="J69" s="44">
        <f>(B69-B75)</f>
        <v>24360.073045274046</v>
      </c>
      <c r="K69" s="44">
        <f t="shared" si="13"/>
        <v>599989.05404466961</v>
      </c>
      <c r="L69" s="67"/>
      <c r="M69" s="45">
        <f>E69*(B69-B75)^2</f>
        <v>5731777700569.9307</v>
      </c>
      <c r="N69" s="65"/>
      <c r="O69" s="66">
        <f t="shared" si="11"/>
        <v>603687500</v>
      </c>
    </row>
    <row r="70" spans="1:15" x14ac:dyDescent="0.25">
      <c r="A70" s="41" t="s">
        <v>130</v>
      </c>
      <c r="B70" s="63">
        <v>87500</v>
      </c>
      <c r="C70" s="88">
        <v>271</v>
      </c>
      <c r="D70" s="88">
        <v>4700</v>
      </c>
      <c r="E70" s="42">
        <f t="shared" si="12"/>
        <v>4971</v>
      </c>
      <c r="G70" s="43">
        <f t="shared" si="10"/>
        <v>5.4516193924763631E-2</v>
      </c>
      <c r="I70" s="44">
        <f>(G70-G74)*E70</f>
        <v>20.68990815162314</v>
      </c>
      <c r="J70" s="44">
        <f>(B70-B75)</f>
        <v>49360.073045274046</v>
      </c>
      <c r="K70" s="44">
        <f>I70*J70</f>
        <v>1021255.3776641291</v>
      </c>
      <c r="L70" s="67"/>
      <c r="M70" s="45">
        <f>E70*(B70-B75)^2</f>
        <v>12111427967653.939</v>
      </c>
      <c r="N70" s="65"/>
      <c r="O70" s="66">
        <f t="shared" si="11"/>
        <v>434962500</v>
      </c>
    </row>
    <row r="71" spans="1:15" x14ac:dyDescent="0.25">
      <c r="A71" s="41" t="s">
        <v>131</v>
      </c>
      <c r="B71" s="63">
        <v>125000</v>
      </c>
      <c r="C71" s="89">
        <v>395</v>
      </c>
      <c r="D71" s="89">
        <v>6134</v>
      </c>
      <c r="E71" s="42">
        <f t="shared" si="12"/>
        <v>6529</v>
      </c>
      <c r="G71" s="43">
        <f t="shared" si="10"/>
        <v>6.0499310767345688E-2</v>
      </c>
      <c r="I71" s="44">
        <f>(G71-G74)*E71</f>
        <v>66.238263995563742</v>
      </c>
      <c r="J71" s="44">
        <f>(B71-B75)</f>
        <v>86860.073045274039</v>
      </c>
      <c r="K71" s="44">
        <f t="shared" ref="K71:K73" si="14">I71*J71</f>
        <v>5753460.449046812</v>
      </c>
      <c r="L71" s="67"/>
      <c r="M71" s="45">
        <f>E71*(B71-B75)^2</f>
        <v>49259165377690.703</v>
      </c>
      <c r="N71" s="65"/>
      <c r="O71" s="66">
        <f t="shared" si="11"/>
        <v>816125000</v>
      </c>
    </row>
    <row r="72" spans="1:15" x14ac:dyDescent="0.25">
      <c r="A72" s="41" t="s">
        <v>132</v>
      </c>
      <c r="B72" s="63">
        <v>175000</v>
      </c>
      <c r="C72" s="89">
        <v>329</v>
      </c>
      <c r="D72" s="89">
        <v>4863</v>
      </c>
      <c r="E72" s="42">
        <f t="shared" si="12"/>
        <v>5192</v>
      </c>
      <c r="G72" s="43">
        <f t="shared" si="10"/>
        <v>6.3366718027734983E-2</v>
      </c>
      <c r="I72" s="44">
        <f>(G72-G74)*E72</f>
        <v>67.561658242451713</v>
      </c>
      <c r="J72" s="44">
        <f>(B72-B75)</f>
        <v>136860.07304527404</v>
      </c>
      <c r="K72" s="44">
        <f t="shared" si="14"/>
        <v>9246493.4821217824</v>
      </c>
      <c r="L72" s="67"/>
      <c r="M72" s="45">
        <f>E72*(B72-B75)^2</f>
        <v>97249688451828.609</v>
      </c>
      <c r="N72" s="65"/>
      <c r="O72" s="66">
        <f t="shared" si="11"/>
        <v>908600000</v>
      </c>
    </row>
    <row r="73" spans="1:15" x14ac:dyDescent="0.25">
      <c r="A73" s="41" t="s">
        <v>133</v>
      </c>
      <c r="B73" s="69">
        <v>225000</v>
      </c>
      <c r="C73" s="89">
        <v>391</v>
      </c>
      <c r="D73" s="89">
        <v>5230</v>
      </c>
      <c r="E73" s="42">
        <f t="shared" si="12"/>
        <v>5621</v>
      </c>
      <c r="G73" s="43">
        <f t="shared" si="10"/>
        <v>6.9560576409891481E-2</v>
      </c>
      <c r="I73" s="44">
        <f>(G73-G74)*E73</f>
        <v>107.95976135994241</v>
      </c>
      <c r="J73" s="44">
        <f>(B73-B75)</f>
        <v>186860.07304527404</v>
      </c>
      <c r="K73" s="44">
        <f t="shared" si="14"/>
        <v>20173368.893669192</v>
      </c>
      <c r="L73" s="67"/>
      <c r="M73" s="45">
        <f>E73*(B73-B75)^2</f>
        <v>196266697056385.03</v>
      </c>
      <c r="N73" s="65"/>
      <c r="O73" s="47">
        <f t="shared" si="11"/>
        <v>1264725000</v>
      </c>
    </row>
    <row r="74" spans="1:15" x14ac:dyDescent="0.25">
      <c r="A74" s="48" t="s">
        <v>94</v>
      </c>
      <c r="B74" s="70"/>
      <c r="C74" s="90">
        <f>SUM(C66:C73)</f>
        <v>7900</v>
      </c>
      <c r="D74" s="90">
        <f>SUM(D66:D73)</f>
        <v>148989</v>
      </c>
      <c r="E74" s="42">
        <f>SUM(E66:E73)</f>
        <v>156889</v>
      </c>
      <c r="G74" s="49">
        <f t="shared" si="10"/>
        <v>5.0354071987201141E-2</v>
      </c>
      <c r="I74" s="71"/>
      <c r="J74" s="72"/>
      <c r="K74" s="50">
        <f>SUM(K66:K73)</f>
        <v>43604577.05766499</v>
      </c>
      <c r="L74" s="67"/>
      <c r="M74" s="51">
        <f>SUM(M66:M73)</f>
        <v>443392271683562.88</v>
      </c>
      <c r="N74" s="65"/>
      <c r="O74" s="74">
        <f>SUM(O66:O73)</f>
        <v>5983735000</v>
      </c>
    </row>
    <row r="75" spans="1:15" ht="18" x14ac:dyDescent="0.35">
      <c r="A75" s="53" t="s">
        <v>96</v>
      </c>
      <c r="B75" s="75">
        <f>O74/E74</f>
        <v>38139.926954725954</v>
      </c>
      <c r="C75" s="98"/>
      <c r="D75" s="98"/>
      <c r="E75" s="46"/>
      <c r="F75" s="48" t="s">
        <v>97</v>
      </c>
      <c r="G75" s="54">
        <f>G74*(1-G74)</f>
        <v>4.7818539421508911E-2</v>
      </c>
      <c r="I75" s="76"/>
      <c r="J75" s="77" t="s">
        <v>98</v>
      </c>
      <c r="K75" s="78">
        <f>K74^2</f>
        <v>1901359140377844</v>
      </c>
      <c r="L75" s="79" t="s">
        <v>99</v>
      </c>
      <c r="M75" s="80">
        <f>M74*G75</f>
        <v>21202370822692.84</v>
      </c>
      <c r="N75" s="65"/>
      <c r="O75" s="65"/>
    </row>
    <row r="76" spans="1:15" x14ac:dyDescent="0.25">
      <c r="C76" s="99"/>
      <c r="D76" s="99"/>
      <c r="I76" s="46"/>
      <c r="J76" s="46"/>
      <c r="K76" s="46"/>
      <c r="L76" s="46"/>
      <c r="M76" s="46"/>
    </row>
    <row r="77" spans="1:15" ht="20.25" customHeight="1" thickBot="1" x14ac:dyDescent="0.3">
      <c r="A77" s="55" t="s">
        <v>100</v>
      </c>
      <c r="B77" s="56">
        <f>K75/M75</f>
        <v>89.676723243743311</v>
      </c>
      <c r="C77" s="99"/>
      <c r="D77" s="99"/>
      <c r="E77" s="57"/>
      <c r="F77" s="57"/>
      <c r="G77" s="57"/>
      <c r="I77" s="57"/>
    </row>
    <row r="78" spans="1:15" ht="15.75" thickBot="1" x14ac:dyDescent="0.3">
      <c r="A78" s="58" t="s">
        <v>101</v>
      </c>
      <c r="B78" s="59">
        <f>CHIDIST(B77,1)</f>
        <v>2.8043511734907921E-21</v>
      </c>
      <c r="C78" s="99"/>
      <c r="D78" s="99"/>
    </row>
    <row r="79" spans="1:15" x14ac:dyDescent="0.25">
      <c r="A79" s="57"/>
      <c r="B79" s="57"/>
      <c r="C79" s="99"/>
      <c r="D79" s="99"/>
    </row>
    <row r="80" spans="1:15" x14ac:dyDescent="0.25">
      <c r="A80" s="57"/>
      <c r="B80" s="57"/>
      <c r="C80" s="99"/>
      <c r="D80" s="99"/>
    </row>
    <row r="81" spans="1:15" x14ac:dyDescent="0.25">
      <c r="A81" s="57"/>
      <c r="B81" s="57"/>
      <c r="C81" s="99"/>
      <c r="D81" s="99"/>
    </row>
    <row r="82" spans="1:15" x14ac:dyDescent="0.25">
      <c r="C82" s="99"/>
      <c r="D82" s="99"/>
    </row>
    <row r="83" spans="1:15" x14ac:dyDescent="0.25">
      <c r="A83" s="60" t="s">
        <v>150</v>
      </c>
      <c r="C83" s="99"/>
      <c r="D83" s="99"/>
    </row>
    <row r="84" spans="1:15" x14ac:dyDescent="0.25">
      <c r="A84" s="61" t="s">
        <v>124</v>
      </c>
      <c r="C84" s="99"/>
      <c r="D84" s="99"/>
    </row>
    <row r="85" spans="1:15" x14ac:dyDescent="0.25">
      <c r="A85" s="62" t="s">
        <v>134</v>
      </c>
      <c r="C85" s="99"/>
      <c r="D85" s="99"/>
    </row>
    <row r="86" spans="1:15" x14ac:dyDescent="0.25">
      <c r="A86" s="294" t="s">
        <v>104</v>
      </c>
      <c r="B86" s="296" t="s">
        <v>92</v>
      </c>
      <c r="C86" s="86" t="s">
        <v>90</v>
      </c>
      <c r="D86" s="86" t="s">
        <v>91</v>
      </c>
    </row>
    <row r="87" spans="1:15" x14ac:dyDescent="0.25">
      <c r="A87" s="295"/>
      <c r="B87" s="297"/>
      <c r="C87" s="87" t="s">
        <v>93</v>
      </c>
      <c r="D87" s="87" t="s">
        <v>145</v>
      </c>
      <c r="E87" s="39" t="s">
        <v>94</v>
      </c>
      <c r="G87" s="40" t="s">
        <v>95</v>
      </c>
    </row>
    <row r="88" spans="1:15" x14ac:dyDescent="0.25">
      <c r="A88" s="82" t="s">
        <v>126</v>
      </c>
      <c r="B88" s="63">
        <v>5000</v>
      </c>
      <c r="C88" s="88">
        <v>392</v>
      </c>
      <c r="D88" s="88">
        <v>8369</v>
      </c>
      <c r="E88" s="42">
        <f>C88+D88</f>
        <v>8761</v>
      </c>
      <c r="G88" s="43">
        <f t="shared" ref="G88:G96" si="15">C88/E88</f>
        <v>4.4743750713388881E-2</v>
      </c>
      <c r="I88" s="44">
        <f>(G88-G96)*E88</f>
        <v>-260.48384710234279</v>
      </c>
      <c r="J88" s="44">
        <f>(B88-B97)</f>
        <v>-37228.216193999178</v>
      </c>
      <c r="K88" s="44">
        <f>I88*J88</f>
        <v>9697348.9749706443</v>
      </c>
      <c r="L88" s="64"/>
      <c r="M88" s="45">
        <f>E88*(B88-B97)^2</f>
        <v>12142221049528.355</v>
      </c>
      <c r="N88" s="65"/>
      <c r="O88" s="66">
        <f t="shared" ref="O88:O95" si="16">E88*B88</f>
        <v>43805000</v>
      </c>
    </row>
    <row r="89" spans="1:15" x14ac:dyDescent="0.25">
      <c r="A89" s="82" t="s">
        <v>127</v>
      </c>
      <c r="B89" s="63">
        <v>17500</v>
      </c>
      <c r="C89" s="88">
        <v>283</v>
      </c>
      <c r="D89" s="88">
        <v>5476</v>
      </c>
      <c r="E89" s="42">
        <f t="shared" ref="E89:E95" si="17">C89+D89</f>
        <v>5759</v>
      </c>
      <c r="G89" s="43">
        <f t="shared" si="15"/>
        <v>4.9140475777044626E-2</v>
      </c>
      <c r="I89" s="44">
        <f>(G89-G96)*E89</f>
        <v>-145.90702836004931</v>
      </c>
      <c r="J89" s="44">
        <f>(B89-B97)</f>
        <v>-24728.216193999178</v>
      </c>
      <c r="K89" s="44">
        <f t="shared" ref="K89:K91" si="18">I89*J89</f>
        <v>3608020.5415112688</v>
      </c>
      <c r="L89" s="67"/>
      <c r="M89" s="45">
        <f>E89*(B89-B97)^2</f>
        <v>3521540249873.9229</v>
      </c>
      <c r="N89" s="65"/>
      <c r="O89" s="66">
        <f t="shared" si="16"/>
        <v>100782500</v>
      </c>
    </row>
    <row r="90" spans="1:15" x14ac:dyDescent="0.25">
      <c r="A90" s="82" t="s">
        <v>128</v>
      </c>
      <c r="B90" s="63">
        <v>37500</v>
      </c>
      <c r="C90" s="88">
        <v>275</v>
      </c>
      <c r="D90" s="88">
        <v>3871</v>
      </c>
      <c r="E90" s="42">
        <f t="shared" si="17"/>
        <v>4146</v>
      </c>
      <c r="G90" s="43">
        <f t="shared" si="15"/>
        <v>6.6328991799324652E-2</v>
      </c>
      <c r="I90" s="44">
        <f>(G90-G96)*E90</f>
        <v>-33.777311960542519</v>
      </c>
      <c r="J90" s="44">
        <f>(B90-B97)</f>
        <v>-4728.2161939991784</v>
      </c>
      <c r="K90" s="44">
        <f t="shared" si="18"/>
        <v>159706.43340159926</v>
      </c>
      <c r="L90" s="67"/>
      <c r="M90" s="45">
        <f>E90*(B90-B97)^2</f>
        <v>92688093651.854935</v>
      </c>
      <c r="N90" s="65"/>
      <c r="O90" s="66">
        <f t="shared" si="16"/>
        <v>155475000</v>
      </c>
    </row>
    <row r="91" spans="1:15" x14ac:dyDescent="0.25">
      <c r="A91" s="82" t="s">
        <v>129</v>
      </c>
      <c r="B91" s="63">
        <v>62500</v>
      </c>
      <c r="C91" s="88">
        <v>133</v>
      </c>
      <c r="D91" s="88">
        <v>1432</v>
      </c>
      <c r="E91" s="42">
        <f t="shared" si="17"/>
        <v>1565</v>
      </c>
      <c r="G91" s="43">
        <f t="shared" si="15"/>
        <v>8.4984025559105433E-2</v>
      </c>
      <c r="I91" s="44">
        <f>(G91-G96)*E91</f>
        <v>16.445129469790391</v>
      </c>
      <c r="J91" s="44">
        <f>(B91-B97)</f>
        <v>20271.783806000822</v>
      </c>
      <c r="K91" s="44">
        <f t="shared" si="18"/>
        <v>333372.10927328374</v>
      </c>
      <c r="L91" s="67"/>
      <c r="M91" s="45">
        <f>E91*(B91-B97)^2</f>
        <v>643129267229.8761</v>
      </c>
      <c r="N91" s="65"/>
      <c r="O91" s="66">
        <f t="shared" si="16"/>
        <v>97812500</v>
      </c>
    </row>
    <row r="92" spans="1:15" x14ac:dyDescent="0.25">
      <c r="A92" s="41" t="s">
        <v>130</v>
      </c>
      <c r="B92" s="63">
        <v>87500</v>
      </c>
      <c r="C92" s="88">
        <v>95</v>
      </c>
      <c r="D92" s="88">
        <v>746</v>
      </c>
      <c r="E92" s="42">
        <f t="shared" si="17"/>
        <v>841</v>
      </c>
      <c r="G92" s="43">
        <f t="shared" si="15"/>
        <v>0.11296076099881094</v>
      </c>
      <c r="I92" s="44">
        <f>(G92-G96)*E92</f>
        <v>32.365721331689279</v>
      </c>
      <c r="J92" s="44">
        <f>(B92-B97)</f>
        <v>45271.783806000822</v>
      </c>
      <c r="K92" s="44">
        <f>I92*J92</f>
        <v>1465253.938853506</v>
      </c>
      <c r="L92" s="67"/>
      <c r="M92" s="45">
        <f>E92*(B92-B97)^2</f>
        <v>1723658437949.8911</v>
      </c>
      <c r="N92" s="65"/>
      <c r="O92" s="66">
        <f t="shared" si="16"/>
        <v>73587500</v>
      </c>
    </row>
    <row r="93" spans="1:15" x14ac:dyDescent="0.25">
      <c r="A93" s="41" t="s">
        <v>131</v>
      </c>
      <c r="B93" s="63">
        <v>125000</v>
      </c>
      <c r="C93" s="89">
        <v>180</v>
      </c>
      <c r="D93" s="89">
        <v>1104</v>
      </c>
      <c r="E93" s="42">
        <f t="shared" si="17"/>
        <v>1284</v>
      </c>
      <c r="G93" s="43">
        <f t="shared" si="15"/>
        <v>0.14018691588785046</v>
      </c>
      <c r="I93" s="44">
        <f>(G93-G96)*E93</f>
        <v>84.372872996300856</v>
      </c>
      <c r="J93" s="44">
        <f>(B93-B97)</f>
        <v>82771.783806000822</v>
      </c>
      <c r="K93" s="44">
        <f t="shared" ref="K93:K95" si="19">I93*J93</f>
        <v>6983693.2027409794</v>
      </c>
      <c r="L93" s="67"/>
      <c r="M93" s="45">
        <f>E93*(B93-B97)^2</f>
        <v>8796899961644.7031</v>
      </c>
      <c r="N93" s="65"/>
      <c r="O93" s="66">
        <f t="shared" si="16"/>
        <v>160500000</v>
      </c>
    </row>
    <row r="94" spans="1:15" x14ac:dyDescent="0.25">
      <c r="A94" s="41" t="s">
        <v>132</v>
      </c>
      <c r="B94" s="63">
        <v>175000</v>
      </c>
      <c r="C94" s="89">
        <v>206</v>
      </c>
      <c r="D94" s="89">
        <v>768</v>
      </c>
      <c r="E94" s="42">
        <f t="shared" si="17"/>
        <v>974</v>
      </c>
      <c r="G94" s="43">
        <f t="shared" si="15"/>
        <v>0.21149897330595482</v>
      </c>
      <c r="I94" s="44">
        <f>(G94-G96)*E94</f>
        <v>133.46041923551172</v>
      </c>
      <c r="J94" s="44">
        <f>(B94-B97)</f>
        <v>132771.78380600084</v>
      </c>
      <c r="K94" s="44">
        <f t="shared" si="19"/>
        <v>17719777.929395597</v>
      </c>
      <c r="L94" s="67"/>
      <c r="M94" s="45">
        <f>E94*(B94-B97)^2</f>
        <v>17170009564076.715</v>
      </c>
      <c r="N94" s="65"/>
      <c r="O94" s="66">
        <f t="shared" si="16"/>
        <v>170450000</v>
      </c>
    </row>
    <row r="95" spans="1:15" x14ac:dyDescent="0.25">
      <c r="A95" s="41" t="s">
        <v>133</v>
      </c>
      <c r="B95" s="69">
        <v>225000</v>
      </c>
      <c r="C95" s="89">
        <v>248</v>
      </c>
      <c r="D95" s="89">
        <v>752</v>
      </c>
      <c r="E95" s="42">
        <f t="shared" si="17"/>
        <v>1000</v>
      </c>
      <c r="G95" s="43">
        <f t="shared" si="15"/>
        <v>0.248</v>
      </c>
      <c r="I95" s="44">
        <f>(G95-G96)*E95</f>
        <v>173.52404438964243</v>
      </c>
      <c r="J95" s="44">
        <f>(B95-B97)</f>
        <v>182771.78380600084</v>
      </c>
      <c r="K95" s="44">
        <f t="shared" si="19"/>
        <v>31715299.126326617</v>
      </c>
      <c r="L95" s="67"/>
      <c r="M95" s="45">
        <f>E95*(B95-B97)^2</f>
        <v>33405524955627.512</v>
      </c>
      <c r="N95" s="65"/>
      <c r="O95" s="47">
        <f t="shared" si="16"/>
        <v>225000000</v>
      </c>
    </row>
    <row r="96" spans="1:15" x14ac:dyDescent="0.25">
      <c r="A96" s="48" t="s">
        <v>94</v>
      </c>
      <c r="B96" s="70"/>
      <c r="C96" s="90">
        <f>SUM(C88:C95)</f>
        <v>1812</v>
      </c>
      <c r="D96" s="90">
        <f>SUM(D88:D95)</f>
        <v>22518</v>
      </c>
      <c r="E96" s="42">
        <f>SUM(E88:E95)</f>
        <v>24330</v>
      </c>
      <c r="G96" s="49">
        <f t="shared" si="15"/>
        <v>7.447595561035758E-2</v>
      </c>
      <c r="I96" s="71"/>
      <c r="J96" s="72"/>
      <c r="K96" s="50">
        <f>SUM(K88:K95)</f>
        <v>71682472.256473497</v>
      </c>
      <c r="L96" s="67"/>
      <c r="M96" s="51">
        <f>SUM(M88:M95)</f>
        <v>77495671579582.828</v>
      </c>
      <c r="N96" s="65"/>
      <c r="O96" s="74">
        <f>SUM(O88:O95)</f>
        <v>1027412500</v>
      </c>
    </row>
    <row r="97" spans="1:15" ht="18" x14ac:dyDescent="0.35">
      <c r="A97" s="53" t="s">
        <v>96</v>
      </c>
      <c r="B97" s="75">
        <f>O96/E96</f>
        <v>42228.216193999178</v>
      </c>
      <c r="C97" s="98"/>
      <c r="D97" s="98"/>
      <c r="E97" s="46"/>
      <c r="F97" s="48" t="s">
        <v>97</v>
      </c>
      <c r="G97" s="54">
        <f>G96*(1-G96)</f>
        <v>6.8929287646281631E-2</v>
      </c>
      <c r="I97" s="76"/>
      <c r="J97" s="77" t="s">
        <v>98</v>
      </c>
      <c r="K97" s="78">
        <f>K96^2</f>
        <v>5138376828800093</v>
      </c>
      <c r="L97" s="79" t="s">
        <v>99</v>
      </c>
      <c r="M97" s="80">
        <f>M96*G97</f>
        <v>5341721437650.8369</v>
      </c>
      <c r="N97" s="65"/>
      <c r="O97" s="65"/>
    </row>
    <row r="98" spans="1:15" x14ac:dyDescent="0.25">
      <c r="C98" s="99"/>
      <c r="D98" s="99"/>
      <c r="I98" s="46"/>
      <c r="J98" s="46"/>
      <c r="K98" s="46"/>
      <c r="L98" s="46"/>
      <c r="M98" s="46"/>
    </row>
    <row r="99" spans="1:15" ht="20.25" customHeight="1" thickBot="1" x14ac:dyDescent="0.3">
      <c r="A99" s="55" t="s">
        <v>100</v>
      </c>
      <c r="B99" s="56">
        <f>K97/M97</f>
        <v>961.93275684174012</v>
      </c>
      <c r="C99" s="99"/>
      <c r="D99" s="99"/>
      <c r="E99" s="57"/>
      <c r="F99" s="57"/>
      <c r="G99" s="57"/>
      <c r="I99" s="57"/>
    </row>
    <row r="100" spans="1:15" ht="15.75" thickBot="1" x14ac:dyDescent="0.3">
      <c r="A100" s="58" t="s">
        <v>101</v>
      </c>
      <c r="B100" s="59">
        <f>CHIDIST(B99,1)</f>
        <v>3.3796619446208179E-211</v>
      </c>
      <c r="C100" s="99"/>
      <c r="D100" s="99"/>
    </row>
    <row r="101" spans="1:15" x14ac:dyDescent="0.25">
      <c r="C101" s="99"/>
      <c r="D101" s="99"/>
    </row>
    <row r="102" spans="1:15" x14ac:dyDescent="0.25">
      <c r="C102" s="99"/>
      <c r="D102" s="99"/>
    </row>
    <row r="103" spans="1:15" x14ac:dyDescent="0.25">
      <c r="C103" s="99"/>
      <c r="D103" s="99"/>
    </row>
    <row r="104" spans="1:15" x14ac:dyDescent="0.25">
      <c r="C104" s="99"/>
      <c r="D104" s="99"/>
    </row>
    <row r="105" spans="1:15" x14ac:dyDescent="0.25">
      <c r="C105" s="99"/>
      <c r="D105" s="99"/>
    </row>
    <row r="106" spans="1:15" x14ac:dyDescent="0.25">
      <c r="C106" s="99"/>
      <c r="D106" s="99"/>
    </row>
  </sheetData>
  <mergeCells count="10">
    <mergeCell ref="A24:A25"/>
    <mergeCell ref="B24:B25"/>
    <mergeCell ref="B6:B7"/>
    <mergeCell ref="A6:A7"/>
    <mergeCell ref="A86:A87"/>
    <mergeCell ref="B86:B87"/>
    <mergeCell ref="A64:A65"/>
    <mergeCell ref="B64:B65"/>
    <mergeCell ref="A43:A44"/>
    <mergeCell ref="B43:B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K1" workbookViewId="0">
      <selection activeCell="K1" sqref="K1"/>
    </sheetView>
  </sheetViews>
  <sheetFormatPr baseColWidth="10" defaultRowHeight="15" x14ac:dyDescent="0.25"/>
  <cols>
    <col min="1" max="1" width="17.85546875" hidden="1" customWidth="1"/>
    <col min="2" max="2" width="17.7109375" hidden="1" customWidth="1"/>
    <col min="3" max="3" width="18.7109375" hidden="1" customWidth="1"/>
    <col min="4" max="4" width="16" hidden="1" customWidth="1"/>
    <col min="5" max="5" width="20.42578125" hidden="1" customWidth="1"/>
    <col min="6" max="6" width="15.140625" hidden="1" customWidth="1"/>
    <col min="7" max="7" width="12.85546875" hidden="1" customWidth="1"/>
    <col min="8" max="8" width="0" hidden="1" customWidth="1"/>
    <col min="9" max="9" width="12.85546875" hidden="1" customWidth="1"/>
    <col min="10" max="10" width="9.5703125" hidden="1" customWidth="1"/>
    <col min="11" max="11" width="40.5703125" customWidth="1"/>
    <col min="12" max="12" width="18.85546875" customWidth="1"/>
    <col min="13" max="13" width="17.85546875" customWidth="1"/>
    <col min="14" max="14" width="19.85546875" customWidth="1"/>
    <col min="15" max="15" width="24.7109375" customWidth="1"/>
    <col min="16" max="16" width="24.28515625" customWidth="1"/>
    <col min="17" max="17" width="13.28515625" customWidth="1"/>
    <col min="18" max="18" width="13.7109375" customWidth="1"/>
  </cols>
  <sheetData>
    <row r="1" spans="1:23" x14ac:dyDescent="0.25">
      <c r="A1" s="100"/>
      <c r="B1" s="101"/>
      <c r="C1" s="102"/>
      <c r="D1" s="103"/>
      <c r="E1" s="104"/>
      <c r="F1" s="105"/>
      <c r="G1" s="105"/>
      <c r="H1" s="106"/>
      <c r="I1" s="107"/>
      <c r="J1" s="102"/>
      <c r="K1" s="108"/>
      <c r="L1" s="109" t="s">
        <v>157</v>
      </c>
      <c r="M1" s="102"/>
      <c r="N1" s="110"/>
      <c r="O1" s="111"/>
      <c r="P1" s="112"/>
      <c r="Q1" s="112"/>
      <c r="R1" s="113"/>
      <c r="S1" s="113"/>
      <c r="T1" s="113"/>
      <c r="U1" s="113"/>
      <c r="V1" s="113"/>
      <c r="W1" s="113"/>
    </row>
    <row r="2" spans="1:23" ht="18.75" x14ac:dyDescent="0.3">
      <c r="A2" s="114" t="s">
        <v>158</v>
      </c>
      <c r="B2" s="101"/>
      <c r="C2" s="102"/>
      <c r="D2" s="103"/>
      <c r="E2" s="104"/>
      <c r="F2" s="105"/>
      <c r="G2" s="105"/>
      <c r="H2" s="106"/>
      <c r="I2" s="107"/>
      <c r="J2" s="102"/>
      <c r="K2" s="108"/>
      <c r="L2" s="115" t="s">
        <v>159</v>
      </c>
      <c r="M2" s="116"/>
      <c r="N2" s="102"/>
      <c r="O2" s="111"/>
      <c r="P2" s="117"/>
      <c r="Q2" s="117"/>
      <c r="R2" s="113"/>
      <c r="S2" s="113"/>
      <c r="T2" s="113"/>
      <c r="U2" s="113"/>
      <c r="V2" s="113"/>
      <c r="W2" s="113"/>
    </row>
    <row r="3" spans="1:23" x14ac:dyDescent="0.25">
      <c r="A3" s="109" t="s">
        <v>160</v>
      </c>
      <c r="B3" s="112"/>
      <c r="C3" s="112"/>
      <c r="D3" s="112"/>
      <c r="E3" s="104"/>
      <c r="F3" s="105"/>
      <c r="G3" s="105"/>
      <c r="H3" s="106"/>
      <c r="I3" s="112"/>
      <c r="J3" s="112"/>
      <c r="K3" s="116"/>
      <c r="L3" s="118" t="s">
        <v>161</v>
      </c>
      <c r="M3" s="119"/>
      <c r="N3" s="119"/>
      <c r="O3" s="119"/>
      <c r="P3" s="119"/>
      <c r="Q3" s="120"/>
      <c r="R3" s="121"/>
      <c r="S3" s="121"/>
      <c r="T3" s="122"/>
      <c r="U3" s="122"/>
      <c r="V3" s="102"/>
      <c r="W3" s="102"/>
    </row>
    <row r="4" spans="1:23" x14ac:dyDescent="0.25">
      <c r="B4" s="121"/>
      <c r="C4" s="116"/>
      <c r="D4" s="116"/>
      <c r="E4" s="116"/>
      <c r="F4" s="123"/>
      <c r="G4" s="124"/>
      <c r="H4" s="125"/>
      <c r="I4" s="124"/>
      <c r="J4" s="126"/>
      <c r="K4" s="127"/>
      <c r="L4" s="128" t="s">
        <v>162</v>
      </c>
      <c r="M4" s="112"/>
      <c r="N4" s="100"/>
      <c r="O4" s="109" t="s">
        <v>163</v>
      </c>
      <c r="P4" s="102"/>
      <c r="Q4" s="129"/>
      <c r="R4" s="117"/>
      <c r="S4" s="117"/>
      <c r="T4" s="117"/>
      <c r="U4" s="102"/>
      <c r="V4" s="121"/>
      <c r="W4" s="121"/>
    </row>
    <row r="5" spans="1:23" x14ac:dyDescent="0.25">
      <c r="A5" s="112"/>
      <c r="B5" s="115"/>
      <c r="C5" s="130" t="s">
        <v>164</v>
      </c>
      <c r="D5" s="130" t="s">
        <v>165</v>
      </c>
      <c r="E5" s="131"/>
      <c r="F5" s="115"/>
      <c r="G5" s="302" t="s">
        <v>166</v>
      </c>
      <c r="H5" s="303"/>
      <c r="I5" s="303"/>
      <c r="J5" s="304"/>
      <c r="K5" s="112"/>
      <c r="L5" s="128" t="s">
        <v>167</v>
      </c>
      <c r="M5" s="132"/>
      <c r="N5" s="132"/>
      <c r="O5" s="102"/>
      <c r="P5" s="102"/>
      <c r="Q5" s="129"/>
      <c r="R5" s="117"/>
      <c r="S5" s="117"/>
      <c r="T5" s="117"/>
      <c r="U5" s="104"/>
      <c r="V5" s="111"/>
      <c r="W5" s="111"/>
    </row>
    <row r="6" spans="1:23" x14ac:dyDescent="0.25">
      <c r="A6" s="112"/>
      <c r="B6" s="115"/>
      <c r="C6" s="133" t="s">
        <v>90</v>
      </c>
      <c r="D6" s="133" t="s">
        <v>91</v>
      </c>
      <c r="E6" s="134" t="s">
        <v>94</v>
      </c>
      <c r="F6" s="115"/>
      <c r="G6" s="135" t="s">
        <v>168</v>
      </c>
      <c r="H6" s="136">
        <f>C25</f>
        <v>0.90480000000000005</v>
      </c>
      <c r="I6" s="137" t="s">
        <v>169</v>
      </c>
      <c r="J6" s="138">
        <f>H6/(1+H6)</f>
        <v>0.4750104997900042</v>
      </c>
      <c r="K6" s="112"/>
      <c r="L6" s="139" t="s">
        <v>170</v>
      </c>
      <c r="M6" s="140" t="s">
        <v>171</v>
      </c>
      <c r="N6" s="139" t="s">
        <v>172</v>
      </c>
      <c r="O6" s="141" t="s">
        <v>173</v>
      </c>
      <c r="P6" s="140" t="s">
        <v>174</v>
      </c>
      <c r="Q6" s="142" t="s">
        <v>175</v>
      </c>
      <c r="R6" s="117"/>
      <c r="S6" s="117"/>
      <c r="T6" s="117"/>
      <c r="U6" s="102"/>
      <c r="V6" s="102"/>
      <c r="W6" s="102"/>
    </row>
    <row r="7" spans="1:23" x14ac:dyDescent="0.25">
      <c r="A7" s="112"/>
      <c r="B7" s="143" t="s">
        <v>176</v>
      </c>
      <c r="C7" s="144">
        <v>48</v>
      </c>
      <c r="D7" s="144">
        <v>76</v>
      </c>
      <c r="E7" s="145">
        <f>C7+D7</f>
        <v>124</v>
      </c>
      <c r="F7" s="146"/>
      <c r="G7" s="147"/>
      <c r="H7" s="147"/>
      <c r="I7" s="147"/>
      <c r="J7" s="147"/>
      <c r="K7" s="112"/>
      <c r="L7" s="148">
        <v>7.7</v>
      </c>
      <c r="M7" s="149">
        <v>2.9717101911129435E-6</v>
      </c>
      <c r="N7" s="150">
        <f>L7/((1-M7)+(M7*L7))</f>
        <v>7.6998466925236642</v>
      </c>
      <c r="O7" s="151">
        <f>(M7*L7)/((1-M7)+(M7*L7))</f>
        <v>2.288171288617986E-5</v>
      </c>
      <c r="P7" s="151">
        <f>M7-O7</f>
        <v>-1.9910002695066918E-5</v>
      </c>
      <c r="Q7" s="152">
        <f>1/P7</f>
        <v>-50226.01027812864</v>
      </c>
      <c r="R7" s="117"/>
      <c r="S7" s="117"/>
      <c r="T7" s="117"/>
      <c r="U7" s="102"/>
      <c r="V7" s="102"/>
      <c r="W7" s="102"/>
    </row>
    <row r="8" spans="1:23" x14ac:dyDescent="0.25">
      <c r="A8" s="112"/>
      <c r="B8" s="143" t="s">
        <v>177</v>
      </c>
      <c r="C8" s="144">
        <v>27</v>
      </c>
      <c r="D8" s="144">
        <v>84</v>
      </c>
      <c r="E8" s="145">
        <f>C8+D8</f>
        <v>111</v>
      </c>
      <c r="F8" s="146"/>
      <c r="G8" s="305" t="s">
        <v>178</v>
      </c>
      <c r="H8" s="306"/>
      <c r="I8" s="306"/>
      <c r="J8" s="307"/>
      <c r="K8" s="112"/>
      <c r="L8" s="148">
        <v>5.7</v>
      </c>
      <c r="M8" s="149">
        <f>M7</f>
        <v>2.9717101911129435E-6</v>
      </c>
      <c r="N8" s="150">
        <f>L8/((1-M8)+(M8*L8))</f>
        <v>5.6999203889959098</v>
      </c>
      <c r="O8" s="151">
        <f>(M8*L8)/((1-M8)+(M8*L8))</f>
        <v>1.6938511508511599E-5</v>
      </c>
      <c r="P8" s="151">
        <f>M8-O8</f>
        <v>-1.3966801317398655E-5</v>
      </c>
      <c r="Q8" s="152">
        <f>1/P8</f>
        <v>-71598.355076067761</v>
      </c>
      <c r="R8" s="153"/>
      <c r="S8" s="121"/>
      <c r="T8" s="154"/>
      <c r="U8" s="155"/>
      <c r="V8" s="105"/>
      <c r="W8" s="105"/>
    </row>
    <row r="9" spans="1:23" x14ac:dyDescent="0.25">
      <c r="A9" s="112"/>
      <c r="B9" s="156" t="s">
        <v>94</v>
      </c>
      <c r="C9" s="157">
        <f>SUM(C7:C8)</f>
        <v>75</v>
      </c>
      <c r="D9" s="157">
        <f>SUM(D7:D8)</f>
        <v>160</v>
      </c>
      <c r="E9" s="145">
        <f>SUM(E7:E8)</f>
        <v>235</v>
      </c>
      <c r="F9" s="115"/>
      <c r="G9" s="158" t="s">
        <v>179</v>
      </c>
      <c r="H9" s="159">
        <v>0.6</v>
      </c>
      <c r="I9" s="160" t="s">
        <v>180</v>
      </c>
      <c r="J9" s="138">
        <f>H9/(1-H9)</f>
        <v>1.4999999999999998</v>
      </c>
      <c r="K9" s="112"/>
      <c r="L9" s="148">
        <v>10.5</v>
      </c>
      <c r="M9" s="149">
        <f>M7</f>
        <v>2.9717101911129435E-6</v>
      </c>
      <c r="N9" s="150">
        <f>L9/((1-M9)+(M9*L9))</f>
        <v>10.499703580276734</v>
      </c>
      <c r="O9" s="151">
        <f>(M9*L9)/((1-M9)+(M9*L9))</f>
        <v>3.1202076133173425E-5</v>
      </c>
      <c r="P9" s="151">
        <f>M9-O9</f>
        <v>-2.823036594206048E-5</v>
      </c>
      <c r="Q9" s="152">
        <f>1/P9</f>
        <v>-35422.84935492451</v>
      </c>
      <c r="R9" s="161"/>
      <c r="S9" s="162"/>
      <c r="T9" s="163"/>
      <c r="U9" s="164"/>
      <c r="V9" s="105"/>
      <c r="W9" s="105"/>
    </row>
    <row r="10" spans="1:23" x14ac:dyDescent="0.25">
      <c r="A10" s="112"/>
      <c r="B10" s="156"/>
      <c r="C10" s="156"/>
      <c r="D10" s="165"/>
      <c r="E10" s="165"/>
      <c r="F10" s="115"/>
      <c r="G10" s="166"/>
      <c r="H10" s="167"/>
      <c r="I10" s="168"/>
      <c r="J10" s="169"/>
      <c r="K10" s="112"/>
      <c r="R10" s="161"/>
      <c r="S10" s="162"/>
      <c r="T10" s="163"/>
      <c r="U10" s="164"/>
      <c r="V10" s="105"/>
      <c r="W10" s="105"/>
    </row>
    <row r="11" spans="1:23" hidden="1" x14ac:dyDescent="0.25">
      <c r="A11" s="170" t="s">
        <v>181</v>
      </c>
      <c r="B11" s="115"/>
      <c r="C11" s="171"/>
      <c r="D11" s="172"/>
      <c r="E11" s="115"/>
      <c r="F11" s="115"/>
      <c r="G11" s="115"/>
      <c r="H11" s="167"/>
      <c r="I11" s="168"/>
      <c r="J11" s="168"/>
      <c r="K11" s="173"/>
      <c r="R11" s="161"/>
      <c r="S11" s="162"/>
      <c r="T11" s="163"/>
      <c r="U11" s="155"/>
      <c r="V11" s="105"/>
      <c r="W11" s="105"/>
    </row>
    <row r="12" spans="1:23" hidden="1" x14ac:dyDescent="0.25">
      <c r="A12" s="174" t="s">
        <v>182</v>
      </c>
      <c r="B12" s="175"/>
      <c r="C12" s="176"/>
      <c r="D12" s="177"/>
      <c r="E12" s="178"/>
      <c r="F12" s="179"/>
      <c r="G12" s="178"/>
      <c r="H12" s="177"/>
      <c r="I12" s="180"/>
      <c r="J12" s="181"/>
      <c r="K12" s="182"/>
      <c r="P12" s="100"/>
      <c r="Q12" s="100"/>
      <c r="R12" s="161"/>
      <c r="S12" s="162"/>
      <c r="T12" s="163"/>
      <c r="U12" s="155"/>
      <c r="V12" s="105"/>
      <c r="W12" s="105"/>
    </row>
    <row r="13" spans="1:23" hidden="1" x14ac:dyDescent="0.25">
      <c r="A13" s="112" t="s">
        <v>183</v>
      </c>
      <c r="B13" s="175"/>
      <c r="C13" s="176"/>
      <c r="D13" s="177"/>
      <c r="E13" s="178"/>
      <c r="F13" s="179"/>
      <c r="G13" s="178"/>
      <c r="H13" s="177"/>
      <c r="I13" s="178"/>
      <c r="J13" s="179"/>
      <c r="K13" s="100"/>
      <c r="P13" s="183"/>
      <c r="Q13" s="153"/>
      <c r="R13" s="153"/>
      <c r="S13" s="153"/>
      <c r="T13" s="155"/>
      <c r="U13" s="184"/>
      <c r="V13" s="105"/>
      <c r="W13" s="105"/>
    </row>
    <row r="14" spans="1:23" ht="38.25" hidden="1" x14ac:dyDescent="0.25">
      <c r="A14" s="185" t="s">
        <v>184</v>
      </c>
      <c r="B14" s="185" t="s">
        <v>185</v>
      </c>
      <c r="C14" s="186" t="s">
        <v>186</v>
      </c>
      <c r="D14" s="185" t="s">
        <v>187</v>
      </c>
      <c r="E14" s="185" t="s">
        <v>188</v>
      </c>
      <c r="F14" s="185" t="s">
        <v>170</v>
      </c>
      <c r="G14" s="187" t="s">
        <v>189</v>
      </c>
      <c r="H14" s="187" t="s">
        <v>190</v>
      </c>
      <c r="I14" s="178"/>
      <c r="J14" s="179"/>
      <c r="K14" s="182"/>
      <c r="P14" s="183"/>
      <c r="Q14" s="183"/>
      <c r="R14" s="183"/>
      <c r="S14" s="183"/>
      <c r="T14" s="155"/>
      <c r="U14" s="155"/>
      <c r="V14" s="105"/>
      <c r="W14" s="105"/>
    </row>
    <row r="15" spans="1:23" hidden="1" x14ac:dyDescent="0.25">
      <c r="A15" s="188">
        <f>LN((C7/D7)/(C8/D8))</f>
        <v>0.67544760346054422</v>
      </c>
      <c r="B15" s="189">
        <f>SQRT((1/C7)+(1/C8)+(1/D7)+(1/D8))</f>
        <v>0.28798094904346427</v>
      </c>
      <c r="C15" s="190">
        <f>-NORMSINV(2.5/100)</f>
        <v>1.9599639845400538</v>
      </c>
      <c r="D15" s="190">
        <f>A15-(C15*B15)</f>
        <v>0.11101531510168983</v>
      </c>
      <c r="E15" s="191">
        <f>A15+(C15*B15)</f>
        <v>1.2398798918193985</v>
      </c>
      <c r="F15" s="192">
        <f>(C7/C8)/(D7/D8)</f>
        <v>1.9649122807017543</v>
      </c>
      <c r="G15" s="193">
        <f>EXP(D15)</f>
        <v>1.1174120200021289</v>
      </c>
      <c r="H15" s="194">
        <f>EXP(E15)</f>
        <v>3.4551984422408597</v>
      </c>
      <c r="I15" s="178"/>
      <c r="J15" s="179"/>
      <c r="K15" s="100"/>
      <c r="P15" s="183"/>
      <c r="Q15" s="183"/>
      <c r="R15" s="183"/>
      <c r="S15" s="183"/>
      <c r="T15" s="155"/>
      <c r="U15" s="155"/>
      <c r="V15" s="105"/>
      <c r="W15" s="105"/>
    </row>
    <row r="16" spans="1:23" hidden="1" x14ac:dyDescent="0.25">
      <c r="B16" s="175"/>
      <c r="C16" s="176"/>
      <c r="D16" s="177"/>
      <c r="E16" s="178"/>
      <c r="F16" s="179"/>
      <c r="G16" s="178"/>
      <c r="H16" s="177"/>
      <c r="I16" s="178"/>
      <c r="J16" s="179"/>
      <c r="K16" s="179"/>
      <c r="L16" s="179"/>
      <c r="M16" s="179"/>
      <c r="N16" s="179"/>
      <c r="O16" s="179"/>
      <c r="P16" s="179"/>
      <c r="Q16" s="183"/>
      <c r="R16" s="183"/>
      <c r="S16" s="183"/>
      <c r="T16" s="155"/>
      <c r="U16" s="155"/>
      <c r="V16" s="105"/>
      <c r="W16" s="105"/>
    </row>
    <row r="17" spans="1:18" hidden="1" x14ac:dyDescent="0.25">
      <c r="A17" s="195" t="s">
        <v>191</v>
      </c>
      <c r="B17" s="196">
        <f>C7/C8</f>
        <v>1.7777777777777777</v>
      </c>
      <c r="C17" s="196">
        <f>D7/D8</f>
        <v>0.90476190476190477</v>
      </c>
      <c r="D17" s="197">
        <f>ROUND(F15,2)</f>
        <v>1.96</v>
      </c>
      <c r="E17" s="198"/>
      <c r="F17" s="199"/>
      <c r="G17" s="200"/>
      <c r="H17" s="201"/>
      <c r="I17" s="201"/>
      <c r="J17" s="201"/>
      <c r="K17" s="202" t="s">
        <v>191</v>
      </c>
      <c r="L17" s="203"/>
      <c r="M17" s="203"/>
      <c r="N17" s="204">
        <f>ROUND(N7,2)</f>
        <v>7.7</v>
      </c>
      <c r="O17" s="205">
        <f>ROUND(P7,5)</f>
        <v>-2.0000000000000002E-5</v>
      </c>
      <c r="P17" s="206">
        <f>ROUND(Q7,0)</f>
        <v>-50226</v>
      </c>
      <c r="Q17" s="207"/>
      <c r="R17" s="208">
        <f>L7</f>
        <v>7.7</v>
      </c>
    </row>
    <row r="18" spans="1:18" hidden="1" x14ac:dyDescent="0.25">
      <c r="A18" s="209" t="s">
        <v>192</v>
      </c>
      <c r="B18" s="210"/>
      <c r="C18" s="210"/>
      <c r="D18" s="211">
        <f>ROUND(G15,2)</f>
        <v>1.1200000000000001</v>
      </c>
      <c r="E18" s="212"/>
      <c r="F18" s="213"/>
      <c r="G18" s="214"/>
      <c r="H18" s="201"/>
      <c r="I18" s="201"/>
      <c r="J18" s="201"/>
      <c r="K18" s="215" t="s">
        <v>192</v>
      </c>
      <c r="L18" s="216"/>
      <c r="M18" s="216"/>
      <c r="N18" s="217">
        <f>ROUND(N8,2)</f>
        <v>5.7</v>
      </c>
      <c r="O18" s="218">
        <f>ROUND(P8,5)</f>
        <v>-1.0000000000000001E-5</v>
      </c>
      <c r="P18" s="219">
        <f>ROUND(Q8,0)</f>
        <v>-71598</v>
      </c>
      <c r="Q18" s="220"/>
      <c r="R18" s="221">
        <f t="shared" ref="R18:R19" si="0">L8</f>
        <v>5.7</v>
      </c>
    </row>
    <row r="19" spans="1:18" hidden="1" x14ac:dyDescent="0.25">
      <c r="A19" s="209" t="s">
        <v>193</v>
      </c>
      <c r="B19" s="212"/>
      <c r="C19" s="212"/>
      <c r="D19" s="211">
        <f>ROUND(H15,2)</f>
        <v>3.46</v>
      </c>
      <c r="E19" s="212"/>
      <c r="F19" s="213"/>
      <c r="G19" s="214"/>
      <c r="H19" s="201"/>
      <c r="I19" s="201"/>
      <c r="J19" s="201"/>
      <c r="K19" s="215" t="s">
        <v>193</v>
      </c>
      <c r="L19" s="218">
        <f>ROUND(O7,7)</f>
        <v>2.2900000000000001E-5</v>
      </c>
      <c r="M19" s="218">
        <f>ROUND(M7,7)</f>
        <v>3.0000000000000001E-6</v>
      </c>
      <c r="N19" s="217">
        <f>ROUND(N9,2)</f>
        <v>10.5</v>
      </c>
      <c r="O19" s="218">
        <f>ROUND(P9,5)</f>
        <v>-3.0000000000000001E-5</v>
      </c>
      <c r="P19" s="219">
        <f>ROUND(Q9,0)</f>
        <v>-35423</v>
      </c>
      <c r="Q19" s="220"/>
      <c r="R19" s="221">
        <f t="shared" si="0"/>
        <v>10.5</v>
      </c>
    </row>
    <row r="20" spans="1:18" ht="38.25" hidden="1" x14ac:dyDescent="0.25">
      <c r="A20" s="209" t="s">
        <v>194</v>
      </c>
      <c r="B20" s="222" t="s">
        <v>195</v>
      </c>
      <c r="C20" s="222" t="s">
        <v>196</v>
      </c>
      <c r="D20" s="222" t="s">
        <v>170</v>
      </c>
      <c r="E20" s="212"/>
      <c r="F20" s="213"/>
      <c r="G20" s="214"/>
      <c r="H20" s="201"/>
      <c r="I20" s="201"/>
      <c r="J20" s="201"/>
      <c r="K20" s="215" t="s">
        <v>194</v>
      </c>
      <c r="L20" s="223" t="s">
        <v>197</v>
      </c>
      <c r="M20" s="223" t="s">
        <v>198</v>
      </c>
      <c r="N20" s="223" t="s">
        <v>172</v>
      </c>
      <c r="O20" s="223" t="s">
        <v>174</v>
      </c>
      <c r="P20" s="223" t="s">
        <v>175</v>
      </c>
      <c r="Q20" s="224"/>
      <c r="R20" s="225" t="s">
        <v>170</v>
      </c>
    </row>
    <row r="21" spans="1:18" hidden="1" x14ac:dyDescent="0.25">
      <c r="A21" s="226" t="s">
        <v>199</v>
      </c>
      <c r="B21" s="227">
        <f>ROUND(B17,4)</f>
        <v>1.7778</v>
      </c>
      <c r="C21" s="227">
        <f>ROUND(C17,4)</f>
        <v>0.90480000000000005</v>
      </c>
      <c r="D21" s="228" t="str">
        <f>CONCATENATE(D17," ",A17,D18,A18,D19,A19)</f>
        <v>1,96 (1,12-3,46)</v>
      </c>
      <c r="E21" s="212"/>
      <c r="F21" s="213"/>
      <c r="G21" s="214"/>
      <c r="H21" s="201"/>
      <c r="I21" s="201"/>
      <c r="J21" s="201"/>
      <c r="K21" s="229" t="s">
        <v>199</v>
      </c>
      <c r="L21" s="230">
        <f>L19</f>
        <v>2.2900000000000001E-5</v>
      </c>
      <c r="M21" s="230">
        <f>M19</f>
        <v>3.0000000000000001E-6</v>
      </c>
      <c r="N21" s="231" t="str">
        <f>CONCATENATE(N17," ",K17,N18,K18,N19,K19)</f>
        <v>7,7 (5,7-10,5)</v>
      </c>
      <c r="O21" s="231" t="str">
        <f>CONCATENATE(O17*100,K20," ",K17,O18*100,K20," ",K21," ",O19*100,K20,K19)</f>
        <v>-0,002% (-0,001% a -0,003%)</v>
      </c>
      <c r="P21" s="231" t="str">
        <f>CONCATENATE(P17," ",K17,P18," ",K21," ",P19,K19)</f>
        <v>-50226 (-71598 a -35423)</v>
      </c>
      <c r="Q21" s="224"/>
      <c r="R21" s="228" t="str">
        <f>CONCATENATE(R17," ",K17,R18,K18,R19,K19)</f>
        <v>7,7 (5,7-10,5)</v>
      </c>
    </row>
    <row r="22" spans="1:18" hidden="1" x14ac:dyDescent="0.25">
      <c r="A22" s="232" t="s">
        <v>200</v>
      </c>
      <c r="B22" s="233"/>
      <c r="C22" s="233"/>
      <c r="D22" s="233"/>
      <c r="E22" s="233"/>
      <c r="F22" s="234"/>
      <c r="G22" s="235"/>
      <c r="H22" s="201"/>
      <c r="I22" s="201"/>
      <c r="J22" s="201"/>
      <c r="K22" s="236" t="s">
        <v>200</v>
      </c>
      <c r="L22" s="237"/>
      <c r="M22" s="237"/>
      <c r="N22" s="237"/>
      <c r="O22" s="237"/>
      <c r="P22" s="237"/>
      <c r="Q22" s="238"/>
      <c r="R22" s="239"/>
    </row>
    <row r="23" spans="1:18" hidden="1" x14ac:dyDescent="0.25">
      <c r="B23" s="201"/>
      <c r="C23" s="201"/>
      <c r="D23" s="201"/>
      <c r="E23" s="201"/>
      <c r="F23" s="201"/>
      <c r="G23" s="201"/>
      <c r="H23" s="201"/>
      <c r="I23" s="201"/>
      <c r="J23" s="201"/>
      <c r="K23" s="112"/>
      <c r="L23" s="112"/>
      <c r="M23" s="240"/>
      <c r="N23" s="241"/>
      <c r="O23" s="242"/>
      <c r="P23" s="112"/>
    </row>
    <row r="24" spans="1:18" ht="38.25" x14ac:dyDescent="0.25">
      <c r="B24" s="222" t="s">
        <v>195</v>
      </c>
      <c r="C24" s="222" t="s">
        <v>196</v>
      </c>
      <c r="D24" s="222" t="s">
        <v>170</v>
      </c>
      <c r="E24" s="201"/>
      <c r="F24" s="201"/>
      <c r="G24" s="201"/>
      <c r="H24" s="201"/>
      <c r="I24" s="201"/>
      <c r="J24" s="201"/>
      <c r="K24" s="112"/>
      <c r="L24" s="243" t="s">
        <v>201</v>
      </c>
      <c r="M24" s="243" t="s">
        <v>202</v>
      </c>
      <c r="N24" s="244" t="s">
        <v>203</v>
      </c>
      <c r="O24" s="244" t="s">
        <v>204</v>
      </c>
      <c r="P24" s="244" t="s">
        <v>205</v>
      </c>
    </row>
    <row r="25" spans="1:18" ht="19.5" customHeight="1" x14ac:dyDescent="0.25">
      <c r="B25" s="245">
        <f>B21</f>
        <v>1.7778</v>
      </c>
      <c r="C25" s="245">
        <f>C21</f>
        <v>0.90480000000000005</v>
      </c>
      <c r="D25" s="245" t="str">
        <f>D21</f>
        <v>1,96 (1,12-3,46)</v>
      </c>
      <c r="E25" s="201"/>
      <c r="F25" s="201"/>
      <c r="G25" s="201"/>
      <c r="H25" s="201"/>
      <c r="I25" s="201"/>
      <c r="J25" s="201"/>
      <c r="K25" s="112"/>
      <c r="L25" s="246">
        <f t="shared" ref="L25:P25" si="1">L21</f>
        <v>2.2900000000000001E-5</v>
      </c>
      <c r="M25" s="246">
        <f t="shared" si="1"/>
        <v>3.0000000000000001E-6</v>
      </c>
      <c r="N25" s="245" t="str">
        <f t="shared" si="1"/>
        <v>7,7 (5,7-10,5)</v>
      </c>
      <c r="O25" s="245" t="str">
        <f t="shared" si="1"/>
        <v>-0,002% (-0,001% a -0,003%)</v>
      </c>
      <c r="P25" s="245" t="str">
        <f t="shared" si="1"/>
        <v>-50226 (-71598 a -35423)</v>
      </c>
    </row>
    <row r="27" spans="1:18" ht="23.25" customHeight="1" x14ac:dyDescent="0.25">
      <c r="A27" s="247"/>
      <c r="B27" s="248"/>
      <c r="C27" s="248"/>
      <c r="D27" s="248"/>
      <c r="E27" s="247"/>
      <c r="K27" s="60" t="s">
        <v>206</v>
      </c>
    </row>
    <row r="28" spans="1:18" ht="30.75" customHeight="1" x14ac:dyDescent="0.25">
      <c r="A28" s="247"/>
      <c r="B28" s="169"/>
      <c r="C28" s="169"/>
      <c r="D28" s="169"/>
      <c r="E28" s="247"/>
      <c r="K28" s="308" t="s">
        <v>207</v>
      </c>
      <c r="L28" s="308"/>
      <c r="M28" s="308"/>
      <c r="N28" s="308"/>
      <c r="O28" s="308"/>
      <c r="P28" s="308"/>
    </row>
    <row r="29" spans="1:18" x14ac:dyDescent="0.25">
      <c r="A29" s="247"/>
      <c r="B29" s="169"/>
      <c r="C29" s="169"/>
      <c r="D29" s="169"/>
      <c r="E29" s="247"/>
      <c r="K29" s="249" t="s">
        <v>208</v>
      </c>
    </row>
    <row r="30" spans="1:18" ht="33" customHeight="1" x14ac:dyDescent="0.25">
      <c r="A30" s="247"/>
      <c r="B30" s="169"/>
      <c r="C30" s="169"/>
      <c r="D30" s="169"/>
      <c r="E30" s="247"/>
      <c r="K30" s="309" t="s">
        <v>209</v>
      </c>
      <c r="L30" s="309"/>
      <c r="M30" s="309"/>
      <c r="N30" s="309"/>
      <c r="O30" s="309"/>
      <c r="P30" s="309"/>
    </row>
    <row r="31" spans="1:18" ht="38.25" x14ac:dyDescent="0.25">
      <c r="K31" s="250"/>
      <c r="L31" s="251" t="s">
        <v>210</v>
      </c>
      <c r="M31" s="251" t="s">
        <v>211</v>
      </c>
      <c r="N31" s="252" t="s">
        <v>203</v>
      </c>
      <c r="O31" s="252" t="s">
        <v>212</v>
      </c>
      <c r="P31" s="252" t="s">
        <v>213</v>
      </c>
    </row>
    <row r="32" spans="1:18" x14ac:dyDescent="0.25">
      <c r="K32" s="253" t="s">
        <v>214</v>
      </c>
    </row>
    <row r="33" spans="11:16" ht="6.75" customHeight="1" x14ac:dyDescent="0.25">
      <c r="K33" s="253"/>
    </row>
    <row r="34" spans="11:16" ht="13.5" customHeight="1" x14ac:dyDescent="0.25">
      <c r="K34" s="254" t="s">
        <v>215</v>
      </c>
    </row>
    <row r="35" spans="11:16" ht="30" customHeight="1" x14ac:dyDescent="0.25">
      <c r="K35" s="255" t="s">
        <v>216</v>
      </c>
      <c r="L35" s="246">
        <v>1.1600000000000001E-5</v>
      </c>
      <c r="M35" s="256">
        <v>3.0000000000000001E-6</v>
      </c>
      <c r="N35" s="245" t="s">
        <v>217</v>
      </c>
      <c r="O35" s="245" t="s">
        <v>218</v>
      </c>
      <c r="P35" s="257" t="s">
        <v>219</v>
      </c>
    </row>
    <row r="36" spans="11:16" ht="30" customHeight="1" x14ac:dyDescent="0.25">
      <c r="K36" s="255" t="s">
        <v>220</v>
      </c>
      <c r="L36" s="246">
        <v>4.5599999999999997E-5</v>
      </c>
      <c r="M36" s="256">
        <v>1.17E-5</v>
      </c>
      <c r="N36" s="245" t="s">
        <v>217</v>
      </c>
      <c r="O36" s="245" t="s">
        <v>221</v>
      </c>
      <c r="P36" s="257" t="s">
        <v>222</v>
      </c>
    </row>
    <row r="37" spans="11:16" ht="8.25" customHeight="1" x14ac:dyDescent="0.25"/>
    <row r="38" spans="11:16" ht="13.5" customHeight="1" x14ac:dyDescent="0.25">
      <c r="K38" s="258" t="s">
        <v>223</v>
      </c>
    </row>
    <row r="39" spans="11:16" ht="30" customHeight="1" x14ac:dyDescent="0.25">
      <c r="K39" s="255" t="s">
        <v>216</v>
      </c>
      <c r="L39" s="246">
        <v>2.2900000000000001E-5</v>
      </c>
      <c r="M39" s="246">
        <v>3.0000000000000001E-6</v>
      </c>
      <c r="N39" s="245" t="s">
        <v>224</v>
      </c>
      <c r="O39" s="245" t="s">
        <v>225</v>
      </c>
      <c r="P39" s="257" t="s">
        <v>226</v>
      </c>
    </row>
    <row r="40" spans="11:16" ht="30" customHeight="1" x14ac:dyDescent="0.25">
      <c r="K40" s="255" t="s">
        <v>220</v>
      </c>
      <c r="L40" s="246">
        <v>9.0099999999999995E-5</v>
      </c>
      <c r="M40" s="246">
        <v>1.17E-5</v>
      </c>
      <c r="N40" s="245" t="s">
        <v>224</v>
      </c>
      <c r="O40" s="245" t="s">
        <v>227</v>
      </c>
      <c r="P40" s="257" t="s">
        <v>228</v>
      </c>
    </row>
  </sheetData>
  <mergeCells count="4">
    <mergeCell ref="G5:J5"/>
    <mergeCell ref="G8:J8"/>
    <mergeCell ref="K28:P28"/>
    <mergeCell ref="K30:P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opLeftCell="K1" workbookViewId="0">
      <selection activeCell="K1" sqref="K1"/>
    </sheetView>
  </sheetViews>
  <sheetFormatPr baseColWidth="10" defaultRowHeight="15" x14ac:dyDescent="0.25"/>
  <cols>
    <col min="1" max="1" width="17.85546875" hidden="1" customWidth="1"/>
    <col min="2" max="2" width="17.7109375" hidden="1" customWidth="1"/>
    <col min="3" max="3" width="18.7109375" hidden="1" customWidth="1"/>
    <col min="4" max="4" width="16" hidden="1" customWidth="1"/>
    <col min="5" max="5" width="20.42578125" hidden="1" customWidth="1"/>
    <col min="6" max="6" width="15.140625" hidden="1" customWidth="1"/>
    <col min="7" max="7" width="12.85546875" hidden="1" customWidth="1"/>
    <col min="8" max="8" width="0" hidden="1" customWidth="1"/>
    <col min="9" max="9" width="12.85546875" hidden="1" customWidth="1"/>
    <col min="10" max="10" width="9.5703125" hidden="1" customWidth="1"/>
    <col min="11" max="11" width="39.140625" customWidth="1"/>
    <col min="12" max="12" width="18.5703125" customWidth="1"/>
    <col min="13" max="13" width="17.85546875" customWidth="1"/>
    <col min="14" max="14" width="19.85546875" customWidth="1"/>
    <col min="15" max="15" width="24.7109375" customWidth="1"/>
    <col min="16" max="16" width="23.5703125" customWidth="1"/>
    <col min="17" max="17" width="13.28515625" customWidth="1"/>
    <col min="18" max="18" width="13.7109375" customWidth="1"/>
  </cols>
  <sheetData>
    <row r="1" spans="1:23" x14ac:dyDescent="0.25">
      <c r="A1" s="100"/>
      <c r="B1" s="101"/>
      <c r="C1" s="102"/>
      <c r="D1" s="103"/>
      <c r="E1" s="104"/>
      <c r="F1" s="105"/>
      <c r="G1" s="105"/>
      <c r="H1" s="106"/>
      <c r="I1" s="107"/>
      <c r="J1" s="102"/>
      <c r="K1" s="108"/>
      <c r="L1" s="109" t="s">
        <v>157</v>
      </c>
      <c r="M1" s="102"/>
      <c r="N1" s="110"/>
      <c r="O1" s="110"/>
      <c r="P1" s="112"/>
      <c r="Q1" s="259"/>
      <c r="R1" s="260"/>
      <c r="S1" s="113"/>
      <c r="T1" s="113"/>
      <c r="U1" s="113"/>
      <c r="V1" s="113"/>
      <c r="W1" s="113"/>
    </row>
    <row r="2" spans="1:23" ht="18.75" x14ac:dyDescent="0.3">
      <c r="A2" s="114" t="s">
        <v>158</v>
      </c>
      <c r="B2" s="101"/>
      <c r="C2" s="102"/>
      <c r="D2" s="103"/>
      <c r="E2" s="104"/>
      <c r="F2" s="105"/>
      <c r="G2" s="105"/>
      <c r="H2" s="106"/>
      <c r="I2" s="107"/>
      <c r="J2" s="102"/>
      <c r="K2" s="108"/>
      <c r="L2" s="115" t="s">
        <v>159</v>
      </c>
      <c r="M2" s="116"/>
      <c r="N2" s="102"/>
      <c r="O2" s="111"/>
      <c r="P2" s="115"/>
      <c r="Q2" s="259"/>
      <c r="R2" s="260"/>
      <c r="S2" s="113"/>
      <c r="T2" s="113"/>
      <c r="U2" s="113"/>
      <c r="V2" s="113"/>
      <c r="W2" s="113"/>
    </row>
    <row r="3" spans="1:23" x14ac:dyDescent="0.25">
      <c r="A3" s="109" t="s">
        <v>160</v>
      </c>
      <c r="B3" s="112"/>
      <c r="C3" s="112"/>
      <c r="D3" s="112"/>
      <c r="E3" s="104"/>
      <c r="F3" s="105"/>
      <c r="G3" s="105"/>
      <c r="H3" s="106"/>
      <c r="I3" s="112"/>
      <c r="J3" s="112"/>
      <c r="K3" s="116"/>
      <c r="L3" s="118" t="s">
        <v>161</v>
      </c>
      <c r="M3" s="119"/>
      <c r="N3" s="119"/>
      <c r="O3" s="119"/>
      <c r="P3" s="119"/>
      <c r="Q3" s="120"/>
      <c r="R3" s="121"/>
      <c r="S3" s="121"/>
      <c r="T3" s="122"/>
      <c r="U3" s="122"/>
      <c r="V3" s="102"/>
      <c r="W3" s="102"/>
    </row>
    <row r="4" spans="1:23" x14ac:dyDescent="0.25">
      <c r="B4" s="121"/>
      <c r="C4" s="116"/>
      <c r="D4" s="116"/>
      <c r="E4" s="116"/>
      <c r="F4" s="123"/>
      <c r="G4" s="124"/>
      <c r="H4" s="125"/>
      <c r="I4" s="124"/>
      <c r="J4" s="126"/>
      <c r="K4" s="127"/>
      <c r="L4" s="128" t="s">
        <v>162</v>
      </c>
      <c r="M4" s="112"/>
      <c r="N4" s="100"/>
      <c r="O4" s="109" t="s">
        <v>163</v>
      </c>
      <c r="P4" s="102"/>
      <c r="Q4" s="129"/>
      <c r="R4" s="117"/>
      <c r="S4" s="117"/>
      <c r="T4" s="117"/>
      <c r="U4" s="102"/>
      <c r="V4" s="121"/>
      <c r="W4" s="121"/>
    </row>
    <row r="5" spans="1:23" x14ac:dyDescent="0.25">
      <c r="A5" s="112"/>
      <c r="B5" s="115"/>
      <c r="C5" s="130" t="s">
        <v>164</v>
      </c>
      <c r="D5" s="130" t="s">
        <v>165</v>
      </c>
      <c r="E5" s="131"/>
      <c r="F5" s="115"/>
      <c r="G5" s="302" t="s">
        <v>166</v>
      </c>
      <c r="H5" s="303"/>
      <c r="I5" s="303"/>
      <c r="J5" s="304"/>
      <c r="K5" s="112"/>
      <c r="L5" s="128" t="s">
        <v>167</v>
      </c>
      <c r="M5" s="132"/>
      <c r="N5" s="132"/>
      <c r="O5" s="102"/>
      <c r="P5" s="102"/>
      <c r="Q5" s="129"/>
      <c r="R5" s="117"/>
      <c r="S5" s="117"/>
      <c r="T5" s="117"/>
      <c r="U5" s="104"/>
      <c r="V5" s="261" t="e">
        <f>S5/T5</f>
        <v>#DIV/0!</v>
      </c>
      <c r="W5" s="111"/>
    </row>
    <row r="6" spans="1:23" x14ac:dyDescent="0.25">
      <c r="A6" s="112"/>
      <c r="B6" s="115"/>
      <c r="C6" s="133" t="s">
        <v>90</v>
      </c>
      <c r="D6" s="133" t="s">
        <v>91</v>
      </c>
      <c r="E6" s="134" t="s">
        <v>94</v>
      </c>
      <c r="F6" s="115"/>
      <c r="G6" s="135" t="s">
        <v>168</v>
      </c>
      <c r="H6" s="136">
        <f>C25</f>
        <v>0.90480000000000005</v>
      </c>
      <c r="I6" s="137" t="s">
        <v>169</v>
      </c>
      <c r="J6" s="138">
        <f>H6/(1+H6)</f>
        <v>0.4750104997900042</v>
      </c>
      <c r="K6" s="112"/>
      <c r="L6" s="139" t="s">
        <v>170</v>
      </c>
      <c r="M6" s="140" t="s">
        <v>171</v>
      </c>
      <c r="N6" s="139" t="s">
        <v>172</v>
      </c>
      <c r="O6" s="141" t="s">
        <v>173</v>
      </c>
      <c r="P6" s="140" t="s">
        <v>174</v>
      </c>
      <c r="Q6" s="142" t="s">
        <v>175</v>
      </c>
      <c r="R6" s="117"/>
      <c r="S6" s="262"/>
      <c r="T6" s="117"/>
      <c r="U6" s="102"/>
      <c r="V6" s="102"/>
      <c r="W6" s="102"/>
    </row>
    <row r="7" spans="1:23" x14ac:dyDescent="0.25">
      <c r="A7" s="112"/>
      <c r="B7" s="143" t="s">
        <v>176</v>
      </c>
      <c r="C7" s="144">
        <v>48</v>
      </c>
      <c r="D7" s="144">
        <v>76</v>
      </c>
      <c r="E7" s="145">
        <f>C7+D7</f>
        <v>124</v>
      </c>
      <c r="F7" s="146"/>
      <c r="G7" s="147"/>
      <c r="H7" s="147"/>
      <c r="I7" s="147"/>
      <c r="J7" s="147"/>
      <c r="K7" s="112"/>
      <c r="L7" s="148">
        <v>1.29</v>
      </c>
      <c r="M7" s="149">
        <v>1.1305E-3</v>
      </c>
      <c r="N7" s="150">
        <f>L7/((1-M7)+(M7*L7))</f>
        <v>1.2895772185567824</v>
      </c>
      <c r="O7" s="151">
        <f>(M7*L7)/((1-M7)+(M7*L7))</f>
        <v>1.4578670455784423E-3</v>
      </c>
      <c r="P7" s="151">
        <f>M7-O7</f>
        <v>-3.2736704557844234E-4</v>
      </c>
      <c r="Q7" s="152">
        <f>1/P7</f>
        <v>-3054.6752139728865</v>
      </c>
      <c r="R7" s="117"/>
      <c r="S7" s="117"/>
      <c r="T7" s="117"/>
      <c r="U7" s="102"/>
      <c r="V7" s="102"/>
      <c r="W7" s="102"/>
    </row>
    <row r="8" spans="1:23" x14ac:dyDescent="0.25">
      <c r="A8" s="112"/>
      <c r="B8" s="143" t="s">
        <v>177</v>
      </c>
      <c r="C8" s="144">
        <v>27</v>
      </c>
      <c r="D8" s="144">
        <v>84</v>
      </c>
      <c r="E8" s="145">
        <f>C8+D8</f>
        <v>111</v>
      </c>
      <c r="F8" s="146"/>
      <c r="G8" s="305" t="s">
        <v>178</v>
      </c>
      <c r="H8" s="306"/>
      <c r="I8" s="306"/>
      <c r="J8" s="307"/>
      <c r="K8" s="112"/>
      <c r="L8" s="148">
        <v>1.23</v>
      </c>
      <c r="M8" s="149">
        <f>M7</f>
        <v>1.1305E-3</v>
      </c>
      <c r="N8" s="150">
        <f>L8/((1-M8)+(M8*L8))</f>
        <v>1.2296802646859777</v>
      </c>
      <c r="O8" s="151">
        <f>(M8*L8)/((1-M8)+(M8*L8))</f>
        <v>1.3901535392274976E-3</v>
      </c>
      <c r="P8" s="151">
        <f>M8-O8</f>
        <v>-2.596535392274976E-4</v>
      </c>
      <c r="Q8" s="152">
        <f>1/P8</f>
        <v>-3851.2858441102999</v>
      </c>
      <c r="R8" s="153"/>
      <c r="S8" s="121"/>
      <c r="T8" s="154"/>
      <c r="U8" s="155"/>
      <c r="V8" s="105"/>
      <c r="W8" s="105"/>
    </row>
    <row r="9" spans="1:23" x14ac:dyDescent="0.25">
      <c r="A9" s="112"/>
      <c r="B9" s="156" t="s">
        <v>94</v>
      </c>
      <c r="C9" s="157">
        <f>SUM(C7:C8)</f>
        <v>75</v>
      </c>
      <c r="D9" s="157">
        <f>SUM(D7:D8)</f>
        <v>160</v>
      </c>
      <c r="E9" s="145">
        <f>SUM(E7:E8)</f>
        <v>235</v>
      </c>
      <c r="F9" s="115"/>
      <c r="G9" s="158" t="s">
        <v>179</v>
      </c>
      <c r="H9" s="159">
        <v>0.6</v>
      </c>
      <c r="I9" s="160" t="s">
        <v>180</v>
      </c>
      <c r="J9" s="138">
        <f>H9/(1-H9)</f>
        <v>1.4999999999999998</v>
      </c>
      <c r="K9" s="112"/>
      <c r="L9" s="148">
        <v>1.35</v>
      </c>
      <c r="M9" s="149">
        <f>M7</f>
        <v>1.1305E-3</v>
      </c>
      <c r="N9" s="150">
        <f>L9/((1-M9)+(M9*L9))</f>
        <v>1.3494660500206581</v>
      </c>
      <c r="O9" s="151">
        <f>(M9*L9)/((1-M9)+(M9*L9))</f>
        <v>1.525571369548354E-3</v>
      </c>
      <c r="P9" s="151">
        <f>M9-O9</f>
        <v>-3.9507136954835403E-4</v>
      </c>
      <c r="Q9" s="152">
        <f>1/P9</f>
        <v>-2531.1882284540156</v>
      </c>
      <c r="R9" s="161"/>
      <c r="S9" s="162"/>
      <c r="T9" s="163"/>
      <c r="U9" s="164"/>
      <c r="V9" s="105"/>
      <c r="W9" s="105"/>
    </row>
    <row r="10" spans="1:23" x14ac:dyDescent="0.25">
      <c r="A10" s="112"/>
      <c r="B10" s="156"/>
      <c r="C10" s="156"/>
      <c r="D10" s="165"/>
      <c r="E10" s="165"/>
      <c r="F10" s="115"/>
      <c r="G10" s="166"/>
      <c r="H10" s="167"/>
      <c r="I10" s="168"/>
      <c r="J10" s="169"/>
      <c r="K10" s="112"/>
      <c r="R10" s="161"/>
      <c r="S10" s="162"/>
      <c r="T10" s="163"/>
      <c r="U10" s="164"/>
      <c r="V10" s="105"/>
      <c r="W10" s="105"/>
    </row>
    <row r="11" spans="1:23" hidden="1" x14ac:dyDescent="0.25">
      <c r="A11" s="170" t="s">
        <v>181</v>
      </c>
      <c r="B11" s="115"/>
      <c r="C11" s="171"/>
      <c r="D11" s="172"/>
      <c r="E11" s="115"/>
      <c r="F11" s="115"/>
      <c r="G11" s="115"/>
      <c r="H11" s="167"/>
      <c r="I11" s="168"/>
      <c r="J11" s="168"/>
      <c r="K11" s="173"/>
      <c r="R11" s="161"/>
      <c r="S11" s="162"/>
      <c r="T11" s="163"/>
      <c r="U11" s="155"/>
      <c r="V11" s="105"/>
      <c r="W11" s="105"/>
    </row>
    <row r="12" spans="1:23" hidden="1" x14ac:dyDescent="0.25">
      <c r="A12" s="174" t="s">
        <v>182</v>
      </c>
      <c r="B12" s="175"/>
      <c r="C12" s="176"/>
      <c r="D12" s="177"/>
      <c r="E12" s="178"/>
      <c r="F12" s="179"/>
      <c r="G12" s="178"/>
      <c r="H12" s="177"/>
      <c r="I12" s="180"/>
      <c r="J12" s="181"/>
      <c r="K12" s="182"/>
      <c r="P12" s="100"/>
      <c r="Q12" s="100"/>
      <c r="R12" s="161"/>
      <c r="S12" s="162"/>
      <c r="T12" s="163"/>
      <c r="U12" s="155"/>
      <c r="V12" s="105"/>
      <c r="W12" s="105"/>
    </row>
    <row r="13" spans="1:23" hidden="1" x14ac:dyDescent="0.25">
      <c r="A13" s="112" t="s">
        <v>183</v>
      </c>
      <c r="B13" s="175"/>
      <c r="C13" s="176"/>
      <c r="D13" s="177"/>
      <c r="E13" s="178"/>
      <c r="F13" s="179"/>
      <c r="G13" s="178"/>
      <c r="H13" s="177"/>
      <c r="I13" s="178"/>
      <c r="J13" s="179"/>
      <c r="K13" s="100"/>
      <c r="P13" s="183"/>
      <c r="Q13" s="153"/>
      <c r="R13" s="153"/>
      <c r="S13" s="153"/>
      <c r="T13" s="155"/>
      <c r="U13" s="184"/>
      <c r="V13" s="105"/>
      <c r="W13" s="105"/>
    </row>
    <row r="14" spans="1:23" ht="38.25" hidden="1" x14ac:dyDescent="0.25">
      <c r="A14" s="185" t="s">
        <v>184</v>
      </c>
      <c r="B14" s="185" t="s">
        <v>185</v>
      </c>
      <c r="C14" s="186" t="s">
        <v>186</v>
      </c>
      <c r="D14" s="185" t="s">
        <v>187</v>
      </c>
      <c r="E14" s="185" t="s">
        <v>188</v>
      </c>
      <c r="F14" s="185" t="s">
        <v>170</v>
      </c>
      <c r="G14" s="187" t="s">
        <v>189</v>
      </c>
      <c r="H14" s="187" t="s">
        <v>190</v>
      </c>
      <c r="I14" s="178"/>
      <c r="J14" s="179"/>
      <c r="K14" s="182"/>
      <c r="P14" s="183"/>
      <c r="Q14" s="183"/>
      <c r="R14" s="183"/>
      <c r="S14" s="183"/>
      <c r="T14" s="155"/>
      <c r="U14" s="155"/>
      <c r="V14" s="105"/>
      <c r="W14" s="105"/>
    </row>
    <row r="15" spans="1:23" hidden="1" x14ac:dyDescent="0.25">
      <c r="A15" s="188">
        <f>LN((C7/D7)/(C8/D8))</f>
        <v>0.67544760346054422</v>
      </c>
      <c r="B15" s="189">
        <f>SQRT((1/C7)+(1/C8)+(1/D7)+(1/D8))</f>
        <v>0.28798094904346427</v>
      </c>
      <c r="C15" s="190">
        <f>-NORMSINV(2.5/100)</f>
        <v>1.9599639845400538</v>
      </c>
      <c r="D15" s="190">
        <f>A15-(C15*B15)</f>
        <v>0.11101531510168983</v>
      </c>
      <c r="E15" s="191">
        <f>A15+(C15*B15)</f>
        <v>1.2398798918193985</v>
      </c>
      <c r="F15" s="192">
        <f>(C7/C8)/(D7/D8)</f>
        <v>1.9649122807017543</v>
      </c>
      <c r="G15" s="193">
        <f>EXP(D15)</f>
        <v>1.1174120200021289</v>
      </c>
      <c r="H15" s="194">
        <f>EXP(E15)</f>
        <v>3.4551984422408597</v>
      </c>
      <c r="I15" s="178"/>
      <c r="J15" s="179"/>
      <c r="K15" s="100"/>
      <c r="P15" s="183"/>
      <c r="Q15" s="183"/>
      <c r="R15" s="183"/>
      <c r="S15" s="183"/>
      <c r="T15" s="155"/>
      <c r="U15" s="155"/>
      <c r="V15" s="105"/>
      <c r="W15" s="105"/>
    </row>
    <row r="16" spans="1:23" hidden="1" x14ac:dyDescent="0.25">
      <c r="B16" s="175"/>
      <c r="C16" s="176"/>
      <c r="D16" s="177"/>
      <c r="E16" s="178"/>
      <c r="F16" s="179"/>
      <c r="G16" s="178"/>
      <c r="H16" s="177"/>
      <c r="I16" s="178"/>
      <c r="J16" s="179"/>
      <c r="K16" s="179"/>
      <c r="L16" s="179"/>
      <c r="M16" s="179"/>
      <c r="N16" s="179"/>
      <c r="O16" s="179"/>
      <c r="P16" s="179"/>
      <c r="Q16" s="183"/>
      <c r="R16" s="183"/>
      <c r="S16" s="183"/>
      <c r="T16" s="155"/>
      <c r="U16" s="155"/>
      <c r="V16" s="105"/>
      <c r="W16" s="105"/>
    </row>
    <row r="17" spans="1:18" hidden="1" x14ac:dyDescent="0.25">
      <c r="A17" s="195" t="s">
        <v>191</v>
      </c>
      <c r="B17" s="196">
        <f>C7/C8</f>
        <v>1.7777777777777777</v>
      </c>
      <c r="C17" s="196">
        <f>D7/D8</f>
        <v>0.90476190476190477</v>
      </c>
      <c r="D17" s="197">
        <f>ROUND(F15,2)</f>
        <v>1.96</v>
      </c>
      <c r="E17" s="198"/>
      <c r="F17" s="199"/>
      <c r="G17" s="200"/>
      <c r="H17" s="201"/>
      <c r="I17" s="201"/>
      <c r="J17" s="201"/>
      <c r="K17" s="202" t="s">
        <v>191</v>
      </c>
      <c r="L17" s="203"/>
      <c r="M17" s="203"/>
      <c r="N17" s="204">
        <f>ROUND(N7,2)</f>
        <v>1.29</v>
      </c>
      <c r="O17" s="205">
        <f>ROUND(P7,5)</f>
        <v>-3.3E-4</v>
      </c>
      <c r="P17" s="206">
        <f>ROUND(Q7,0)</f>
        <v>-3055</v>
      </c>
      <c r="Q17" s="207"/>
      <c r="R17" s="208">
        <f>L7</f>
        <v>1.29</v>
      </c>
    </row>
    <row r="18" spans="1:18" hidden="1" x14ac:dyDescent="0.25">
      <c r="A18" s="209" t="s">
        <v>192</v>
      </c>
      <c r="B18" s="210"/>
      <c r="C18" s="210"/>
      <c r="D18" s="211">
        <f>ROUND(G15,2)</f>
        <v>1.1200000000000001</v>
      </c>
      <c r="E18" s="212"/>
      <c r="F18" s="213"/>
      <c r="G18" s="214"/>
      <c r="H18" s="201"/>
      <c r="I18" s="201"/>
      <c r="J18" s="201"/>
      <c r="K18" s="215" t="s">
        <v>192</v>
      </c>
      <c r="L18" s="216"/>
      <c r="M18" s="216"/>
      <c r="N18" s="217">
        <f>ROUND(N8,2)</f>
        <v>1.23</v>
      </c>
      <c r="O18" s="218">
        <f>ROUND(P8,5)</f>
        <v>-2.5999999999999998E-4</v>
      </c>
      <c r="P18" s="219">
        <f>ROUND(Q8,0)</f>
        <v>-3851</v>
      </c>
      <c r="Q18" s="220"/>
      <c r="R18" s="221">
        <f t="shared" ref="R18:R19" si="0">L8</f>
        <v>1.23</v>
      </c>
    </row>
    <row r="19" spans="1:18" hidden="1" x14ac:dyDescent="0.25">
      <c r="A19" s="209" t="s">
        <v>193</v>
      </c>
      <c r="B19" s="212"/>
      <c r="C19" s="212"/>
      <c r="D19" s="211">
        <f>ROUND(H15,2)</f>
        <v>3.46</v>
      </c>
      <c r="E19" s="212"/>
      <c r="F19" s="213"/>
      <c r="G19" s="214"/>
      <c r="H19" s="201"/>
      <c r="I19" s="201"/>
      <c r="J19" s="201"/>
      <c r="K19" s="215" t="s">
        <v>193</v>
      </c>
      <c r="L19" s="218">
        <f>ROUND(O7,6)</f>
        <v>1.4580000000000001E-3</v>
      </c>
      <c r="M19" s="218">
        <f>ROUND(M7,6)</f>
        <v>1.1310000000000001E-3</v>
      </c>
      <c r="N19" s="217">
        <f>ROUND(N9,2)</f>
        <v>1.35</v>
      </c>
      <c r="O19" s="218">
        <f>ROUND(P9,5)</f>
        <v>-4.0000000000000002E-4</v>
      </c>
      <c r="P19" s="219">
        <f>ROUND(Q9,0)</f>
        <v>-2531</v>
      </c>
      <c r="Q19" s="220"/>
      <c r="R19" s="221">
        <f t="shared" si="0"/>
        <v>1.35</v>
      </c>
    </row>
    <row r="20" spans="1:18" ht="38.25" hidden="1" x14ac:dyDescent="0.25">
      <c r="A20" s="209" t="s">
        <v>194</v>
      </c>
      <c r="B20" s="222" t="s">
        <v>195</v>
      </c>
      <c r="C20" s="222" t="s">
        <v>196</v>
      </c>
      <c r="D20" s="222" t="s">
        <v>170</v>
      </c>
      <c r="E20" s="212"/>
      <c r="F20" s="213"/>
      <c r="G20" s="214"/>
      <c r="H20" s="201"/>
      <c r="I20" s="201"/>
      <c r="J20" s="201"/>
      <c r="K20" s="215" t="s">
        <v>194</v>
      </c>
      <c r="L20" s="223" t="s">
        <v>197</v>
      </c>
      <c r="M20" s="223" t="s">
        <v>198</v>
      </c>
      <c r="N20" s="223" t="s">
        <v>172</v>
      </c>
      <c r="O20" s="223" t="s">
        <v>174</v>
      </c>
      <c r="P20" s="223" t="s">
        <v>175</v>
      </c>
      <c r="Q20" s="224"/>
      <c r="R20" s="225" t="s">
        <v>170</v>
      </c>
    </row>
    <row r="21" spans="1:18" hidden="1" x14ac:dyDescent="0.25">
      <c r="A21" s="226" t="s">
        <v>199</v>
      </c>
      <c r="B21" s="227">
        <f>ROUND(B17,4)</f>
        <v>1.7778</v>
      </c>
      <c r="C21" s="227">
        <f>ROUND(C17,4)</f>
        <v>0.90480000000000005</v>
      </c>
      <c r="D21" s="228" t="str">
        <f>CONCATENATE(D17," ",A17,D18,A18,D19,A19)</f>
        <v>1,96 (1,12-3,46)</v>
      </c>
      <c r="E21" s="212"/>
      <c r="F21" s="213"/>
      <c r="G21" s="214"/>
      <c r="H21" s="201"/>
      <c r="I21" s="201"/>
      <c r="J21" s="201"/>
      <c r="K21" s="229" t="s">
        <v>199</v>
      </c>
      <c r="L21" s="263">
        <f>L19</f>
        <v>1.4580000000000001E-3</v>
      </c>
      <c r="M21" s="263">
        <f>M19</f>
        <v>1.1310000000000001E-3</v>
      </c>
      <c r="N21" s="231" t="str">
        <f>CONCATENATE(N17," ",K17,N18,K18,N19,K19)</f>
        <v>1,29 (1,23-1,35)</v>
      </c>
      <c r="O21" s="231" t="str">
        <f>CONCATENATE(O17*100,K20," ",K17,O18*100,K20," ",K21," ",O19*100,K20,K19)</f>
        <v>-0,033% (-0,026% a -0,04%)</v>
      </c>
      <c r="P21" s="231" t="str">
        <f>CONCATENATE(P17," ",K17,P18," ",K21," ",P19,K19)</f>
        <v>-3055 (-3851 a -2531)</v>
      </c>
      <c r="Q21" s="224"/>
      <c r="R21" s="228" t="str">
        <f>CONCATENATE(R17," ",K17,R18,K18,R19,K19)</f>
        <v>1,29 (1,23-1,35)</v>
      </c>
    </row>
    <row r="22" spans="1:18" hidden="1" x14ac:dyDescent="0.25">
      <c r="A22" s="232" t="s">
        <v>200</v>
      </c>
      <c r="B22" s="233"/>
      <c r="C22" s="233"/>
      <c r="D22" s="233"/>
      <c r="E22" s="233"/>
      <c r="F22" s="234"/>
      <c r="G22" s="235"/>
      <c r="H22" s="201"/>
      <c r="I22" s="201"/>
      <c r="J22" s="201"/>
      <c r="K22" s="236" t="s">
        <v>200</v>
      </c>
      <c r="L22" s="237"/>
      <c r="M22" s="237"/>
      <c r="N22" s="237"/>
      <c r="O22" s="237"/>
      <c r="P22" s="237"/>
      <c r="Q22" s="238"/>
      <c r="R22" s="239"/>
    </row>
    <row r="23" spans="1:18" hidden="1" x14ac:dyDescent="0.25">
      <c r="B23" s="201"/>
      <c r="C23" s="201"/>
      <c r="D23" s="201"/>
      <c r="E23" s="201"/>
      <c r="F23" s="201"/>
      <c r="G23" s="201"/>
      <c r="H23" s="201"/>
      <c r="I23" s="201"/>
      <c r="J23" s="201"/>
      <c r="K23" s="112"/>
      <c r="L23" s="112"/>
      <c r="M23" s="240"/>
      <c r="N23" s="241"/>
      <c r="O23" s="242"/>
      <c r="P23" s="112"/>
    </row>
    <row r="24" spans="1:18" ht="38.25" x14ac:dyDescent="0.25">
      <c r="B24" s="222" t="s">
        <v>195</v>
      </c>
      <c r="C24" s="222" t="s">
        <v>196</v>
      </c>
      <c r="D24" s="222" t="s">
        <v>170</v>
      </c>
      <c r="E24" s="201"/>
      <c r="F24" s="201"/>
      <c r="G24" s="201"/>
      <c r="H24" s="201"/>
      <c r="I24" s="201"/>
      <c r="J24" s="201"/>
      <c r="K24" s="112"/>
      <c r="L24" s="243" t="s">
        <v>201</v>
      </c>
      <c r="M24" s="243" t="s">
        <v>202</v>
      </c>
      <c r="N24" s="244" t="s">
        <v>203</v>
      </c>
      <c r="O24" s="244" t="s">
        <v>204</v>
      </c>
      <c r="P24" s="244" t="s">
        <v>205</v>
      </c>
    </row>
    <row r="25" spans="1:18" ht="19.5" customHeight="1" x14ac:dyDescent="0.25">
      <c r="B25" s="245">
        <f>B21</f>
        <v>1.7778</v>
      </c>
      <c r="C25" s="245">
        <f>C21</f>
        <v>0.90480000000000005</v>
      </c>
      <c r="D25" s="245" t="str">
        <f>D21</f>
        <v>1,96 (1,12-3,46)</v>
      </c>
      <c r="E25" s="201"/>
      <c r="F25" s="201"/>
      <c r="G25" s="201"/>
      <c r="H25" s="201"/>
      <c r="I25" s="201"/>
      <c r="J25" s="201"/>
      <c r="K25" s="112"/>
      <c r="L25" s="246">
        <f t="shared" ref="L25:P25" si="1">L21</f>
        <v>1.4580000000000001E-3</v>
      </c>
      <c r="M25" s="246">
        <f t="shared" si="1"/>
        <v>1.1310000000000001E-3</v>
      </c>
      <c r="N25" s="245" t="str">
        <f t="shared" si="1"/>
        <v>1,29 (1,23-1,35)</v>
      </c>
      <c r="O25" s="245" t="str">
        <f t="shared" si="1"/>
        <v>-0,033% (-0,026% a -0,04%)</v>
      </c>
      <c r="P25" s="245" t="str">
        <f t="shared" si="1"/>
        <v>-3055 (-3851 a -2531)</v>
      </c>
    </row>
    <row r="27" spans="1:18" x14ac:dyDescent="0.25">
      <c r="A27" s="247"/>
      <c r="B27" s="248"/>
      <c r="C27" s="248"/>
      <c r="D27" s="248"/>
      <c r="E27" s="247"/>
      <c r="K27" s="60" t="s">
        <v>229</v>
      </c>
    </row>
    <row r="28" spans="1:18" ht="29.25" customHeight="1" x14ac:dyDescent="0.25">
      <c r="A28" s="247"/>
      <c r="B28" s="169"/>
      <c r="C28" s="169"/>
      <c r="D28" s="169"/>
      <c r="E28" s="247"/>
      <c r="K28" s="308" t="s">
        <v>124</v>
      </c>
      <c r="L28" s="308"/>
      <c r="M28" s="308"/>
      <c r="N28" s="308"/>
      <c r="O28" s="308"/>
      <c r="P28" s="308"/>
    </row>
    <row r="29" spans="1:18" ht="27.75" customHeight="1" x14ac:dyDescent="0.25">
      <c r="A29" s="247"/>
      <c r="B29" s="169"/>
      <c r="C29" s="169"/>
      <c r="D29" s="169"/>
      <c r="E29" s="247"/>
      <c r="K29" s="310" t="s">
        <v>230</v>
      </c>
      <c r="L29" s="310"/>
      <c r="M29" s="310"/>
      <c r="N29" s="310"/>
      <c r="O29" s="310"/>
      <c r="P29" s="310"/>
    </row>
    <row r="30" spans="1:18" ht="33" customHeight="1" x14ac:dyDescent="0.25">
      <c r="A30" s="247"/>
      <c r="B30" s="169"/>
      <c r="C30" s="169"/>
      <c r="D30" s="169"/>
      <c r="E30" s="247"/>
      <c r="K30" s="309" t="s">
        <v>231</v>
      </c>
      <c r="L30" s="309"/>
      <c r="M30" s="309"/>
      <c r="N30" s="309"/>
      <c r="O30" s="309"/>
      <c r="P30" s="309"/>
    </row>
    <row r="31" spans="1:18" ht="38.25" x14ac:dyDescent="0.25">
      <c r="K31" s="250" t="s">
        <v>232</v>
      </c>
      <c r="L31" s="251" t="s">
        <v>210</v>
      </c>
      <c r="M31" s="251" t="s">
        <v>211</v>
      </c>
      <c r="N31" s="252" t="s">
        <v>203</v>
      </c>
      <c r="O31" s="252" t="s">
        <v>212</v>
      </c>
      <c r="P31" s="252" t="s">
        <v>213</v>
      </c>
    </row>
    <row r="32" spans="1:18" s="264" customFormat="1" ht="10.5" customHeight="1" x14ac:dyDescent="0.25">
      <c r="K32" s="265"/>
      <c r="L32" s="266"/>
      <c r="M32" s="266"/>
      <c r="N32" s="267"/>
      <c r="O32" s="267"/>
      <c r="P32" s="267"/>
    </row>
    <row r="33" spans="11:18" x14ac:dyDescent="0.25">
      <c r="K33" s="253" t="s">
        <v>233</v>
      </c>
    </row>
    <row r="34" spans="11:18" ht="30" customHeight="1" x14ac:dyDescent="0.25">
      <c r="K34" s="255" t="s">
        <v>216</v>
      </c>
      <c r="L34" s="246">
        <v>5.5999999999999999E-5</v>
      </c>
      <c r="M34" s="246">
        <v>4.3000000000000002E-5</v>
      </c>
      <c r="N34" s="245" t="s">
        <v>234</v>
      </c>
      <c r="O34" s="245" t="s">
        <v>235</v>
      </c>
      <c r="P34" s="257" t="s">
        <v>236</v>
      </c>
    </row>
    <row r="35" spans="11:18" ht="30" customHeight="1" x14ac:dyDescent="0.25">
      <c r="K35" s="255" t="s">
        <v>237</v>
      </c>
      <c r="L35" s="246">
        <v>8.1000000000000004E-5</v>
      </c>
      <c r="M35" s="246">
        <v>6.3E-5</v>
      </c>
      <c r="N35" s="245" t="s">
        <v>234</v>
      </c>
      <c r="O35" s="245" t="s">
        <v>238</v>
      </c>
      <c r="P35" s="257" t="s">
        <v>239</v>
      </c>
    </row>
    <row r="36" spans="11:18" ht="9" customHeight="1" x14ac:dyDescent="0.25">
      <c r="K36" s="268"/>
      <c r="L36" s="269"/>
      <c r="M36" s="269"/>
      <c r="N36" s="270"/>
      <c r="O36" s="270"/>
      <c r="P36" s="270"/>
      <c r="Q36" s="224"/>
      <c r="R36" s="224"/>
    </row>
    <row r="37" spans="11:18" ht="30" customHeight="1" x14ac:dyDescent="0.25">
      <c r="K37" s="271" t="s">
        <v>240</v>
      </c>
      <c r="L37" s="272">
        <v>1.4580000000000001E-3</v>
      </c>
      <c r="M37" s="272">
        <v>1.1310000000000001E-3</v>
      </c>
      <c r="N37" s="273" t="s">
        <v>234</v>
      </c>
      <c r="O37" s="273" t="s">
        <v>241</v>
      </c>
      <c r="P37" s="257" t="s">
        <v>242</v>
      </c>
    </row>
    <row r="38" spans="11:18" ht="12.75" customHeight="1" x14ac:dyDescent="0.25"/>
    <row r="39" spans="11:18" x14ac:dyDescent="0.25">
      <c r="K39" s="253" t="s">
        <v>243</v>
      </c>
    </row>
    <row r="40" spans="11:18" ht="30" customHeight="1" x14ac:dyDescent="0.25">
      <c r="K40" s="255" t="s">
        <v>216</v>
      </c>
      <c r="L40" s="246">
        <v>1.4100000000000001E-4</v>
      </c>
      <c r="M40" s="256">
        <v>3.6000000000000001E-5</v>
      </c>
      <c r="N40" s="245" t="s">
        <v>244</v>
      </c>
      <c r="O40" s="245" t="s">
        <v>245</v>
      </c>
      <c r="P40" s="257" t="s">
        <v>246</v>
      </c>
    </row>
    <row r="41" spans="11:18" ht="30" customHeight="1" x14ac:dyDescent="0.25">
      <c r="K41" s="255" t="s">
        <v>247</v>
      </c>
      <c r="L41" s="246">
        <v>1.3300000000000001E-4</v>
      </c>
      <c r="M41" s="256">
        <v>3.3000000000000003E-5</v>
      </c>
      <c r="N41" s="245" t="s">
        <v>244</v>
      </c>
      <c r="O41" s="245" t="s">
        <v>248</v>
      </c>
      <c r="P41" s="257" t="s">
        <v>249</v>
      </c>
    </row>
    <row r="42" spans="11:18" ht="8.25" customHeight="1" x14ac:dyDescent="0.25">
      <c r="K42" s="268"/>
      <c r="L42" s="269"/>
      <c r="M42" s="274"/>
      <c r="N42" s="270"/>
      <c r="O42" s="270"/>
      <c r="P42" s="275"/>
    </row>
    <row r="43" spans="11:18" ht="30.75" customHeight="1" x14ac:dyDescent="0.25">
      <c r="K43" s="271" t="s">
        <v>240</v>
      </c>
      <c r="L43" s="272">
        <v>1.5169999999999999E-3</v>
      </c>
      <c r="M43" s="276">
        <v>3.8200000000000002E-4</v>
      </c>
      <c r="N43" s="273" t="s">
        <v>250</v>
      </c>
      <c r="O43" s="273" t="s">
        <v>251</v>
      </c>
      <c r="P43" s="257" t="s">
        <v>252</v>
      </c>
    </row>
  </sheetData>
  <mergeCells count="5">
    <mergeCell ref="G5:J5"/>
    <mergeCell ref="G8:J8"/>
    <mergeCell ref="K28:P28"/>
    <mergeCell ref="K29:P29"/>
    <mergeCell ref="K30:P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Tabla PICO CasCon</vt:lpstr>
      <vt:lpstr>Chi tendenc</vt:lpstr>
      <vt:lpstr>labio CE</vt:lpstr>
      <vt:lpstr>piel CB y 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2019-01-20T07:34:39Z</dcterms:created>
  <dcterms:modified xsi:type="dcterms:W3CDTF">2019-03-01T11:08:19Z</dcterms:modified>
</cp:coreProperties>
</file>