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191028-Galo\0-Datos\010-Temas publc\20191107-VÑ KATHERINE\"/>
    </mc:Choice>
  </mc:AlternateContent>
  <bookViews>
    <workbookView xWindow="0" yWindow="0" windowWidth="20490" windowHeight="7545"/>
  </bookViews>
  <sheets>
    <sheet name="NNT desde HR" sheetId="5" r:id="rId1"/>
    <sheet name="NNT desde Inc Acum" sheetId="6" r:id="rId2"/>
    <sheet name="Size por HR" sheetId="7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7" l="1"/>
  <c r="E18" i="7"/>
  <c r="V16" i="7"/>
  <c r="V15" i="7"/>
  <c r="I6" i="7"/>
  <c r="C15" i="7" s="1"/>
  <c r="C21" i="7" l="1"/>
  <c r="E15" i="7"/>
  <c r="C17" i="7"/>
  <c r="C8" i="7"/>
  <c r="C16" i="7" s="1"/>
  <c r="E16" i="7" s="1"/>
  <c r="C54" i="6"/>
  <c r="B54" i="6"/>
  <c r="C53" i="6"/>
  <c r="B53" i="6"/>
  <c r="D40" i="6"/>
  <c r="D39" i="6"/>
  <c r="H21" i="6"/>
  <c r="B21" i="6"/>
  <c r="A21" i="6"/>
  <c r="H20" i="6"/>
  <c r="B20" i="6"/>
  <c r="N20" i="6" s="1"/>
  <c r="A20" i="6"/>
  <c r="A22" i="6" s="1"/>
  <c r="F13" i="6"/>
  <c r="J13" i="6" s="1"/>
  <c r="C13" i="6"/>
  <c r="A13" i="6"/>
  <c r="E8" i="6"/>
  <c r="C8" i="6"/>
  <c r="D7" i="6"/>
  <c r="D6" i="6"/>
  <c r="K5" i="6"/>
  <c r="K4" i="6"/>
  <c r="E17" i="7" l="1"/>
  <c r="C20" i="7" s="1"/>
  <c r="C22" i="7" s="1"/>
  <c r="C21" i="6"/>
  <c r="B40" i="6"/>
  <c r="B45" i="6" s="1"/>
  <c r="F21" i="6"/>
  <c r="C20" i="6"/>
  <c r="E21" i="6"/>
  <c r="B13" i="6"/>
  <c r="D13" i="6" s="1"/>
  <c r="G13" i="6" s="1"/>
  <c r="D54" i="6" s="1"/>
  <c r="B22" i="6"/>
  <c r="C22" i="6" s="1"/>
  <c r="W21" i="6" s="1"/>
  <c r="D41" i="6"/>
  <c r="N22" i="6"/>
  <c r="D8" i="6"/>
  <c r="D20" i="6"/>
  <c r="I20" i="6"/>
  <c r="D21" i="6"/>
  <c r="I21" i="6"/>
  <c r="B39" i="6"/>
  <c r="D53" i="6"/>
  <c r="F20" i="6"/>
  <c r="C55" i="6"/>
  <c r="C57" i="6" s="1"/>
  <c r="C61" i="6" s="1"/>
  <c r="E28" i="5"/>
  <c r="E27" i="5"/>
  <c r="D27" i="5"/>
  <c r="D30" i="5"/>
  <c r="D34" i="5"/>
  <c r="E26" i="5"/>
  <c r="E30" i="5"/>
  <c r="E34" i="5"/>
  <c r="B8" i="5"/>
  <c r="B9" i="5"/>
  <c r="F5" i="5"/>
  <c r="F10" i="5"/>
  <c r="D10" i="5"/>
  <c r="D11" i="5"/>
  <c r="C27" i="5"/>
  <c r="C30" i="5"/>
  <c r="C34" i="5"/>
  <c r="F13" i="5"/>
  <c r="F11" i="5"/>
  <c r="E10" i="5"/>
  <c r="E13" i="5"/>
  <c r="G13" i="5"/>
  <c r="E11" i="5"/>
  <c r="F26" i="5"/>
  <c r="E14" i="5"/>
  <c r="E22" i="5"/>
  <c r="G14" i="5"/>
  <c r="F27" i="5"/>
  <c r="G24" i="5"/>
  <c r="G23" i="5"/>
  <c r="G18" i="5"/>
  <c r="G28" i="5"/>
  <c r="G21" i="5"/>
  <c r="G16" i="5"/>
  <c r="G17" i="5"/>
  <c r="G19" i="5"/>
  <c r="G22" i="5"/>
  <c r="E17" i="5"/>
  <c r="E21" i="5"/>
  <c r="G26" i="5"/>
  <c r="E23" i="5"/>
  <c r="E18" i="5"/>
  <c r="E24" i="5"/>
  <c r="E16" i="5"/>
  <c r="E19" i="5"/>
  <c r="F28" i="5"/>
  <c r="F30" i="5"/>
  <c r="F34" i="5"/>
  <c r="F14" i="5"/>
  <c r="F22" i="5"/>
  <c r="F19" i="5"/>
  <c r="G27" i="5"/>
  <c r="G30" i="5"/>
  <c r="G34" i="5"/>
  <c r="F23" i="5"/>
  <c r="F18" i="5"/>
  <c r="F17" i="5"/>
  <c r="F24" i="5"/>
  <c r="F21" i="5"/>
  <c r="F16" i="5"/>
  <c r="W20" i="6" l="1"/>
  <c r="W22" i="6" s="1"/>
  <c r="W23" i="6" s="1"/>
  <c r="W24" i="6" s="1"/>
  <c r="E25" i="7"/>
  <c r="C23" i="7"/>
  <c r="E20" i="6"/>
  <c r="K20" i="6" s="1"/>
  <c r="I25" i="6"/>
  <c r="N21" i="6" s="1"/>
  <c r="N23" i="6" s="1"/>
  <c r="N24" i="6" s="1"/>
  <c r="B55" i="6"/>
  <c r="B57" i="6" s="1"/>
  <c r="B61" i="6" s="1"/>
  <c r="E13" i="6"/>
  <c r="H13" i="6" s="1"/>
  <c r="L13" i="6" s="1"/>
  <c r="K13" i="6"/>
  <c r="B41" i="6"/>
  <c r="B44" i="6"/>
  <c r="K21" i="6"/>
  <c r="J21" i="6"/>
  <c r="C40" i="6"/>
  <c r="C45" i="6" s="1"/>
  <c r="C39" i="6"/>
  <c r="I26" i="6" l="1"/>
  <c r="J20" i="6"/>
  <c r="E53" i="6"/>
  <c r="G20" i="7"/>
  <c r="G19" i="7"/>
  <c r="G21" i="7" s="1"/>
  <c r="K25" i="6"/>
  <c r="E54" i="6" s="1"/>
  <c r="D55" i="6"/>
  <c r="D57" i="6" s="1"/>
  <c r="D61" i="6" s="1"/>
  <c r="J25" i="6"/>
  <c r="E55" i="6" s="1"/>
  <c r="F53" i="6"/>
  <c r="I35" i="6"/>
  <c r="I30" i="6"/>
  <c r="I33" i="6"/>
  <c r="I28" i="6"/>
  <c r="I29" i="6"/>
  <c r="I34" i="6"/>
  <c r="I36" i="6"/>
  <c r="I31" i="6"/>
  <c r="C41" i="6"/>
  <c r="C44" i="6"/>
  <c r="B47" i="6" s="1"/>
  <c r="J40" i="6"/>
  <c r="H39" i="6" s="1"/>
  <c r="G55" i="6"/>
  <c r="G57" i="6" s="1"/>
  <c r="G61" i="6" s="1"/>
  <c r="N25" i="6"/>
  <c r="K26" i="6" l="1"/>
  <c r="J34" i="6" s="1"/>
  <c r="J26" i="6"/>
  <c r="J31" i="6" s="1"/>
  <c r="E57" i="6"/>
  <c r="E61" i="6" s="1"/>
  <c r="K28" i="6"/>
  <c r="J33" i="6"/>
  <c r="K30" i="6"/>
  <c r="F55" i="6"/>
  <c r="J36" i="6"/>
  <c r="K29" i="6"/>
  <c r="B48" i="6"/>
  <c r="I61" i="6" s="1"/>
  <c r="F45" i="6"/>
  <c r="K33" i="6"/>
  <c r="K35" i="6"/>
  <c r="K36" i="6" l="1"/>
  <c r="F54" i="6"/>
  <c r="F57" i="6" s="1"/>
  <c r="F61" i="6" s="1"/>
  <c r="J35" i="6"/>
  <c r="K31" i="6"/>
  <c r="J30" i="6"/>
  <c r="K34" i="6"/>
  <c r="J29" i="6"/>
  <c r="J28" i="6"/>
</calcChain>
</file>

<file path=xl/sharedStrings.xml><?xml version="1.0" encoding="utf-8"?>
<sst xmlns="http://schemas.openxmlformats.org/spreadsheetml/2006/main" count="287" uniqueCount="239">
  <si>
    <t>Intervención</t>
  </si>
  <si>
    <t>Control</t>
  </si>
  <si>
    <t>von Minckwitz G, Huang CS, Mano MS, on behalf of the KATHERINE Investigators. Trastuzumab Emtansine for Residual Invasive HER2-Positive Breast Cancer. N Engl J Med. 2019 Feb 14;380(7):617-628.</t>
  </si>
  <si>
    <t>Cálculo de RAR y NNT a partir del HR y el % RA en el grupo control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</si>
  <si>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 xml:space="preserve">: Riesgo Absoluto; </t>
    </r>
    <r>
      <rPr>
        <b/>
        <sz val="10"/>
        <rFont val="Calibri"/>
        <family val="2"/>
      </rPr>
      <t>HR</t>
    </r>
    <r>
      <rPr>
        <sz val="10"/>
        <rFont val="Calibri"/>
        <family val="2"/>
      </rPr>
      <t xml:space="preserve">: Hazard Ratio;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S</t>
    </r>
    <r>
      <rPr>
        <sz val="10"/>
        <rFont val="Calibri"/>
        <family val="2"/>
      </rPr>
      <t xml:space="preserve">: Supervivencia (= 100% - %RA);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 intervalo de confianza al 95%</t>
    </r>
  </si>
  <si>
    <r>
      <t xml:space="preserve">Log </t>
    </r>
    <r>
      <rPr>
        <vertAlign val="subscript"/>
        <sz val="10"/>
        <rFont val="Calibri"/>
        <family val="2"/>
      </rPr>
      <t>Sc</t>
    </r>
    <r>
      <rPr>
        <sz val="10"/>
        <rFont val="Calibri"/>
        <family val="2"/>
      </rPr>
      <t xml:space="preserve"> Si = HR</t>
    </r>
  </si>
  <si>
    <r>
      <t>En excel procádase así: HR = LOG(S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;Sc)</t>
    </r>
  </si>
  <si>
    <t>% RA control =</t>
  </si>
  <si>
    <r>
      <t>S</t>
    </r>
    <r>
      <rPr>
        <vertAlign val="subscript"/>
        <sz val="10"/>
        <rFont val="Calibri"/>
        <family val="2"/>
      </rPr>
      <t>control</t>
    </r>
    <r>
      <rPr>
        <sz val="10"/>
        <rFont val="Calibri"/>
        <family val="2"/>
      </rPr>
      <t>=</t>
    </r>
  </si>
  <si>
    <t>100% - % RA control =</t>
  </si>
  <si>
    <r>
      <t>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S</t>
    </r>
    <r>
      <rPr>
        <vertAlign val="subscript"/>
        <sz val="10"/>
        <rFont val="Calibri"/>
        <family val="2"/>
      </rPr>
      <t>c</t>
    </r>
    <r>
      <rPr>
        <vertAlign val="superscript"/>
        <sz val="10"/>
        <rFont val="Calibri"/>
        <family val="2"/>
      </rPr>
      <t>HR</t>
    </r>
  </si>
  <si>
    <r>
      <t>1-RA</t>
    </r>
    <r>
      <rPr>
        <vertAlign val="subscript"/>
        <sz val="10"/>
        <rFont val="Calibri"/>
        <family val="2"/>
      </rPr>
      <t xml:space="preserve">i </t>
    </r>
    <r>
      <rPr>
        <sz val="10"/>
        <rFont val="Calibri"/>
        <family val="2"/>
      </rPr>
      <t>= (1-RA</t>
    </r>
    <r>
      <rPr>
        <vertAlign val="subscript"/>
        <sz val="10"/>
        <rFont val="Calibri"/>
        <family val="2"/>
      </rPr>
      <t>c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HR</t>
    </r>
  </si>
  <si>
    <t>HR (IC 95%)</t>
  </si>
  <si>
    <r>
      <t>RA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= 1- (1-RA</t>
    </r>
    <r>
      <rPr>
        <vertAlign val="subscript"/>
        <sz val="10"/>
        <rFont val="Calibri"/>
        <family val="2"/>
      </rPr>
      <t>c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HR</t>
    </r>
    <r>
      <rPr>
        <sz val="10"/>
        <rFont val="Calibri"/>
        <family val="2"/>
      </rPr>
      <t xml:space="preserve"> </t>
    </r>
  </si>
  <si>
    <t>Estimación puntual</t>
  </si>
  <si>
    <t>Límite inferior del IC 95%</t>
  </si>
  <si>
    <t>Límite superior del IC 95%</t>
  </si>
  <si>
    <r>
      <t>S</t>
    </r>
    <r>
      <rPr>
        <vertAlign val="subscript"/>
        <sz val="10"/>
        <rFont val="Calibri"/>
        <family val="2"/>
      </rPr>
      <t xml:space="preserve">c </t>
    </r>
    <r>
      <rPr>
        <sz val="10"/>
        <rFont val="Calibri"/>
        <family val="2"/>
      </rPr>
      <t>=  S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1/HR</t>
    </r>
    <r>
      <rPr>
        <sz val="10"/>
        <rFont val="Calibri"/>
        <family val="2"/>
      </rPr>
      <t xml:space="preserve"> </t>
    </r>
  </si>
  <si>
    <r>
      <t>En excell procédase así: S</t>
    </r>
    <r>
      <rPr>
        <vertAlign val="subscript"/>
        <sz val="10"/>
        <rFont val="Calibri"/>
        <family val="2"/>
      </rPr>
      <t>c</t>
    </r>
    <r>
      <rPr>
        <sz val="10"/>
        <rFont val="Calibri"/>
        <family val="2"/>
      </rPr>
      <t xml:space="preserve"> = Potencia(S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;1/HR)</t>
    </r>
  </si>
  <si>
    <r>
      <t>S</t>
    </r>
    <r>
      <rPr>
        <vertAlign val="subscript"/>
        <sz val="10"/>
        <rFont val="Calibri"/>
        <family val="2"/>
      </rPr>
      <t>control</t>
    </r>
    <r>
      <rPr>
        <vertAlign val="superscript"/>
        <sz val="10"/>
        <rFont val="Calibri"/>
        <family val="2"/>
      </rPr>
      <t>HR</t>
    </r>
  </si>
  <si>
    <t>% Eventos interv = complementario:</t>
  </si>
  <si>
    <r>
      <t xml:space="preserve">RAR =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>interv</t>
    </r>
    <r>
      <rPr>
        <sz val="10"/>
        <rFont val="Calibri"/>
        <family val="2"/>
      </rPr>
      <t xml:space="preserve"> -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 xml:space="preserve">control </t>
    </r>
    <r>
      <rPr>
        <sz val="10"/>
        <rFont val="Calibri"/>
        <family val="2"/>
      </rPr>
      <t>=</t>
    </r>
  </si>
  <si>
    <t>RAR =</t>
  </si>
  <si>
    <t xml:space="preserve">NNT = 1 / RAR = </t>
  </si>
  <si>
    <t>NNT =</t>
  </si>
  <si>
    <t>APLICAR SÓLO SI EL NNT Y SUS IC SON POSITIVOS</t>
  </si>
  <si>
    <t>====&gt;  NNT</t>
  </si>
  <si>
    <t>Permanecerán sanos sin tomar el fármaco</t>
  </si>
  <si>
    <t>Permanecerán sanos por tomar el fármaco</t>
  </si>
  <si>
    <t>Enfermarán incluso tomando el fármaco</t>
  </si>
  <si>
    <t>APLICAR SÓLO SI EL NNT Y SUS IC SON NEGATIVOS</t>
  </si>
  <si>
    <t>====&gt;  NND</t>
  </si>
  <si>
    <t>Enfermarán por tomar el fármaco</t>
  </si>
  <si>
    <t>Enfermarán incluso sin tomar el fármaco</t>
  </si>
  <si>
    <t>(</t>
  </si>
  <si>
    <t>-</t>
  </si>
  <si>
    <t>)</t>
  </si>
  <si>
    <t>%</t>
  </si>
  <si>
    <t>% RA interv</t>
  </si>
  <si>
    <t>% RA control</t>
  </si>
  <si>
    <t>RAR (IC95%)</t>
  </si>
  <si>
    <t>NNT (IC 95%)</t>
  </si>
  <si>
    <t>a</t>
  </si>
  <si>
    <t>RAR (IC 95%)</t>
  </si>
  <si>
    <t>NNT (IC 95%) en 3 años</t>
  </si>
  <si>
    <t>NNT (IC 95%) por año</t>
  </si>
  <si>
    <t>11,8%</t>
  </si>
  <si>
    <t>22,21%</t>
  </si>
  <si>
    <t>0,5 (0,39-0,64)</t>
  </si>
  <si>
    <t>10,41% (7,36% a 12,88%)</t>
  </si>
  <si>
    <t>10 (8 a 14)</t>
  </si>
  <si>
    <t>28 (22 a 38)</t>
  </si>
  <si>
    <t>Mortalidad global</t>
  </si>
  <si>
    <t>0,7 (0,47-1,05)</t>
  </si>
  <si>
    <t>2,2% (-0,36% a 3,92%)</t>
  </si>
  <si>
    <t>45 (26 a -277)</t>
  </si>
  <si>
    <t>134 (76 a -807)</t>
  </si>
  <si>
    <t>ECA KATHERINE, Seguim 36 meses</t>
  </si>
  <si>
    <t>TZM-Emtansina, n= 743</t>
  </si>
  <si>
    <t>TZM, n= 743</t>
  </si>
  <si>
    <t>% Eventos ajustados</t>
  </si>
  <si>
    <t>% Eventos crudos</t>
  </si>
  <si>
    <t>en 3 años</t>
  </si>
  <si>
    <t>en 1 año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</si>
  <si>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 R</t>
    </r>
    <r>
      <rPr>
        <b/>
        <sz val="10"/>
        <rFont val="Calibri"/>
        <family val="2"/>
      </rPr>
      <t>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NND:</t>
    </r>
    <r>
      <rPr>
        <sz val="10"/>
        <rFont val="Calibri"/>
        <family val="2"/>
      </rPr>
      <t xml:space="preserve"> Número Necesario para Dañar a un paciente más que con el control;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:intervalo de confianza al 95%.</t>
    </r>
  </si>
  <si>
    <t>Nº de personas con evento</t>
  </si>
  <si>
    <t>Nº personas sin evento</t>
  </si>
  <si>
    <t>Total</t>
  </si>
  <si>
    <t>Los límites del intervalos de confianza son los exponentes neperianos o antilogaritmos de la ecuación [ ln RR +- Z α/2 x EE (ln RR) ]</t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</si>
  <si>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</si>
  <si>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</si>
  <si>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</si>
  <si>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t>Z α/2 (0,05)</t>
  </si>
  <si>
    <t>ln del LI IC</t>
  </si>
  <si>
    <t>ln del LS IC</t>
  </si>
  <si>
    <t>RR</t>
  </si>
  <si>
    <t>Límite inferior del IC</t>
  </si>
  <si>
    <t>Límite superior del IC</t>
  </si>
  <si>
    <t>RRR</t>
  </si>
  <si>
    <t>Cálculo del intervalo de confianza (IC) cada una de las dos proporciones (Riesgo absoluto de la intervención y Riesgo absoluto del control)</t>
  </si>
  <si>
    <t xml:space="preserve">Mét. Newcombe, 1988 </t>
  </si>
  <si>
    <t>Primero se procede haciendo los IC de ambas proporciones por el método de Wilson, y después se aplica: IC = RAR - Raíz [(p1-Ls1)^2 + (Li2-p2)^2]  hasta RAR + Raíz [(p2-Ls2)^2 + (Li1-p1)^2]</t>
  </si>
  <si>
    <t>Aunque es mejor calcularlo por ji^2 de Pearson, puede utilizarse una aproximación al cálculo de la "p de la diferencia"</t>
  </si>
  <si>
    <r>
      <t>p</t>
    </r>
    <r>
      <rPr>
        <sz val="10"/>
        <color indexed="12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</si>
  <si>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</si>
  <si>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color indexed="12"/>
        <rFont val="Calibri"/>
        <family val="2"/>
      </rPr>
      <t>p</t>
    </r>
    <r>
      <rPr>
        <sz val="10"/>
        <color indexed="12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</si>
  <si>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</si>
  <si>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</si>
  <si>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</si>
  <si>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Nº con evento</t>
  </si>
  <si>
    <t>n (de muestra)</t>
  </si>
  <si>
    <t>p (proporción) = eventos / n</t>
  </si>
  <si>
    <t>Estimación puntual de la proporción</t>
  </si>
  <si>
    <t>Mét.Wilson</t>
  </si>
  <si>
    <r>
      <t>Cálculo de la potencia estadística</t>
    </r>
    <r>
      <rPr>
        <sz val="10"/>
        <rFont val="Calibri"/>
        <family val="2"/>
      </rPr>
      <t>: Zβ = [Raíz (nd^2 /2pm*qm)] - Z α/2 (0,05)</t>
    </r>
  </si>
  <si>
    <r>
      <t xml:space="preserve">Cálculo de la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>:</t>
    </r>
    <r>
      <rPr>
        <sz val="10"/>
        <rFont val="Calibri"/>
        <family val="2"/>
      </rPr>
      <t xml:space="preserve"> Z α/2 = Dif Proporc / EE (Difer Proporc)</t>
    </r>
  </si>
  <si>
    <t>Operar</t>
  </si>
  <si>
    <t>n = nº de los que hay en cada grupo (ojo, no de la suma de ambos)</t>
  </si>
  <si>
    <t>Dif Proporc de ambos grupos =  RAR</t>
  </si>
  <si>
    <t>d = diferencia de proporciones de ambos grupos o RAR</t>
  </si>
  <si>
    <t xml:space="preserve">EE (Dif Proporc) = Raíz[ pm(1-pm)/n1] + [ pm(1-pm)/n2] = </t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</si>
  <si>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</si>
  <si>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</si>
  <si>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</si>
  <si>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(nd^2 /2</t>
    </r>
    <r>
      <rPr>
        <i/>
        <sz val="10"/>
        <rFont val="Calibri"/>
        <family val="2"/>
      </rPr>
      <t>pM</t>
    </r>
    <r>
      <rPr>
        <sz val="10"/>
        <rFont val="Calibri"/>
        <family val="2"/>
      </rPr>
      <t>*</t>
    </r>
    <r>
      <rPr>
        <i/>
        <sz val="10"/>
        <rFont val="Calibri"/>
        <family val="2"/>
      </rPr>
      <t>qM</t>
    </r>
    <r>
      <rPr>
        <sz val="10"/>
        <rFont val="Calibri"/>
        <family val="2"/>
      </rPr>
      <t>)] - Z α/2 (0,05)</t>
    </r>
  </si>
  <si>
    <t>α = probab de que la diferencia detectada entre ambos sea debida al azar, en caso de que no exista (error alfa)</t>
  </si>
  <si>
    <r>
      <t>Ls1:</t>
    </r>
    <r>
      <rPr>
        <sz val="10"/>
        <color indexed="12"/>
        <rFont val="Calibri"/>
        <family val="2"/>
      </rPr>
      <t xml:space="preserve"> límite superior del grupo 1; </t>
    </r>
    <r>
      <rPr>
        <b/>
        <sz val="10"/>
        <color indexed="12"/>
        <rFont val="Calibri"/>
        <family val="2"/>
      </rPr>
      <t xml:space="preserve">Li2: </t>
    </r>
    <r>
      <rPr>
        <sz val="10"/>
        <color indexed="12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</si>
  <si>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</si>
  <si>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probabilidad dar por buena una diferencia que no existe.</t>
  </si>
  <si>
    <t>Cálculo del IC del RAR y del NNT</t>
  </si>
  <si>
    <t>---------------------------------------------&gt;</t>
  </si>
  <si>
    <t>probabliidad o riesgo de cometer un error β =&gt; probabilidad de no detectar una diferencia que sí exista.</t>
  </si>
  <si>
    <t>Permanecerán sanos sin tomar el Mto de Intervención</t>
  </si>
  <si>
    <t>Permanecerán sanos por tomar el Mto de Intervención</t>
  </si>
  <si>
    <t>Enfermarán incluso tomando el Mto de Intervención</t>
  </si>
  <si>
    <t>Enfermarán por tomar el Mto de Intervención</t>
  </si>
  <si>
    <t>Chi cuadrado de Pearson (un ejemplo de variable cualitativa)</t>
  </si>
  <si>
    <t>Enfermarán incluso sin tomar el Mto de Intervención</t>
  </si>
  <si>
    <t>Enferman</t>
  </si>
  <si>
    <t>No enferman</t>
  </si>
  <si>
    <t>Esperadas</t>
  </si>
  <si>
    <t>Con eventos</t>
  </si>
  <si>
    <t>Sin eventos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</si>
  <si>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</si>
  <si>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</si>
  <si>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</si>
  <si>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</si>
  <si>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</si>
  <si>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</si>
  <si>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</si>
  <si>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</si>
  <si>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</si>
  <si>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cal= Sumat (observado i - esperado i)^2 / esperado i)</t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</si>
  <si>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</si>
  <si>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</si>
  <si>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</si>
  <si>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</si>
  <si>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</si>
  <si>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</si>
  <si>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 xml:space="preserve">CÁLCULOS POR INCIDENCIAS ACUMULADAS EN </t>
  </si>
  <si>
    <t>AÑOS</t>
  </si>
  <si>
    <t>Nº event Interv (%)</t>
  </si>
  <si>
    <t>Nº event Control (%)</t>
  </si>
  <si>
    <t>RAR</t>
  </si>
  <si>
    <t>NNT</t>
  </si>
  <si>
    <t>potencia</t>
  </si>
  <si>
    <t>/</t>
  </si>
  <si>
    <t>RR (IC 95%)</t>
  </si>
  <si>
    <t>Potencia</t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</si>
  <si>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</si>
  <si>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Medidas del efecto por incidencias acumuladas.</t>
  </si>
  <si>
    <t>Nº Eventos (%)</t>
  </si>
  <si>
    <t>Cualquier evento adverso</t>
  </si>
  <si>
    <t>731/740 (98,78%)</t>
  </si>
  <si>
    <t>674/720 (93,61%)</t>
  </si>
  <si>
    <t>1,06 (1,03-1,08)</t>
  </si>
  <si>
    <t>-5,17% (-7,07% a -3,06%)</t>
  </si>
  <si>
    <t>-19 (-33 a -14)</t>
  </si>
  <si>
    <t>190/740 (25,68%)</t>
  </si>
  <si>
    <t>111/720 (15,42%)</t>
  </si>
  <si>
    <t>1,67 (1,35-2,06)</t>
  </si>
  <si>
    <t>-10,26% (-14,39% a -6,17%)</t>
  </si>
  <si>
    <t>-10 (-16 a -7)</t>
  </si>
  <si>
    <t>Efecto adverso que conduce a la muerte</t>
  </si>
  <si>
    <t>1/740 (0,14%)</t>
  </si>
  <si>
    <t>0/720 (0%)</t>
  </si>
  <si>
    <t>-0,14% (-0,68% a 0,49%)</t>
  </si>
  <si>
    <t>-740 (204 a -148)</t>
  </si>
  <si>
    <t>-------</t>
  </si>
  <si>
    <r>
      <rPr>
        <b/>
        <sz val="10"/>
        <color rgb="FF0000FF"/>
        <rFont val="Calibri"/>
        <family val="2"/>
        <scheme val="minor"/>
      </rPr>
      <t>(*)</t>
    </r>
    <r>
      <rPr>
        <sz val="10"/>
        <rFont val="Calibri"/>
        <family val="2"/>
        <scheme val="minor"/>
      </rPr>
      <t xml:space="preserve"> La FDA define un evento adverso grave (serious adverse event, SAE) cuando el resultado del paciente es uno de los siguientes: 1) Muerte;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</si>
  <si>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r>
      <t xml:space="preserve">Efecto adverso "serious" </t>
    </r>
    <r>
      <rPr>
        <b/>
        <sz val="11"/>
        <color rgb="FF0000FF"/>
        <rFont val="Calibri"/>
        <family val="2"/>
        <scheme val="minor"/>
      </rPr>
      <t>(*)</t>
    </r>
  </si>
  <si>
    <t>94/740 (12,7%)</t>
  </si>
  <si>
    <t>58/720 (8,06%)</t>
  </si>
  <si>
    <t>1,58 (1,16-2,15)</t>
  </si>
  <si>
    <t>-4,65% (-7,78% a -1,51%)</t>
  </si>
  <si>
    <t>-22 (-66 a -13)</t>
  </si>
  <si>
    <t>Efecto adverso que motiva el abandono del tratamiento del estudio</t>
  </si>
  <si>
    <t>133/740 (17,97%)</t>
  </si>
  <si>
    <t>15/720 (2,08%)</t>
  </si>
  <si>
    <t>8,63 (5,11-14,57)</t>
  </si>
  <si>
    <t>-15,89% (-18,81% a -12,85%)</t>
  </si>
  <si>
    <t>-6 (-8 a -5)</t>
  </si>
  <si>
    <t>Recuento de plaquetas decrecido</t>
  </si>
  <si>
    <t>42/740 (5,68%)</t>
  </si>
  <si>
    <t>2/720 (0,28%)</t>
  </si>
  <si>
    <t>20,43 (4,96-84,09)</t>
  </si>
  <si>
    <t>-5,4% (-7,02% a -3,48%)</t>
  </si>
  <si>
    <t>-19 (-29 a -14)</t>
  </si>
  <si>
    <t>Ver en suplemento del artículo original</t>
  </si>
  <si>
    <t>Resto de efectos adversos</t>
  </si>
  <si>
    <t>Cálculo del tamaño necesario de la muestra</t>
  </si>
  <si>
    <r>
      <t>S</t>
    </r>
    <r>
      <rPr>
        <vertAlign val="subscript"/>
        <sz val="11"/>
        <rFont val="Calibri"/>
        <family val="2"/>
      </rPr>
      <t>i</t>
    </r>
    <r>
      <rPr>
        <sz val="11"/>
        <rFont val="Calibri"/>
        <family val="2"/>
      </rPr>
      <t xml:space="preserve"> = S</t>
    </r>
    <r>
      <rPr>
        <vertAlign val="subscript"/>
        <sz val="11"/>
        <rFont val="Calibri"/>
        <family val="2"/>
      </rPr>
      <t>c</t>
    </r>
    <r>
      <rPr>
        <vertAlign val="superscript"/>
        <sz val="11"/>
        <rFont val="Calibri"/>
        <family val="2"/>
      </rPr>
      <t>HR</t>
    </r>
    <r>
      <rPr>
        <sz val="11"/>
        <rFont val="Calibri"/>
        <family val="2"/>
      </rPr>
      <t xml:space="preserve"> =&gt;</t>
    </r>
  </si>
  <si>
    <r>
      <t>1-RA</t>
    </r>
    <r>
      <rPr>
        <vertAlign val="subscript"/>
        <sz val="11"/>
        <rFont val="Calibri"/>
        <family val="2"/>
      </rPr>
      <t>i</t>
    </r>
    <r>
      <rPr>
        <sz val="11"/>
        <rFont val="Calibri"/>
        <family val="2"/>
      </rPr>
      <t>= (1-RA</t>
    </r>
    <r>
      <rPr>
        <vertAlign val="subscript"/>
        <sz val="11"/>
        <rFont val="Calibri"/>
        <family val="2"/>
      </rPr>
      <t>c</t>
    </r>
    <r>
      <rPr>
        <sz val="11"/>
        <rFont val="Calibri"/>
        <family val="2"/>
      </rPr>
      <t>)</t>
    </r>
    <r>
      <rPr>
        <vertAlign val="superscript"/>
        <sz val="11"/>
        <rFont val="Calibri"/>
        <family val="2"/>
      </rPr>
      <t>HR</t>
    </r>
    <r>
      <rPr>
        <sz val="11"/>
        <rFont val="Calibri"/>
        <family val="2"/>
      </rPr>
      <t xml:space="preserve"> </t>
    </r>
    <r>
      <rPr>
        <sz val="11"/>
        <rFont val="Calibri"/>
        <family val="2"/>
      </rPr>
      <t>=&gt;</t>
    </r>
  </si>
  <si>
    <r>
      <t>RA</t>
    </r>
    <r>
      <rPr>
        <vertAlign val="subscript"/>
        <sz val="11"/>
        <rFont val="Calibri"/>
        <family val="2"/>
      </rPr>
      <t>i</t>
    </r>
    <r>
      <rPr>
        <sz val="11"/>
        <rFont val="Calibri"/>
        <family val="2"/>
      </rPr>
      <t>= 1 - (1-RA</t>
    </r>
    <r>
      <rPr>
        <vertAlign val="subscript"/>
        <sz val="11"/>
        <rFont val="Calibri"/>
        <family val="2"/>
      </rPr>
      <t>c</t>
    </r>
    <r>
      <rPr>
        <sz val="11"/>
        <rFont val="Calibri"/>
        <family val="2"/>
      </rPr>
      <t>)</t>
    </r>
    <r>
      <rPr>
        <vertAlign val="superscript"/>
        <sz val="11"/>
        <rFont val="Calibri"/>
        <family val="2"/>
      </rPr>
      <t>HR</t>
    </r>
    <r>
      <rPr>
        <sz val="11"/>
        <rFont val="Calibri"/>
        <family val="2"/>
      </rPr>
      <t xml:space="preserve"> </t>
    </r>
  </si>
  <si>
    <r>
      <t>si se espera un RA</t>
    </r>
    <r>
      <rPr>
        <vertAlign val="subscript"/>
        <sz val="11"/>
        <rFont val="Calibri"/>
        <family val="2"/>
      </rPr>
      <t>c</t>
    </r>
    <r>
      <rPr>
        <sz val="11"/>
        <rFont val="Calibri"/>
        <family val="2"/>
      </rPr>
      <t xml:space="preserve"> /año =</t>
    </r>
  </si>
  <si>
    <t>durante</t>
  </si>
  <si>
    <t>años</t>
  </si>
  <si>
    <r>
      <t xml:space="preserve"> =&gt; que se espera un RA</t>
    </r>
    <r>
      <rPr>
        <vertAlign val="subscript"/>
        <sz val="11"/>
        <rFont val="Calibri"/>
        <family val="2"/>
      </rPr>
      <t>c</t>
    </r>
    <r>
      <rPr>
        <sz val="11"/>
        <rFont val="Calibri"/>
        <family val="2"/>
      </rPr>
      <t xml:space="preserve"> =</t>
    </r>
  </si>
  <si>
    <t>y se espera un HR =</t>
  </si>
  <si>
    <r>
      <t>entonces RA</t>
    </r>
    <r>
      <rPr>
        <vertAlign val="subscript"/>
        <sz val="11"/>
        <rFont val="Calibri"/>
        <family val="2"/>
      </rPr>
      <t>i</t>
    </r>
    <r>
      <rPr>
        <sz val="11"/>
        <rFont val="Calibri"/>
        <family val="2"/>
      </rPr>
      <t>= 1 - (1-RA</t>
    </r>
    <r>
      <rPr>
        <vertAlign val="subscript"/>
        <sz val="11"/>
        <rFont val="Calibri"/>
        <family val="2"/>
      </rPr>
      <t>c</t>
    </r>
    <r>
      <rPr>
        <sz val="11"/>
        <rFont val="Calibri"/>
        <family val="2"/>
      </rPr>
      <t>)</t>
    </r>
    <r>
      <rPr>
        <vertAlign val="superscript"/>
        <sz val="11"/>
        <rFont val="Calibri"/>
        <family val="2"/>
      </rPr>
      <t>HR</t>
    </r>
    <r>
      <rPr>
        <sz val="11"/>
        <rFont val="Calibri"/>
        <family val="2"/>
      </rPr>
      <t xml:space="preserve"> </t>
    </r>
    <r>
      <rPr>
        <sz val="11"/>
        <rFont val="Calibri"/>
        <family val="2"/>
      </rPr>
      <t>=</t>
    </r>
  </si>
  <si>
    <t>DETERMINACIÓN DEL TAMAÑO DE MUESTRA EN CADA GRUPO DE ESTUDIO PARA LA COMPARACIÓN DE DOS PROPORCIONES.</t>
  </si>
  <si>
    <t xml:space="preserve">Siguendo en mismo razonamiento que antes: </t>
  </si>
  <si>
    <r>
      <t>n = 2pq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(z</t>
    </r>
    <r>
      <rPr>
        <b/>
        <vertAlign val="subscript"/>
        <sz val="11"/>
        <rFont val="Calibri"/>
        <family val="2"/>
      </rPr>
      <t>α/2</t>
    </r>
    <r>
      <rPr>
        <b/>
        <sz val="11"/>
        <rFont val="Calibri"/>
        <family val="2"/>
      </rPr>
      <t xml:space="preserve"> + z</t>
    </r>
    <r>
      <rPr>
        <b/>
        <vertAlign val="subscript"/>
        <sz val="11"/>
        <rFont val="Calibri"/>
        <family val="2"/>
      </rPr>
      <t>β</t>
    </r>
    <r>
      <rPr>
        <b/>
        <sz val="11"/>
        <rFont val="Calibri"/>
        <family val="2"/>
      </rPr>
      <t>)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/ (pA - pB)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</t>
    </r>
  </si>
  <si>
    <t>La proporción que debe usarse no es ni pA ni pB, sino la llamada porporción media (pM) = pA+pB/2, y así=&gt;</t>
  </si>
  <si>
    <r>
      <t>n = 2* (pM * qM) * (z α/2 + zβ)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/ (pA - pB)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</t>
    </r>
  </si>
  <si>
    <t>CÁLCULO DEL TAMAÑO DE MUESTRA PARA UNA DIFERENCIA DE DOS PROPORCIONES</t>
  </si>
  <si>
    <t>qA</t>
  </si>
  <si>
    <t>% RA intervención</t>
  </si>
  <si>
    <t>qB</t>
  </si>
  <si>
    <t>pM (=proporción Media)</t>
  </si>
  <si>
    <t>qM</t>
  </si>
  <si>
    <t>Para un error alfa</t>
  </si>
  <si>
    <t>=&gt; z α/2 =</t>
  </si>
  <si>
    <t>Según estos cálculos ¿cuándo debería pararse el estudio?</t>
  </si>
  <si>
    <t>Para un error beta</t>
  </si>
  <si>
    <t>=&gt; zβ =</t>
  </si>
  <si>
    <t>Nº eventos esperados en el grupo control</t>
  </si>
  <si>
    <t>Numerador</t>
  </si>
  <si>
    <t>Nº eventos esperados en el grupo intervención</t>
  </si>
  <si>
    <t>Denominador</t>
  </si>
  <si>
    <t>Suma de los eventos</t>
  </si>
  <si>
    <t>n (cada grupo) =</t>
  </si>
  <si>
    <t>2n (total) =</t>
  </si>
  <si>
    <t xml:space="preserve">Si espero pérdidas del </t>
  </si>
  <si>
    <t>=&gt; Total =</t>
  </si>
  <si>
    <t>por grupo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</si>
  <si>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 xml:space="preserve">: Riesgo Absoluto; </t>
    </r>
    <r>
      <rPr>
        <b/>
        <sz val="10"/>
        <rFont val="Calibri"/>
        <family val="2"/>
      </rPr>
      <t>Error alfa</t>
    </r>
    <r>
      <rPr>
        <sz val="10"/>
        <rFont val="Calibri"/>
        <family val="2"/>
      </rPr>
      <t xml:space="preserve">: significación estadística; </t>
    </r>
    <r>
      <rPr>
        <b/>
        <sz val="10"/>
        <rFont val="Calibri"/>
        <family val="2"/>
      </rPr>
      <t>Potencia estadística (potencia de contraste)</t>
    </r>
    <r>
      <rPr>
        <sz val="10"/>
        <rFont val="Calibri"/>
        <family val="2"/>
      </rPr>
      <t xml:space="preserve"> = 1 - Error beta; </t>
    </r>
    <r>
      <rPr>
        <b/>
        <sz val="10"/>
        <rFont val="Calibri"/>
        <family val="2"/>
      </rPr>
      <t>n</t>
    </r>
    <r>
      <rPr>
        <sz val="10"/>
        <rFont val="Calibri"/>
        <family val="2"/>
      </rPr>
      <t>: número de pacientes necesario de cada uno de los grupos</t>
    </r>
  </si>
  <si>
    <t>Medidas del efecto, calculadas desde los HR ajustados obtenidos por los investigadores</t>
  </si>
  <si>
    <t>10/740 (1,35%)</t>
  </si>
  <si>
    <t>-1,35% (-2,16% a -0,23%)</t>
  </si>
  <si>
    <t>-74 (-429 a -46)</t>
  </si>
  <si>
    <t>Neuropatía sensorial periférica</t>
  </si>
  <si>
    <r>
      <t xml:space="preserve">Recurrencia de enfermedad invasiva </t>
    </r>
    <r>
      <rPr>
        <sz val="11"/>
        <color rgb="FF0000FF"/>
        <rFont val="Calibri"/>
        <family val="2"/>
        <scheme val="minor"/>
      </rPr>
      <t>(*)</t>
    </r>
  </si>
  <si>
    <r>
      <rPr>
        <b/>
        <sz val="10"/>
        <color rgb="FF0000FF"/>
        <rFont val="Calibri"/>
        <family val="2"/>
        <scheme val="minor"/>
      </rPr>
      <t xml:space="preserve">(*) </t>
    </r>
    <r>
      <rPr>
        <sz val="10"/>
        <rFont val="Calibri"/>
        <family val="2"/>
        <scheme val="minor"/>
      </rPr>
      <t>Recurrencia de tumor de mama invasivo ipsilateral, recurrencia de cáncer de mama invasivo locorregional ipsilateral, cáncer de mama invasivo contralateral, recurrencia de una enfermedad distante o muerte por cualquier causa.</t>
    </r>
  </si>
  <si>
    <t xml:space="preserve">20190214-ECA 3y, CáMa resid tras Ciruj [TZM-Emt vs TZM], +SLE. Minckwitz  </t>
  </si>
  <si>
    <r>
      <rPr>
        <b/>
        <sz val="12"/>
        <color indexed="60"/>
        <rFont val="Calibri"/>
        <family val="2"/>
      </rPr>
      <t xml:space="preserve">Tabla 5: </t>
    </r>
    <r>
      <rPr>
        <b/>
        <sz val="12"/>
        <rFont val="Calibri"/>
        <family val="2"/>
      </rPr>
      <t>Efectos adversos no buscados como variables primaria ni secundaria.</t>
    </r>
  </si>
  <si>
    <t>Cualquier efecto adverso grado ≥ 3</t>
  </si>
  <si>
    <r>
      <rPr>
        <b/>
        <sz val="12"/>
        <color rgb="FF993300"/>
        <rFont val="Calibri"/>
        <family val="2"/>
        <scheme val="minor"/>
      </rPr>
      <t xml:space="preserve">Tabla 1: </t>
    </r>
    <r>
      <rPr>
        <b/>
        <sz val="12"/>
        <rFont val="Calibri"/>
        <family val="2"/>
        <scheme val="minor"/>
      </rPr>
      <t>Paciente de 20 a 80 años, con Cáncer de mama residual HER 2+ en adyuvancia, tras neoadyuvancia previa</t>
    </r>
    <r>
      <rPr>
        <b/>
        <sz val="12"/>
        <color rgb="FFFFFF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con Trastuzumab solo o concomintante con otros agentes dirigidos a HER2 y/o con quimioterapia.</t>
    </r>
  </si>
  <si>
    <r>
      <t xml:space="preserve">Cálculo por incidencias acumuladas de RR, RAR, NNT con sus IC 95%, potencia estadística y valor de </t>
    </r>
    <r>
      <rPr>
        <b/>
        <i/>
        <sz val="14"/>
        <rFont val="Calibr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</si>
</sst>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0.000"/>
    <numFmt numFmtId="167" formatCode="_-* #,##0.0\ _€_-;\-* #,##0.0\ _€_-;_-* &quot;-&quot;?\ _€_-;_-@_-"/>
    <numFmt numFmtId="168" formatCode="_-* #,##0.000000\ _€_-;\-* #,##0.000000\ _€_-;_-* &quot;-&quot;??\ _€_-;_-@_-"/>
    <numFmt numFmtId="169" formatCode="_-* #,##0.0000\ _€_-;\-* #,##0.0000\ _€_-;_-* &quot;-&quot;??\ _€_-;_-@_-"/>
    <numFmt numFmtId="170" formatCode="_-* #,##0.0000\ _€_-;\-* #,##0.0000\ _€_-;_-* &quot;-&quot;?\ _€_-;_-@_-"/>
    <numFmt numFmtId="171" formatCode="_-* #,##0.000\ _€_-;\-* #,##0.000\ _€_-;_-* &quot;-&quot;??\ _€_-;_-@_-"/>
    <numFmt numFmtId="172" formatCode="_-* #,##0.000\ _€_-;\-* #,##0.000\ _€_-;_-* &quot;-&quot;???\ _€_-;_-@_-"/>
    <numFmt numFmtId="173" formatCode="_-* #,##0.0\ _€_-;\-* #,##0.0\ _€_-;_-* &quot;-&quot;??\ _€_-;_-@_-"/>
    <numFmt numFmtId="174" formatCode="_-* #,##0.00000\ _€_-;\-* #,##0.00000\ _€_-;_-* &quot;-&quot;??\ _€_-;_-@_-"/>
    <numFmt numFmtId="175" formatCode="0.0000%"/>
    <numFmt numFmtId="176" formatCode="0.000%"/>
    <numFmt numFmtId="177" formatCode="_-* #,##0\ _€_-;\-* #,##0\ _€_-;_-* &quot;-&quot;???\ _€_-;_-@_-"/>
    <numFmt numFmtId="178" formatCode="_-* #,##0.00\ _€_-;\-* #,##0.00\ _€_-;_-* \-??\ _€_-;_-@_-"/>
    <numFmt numFmtId="179" formatCode="_-* #,##0\ _€_-;\-* #,##0\ _€_-;_-* &quot;-&quot;?\ _€_-;_-@_-"/>
    <numFmt numFmtId="180" formatCode="_-* #,##0.00\ _€_-;\-* #,##0.00\ _€_-;_-* &quot;-&quot;???\ _€_-;_-@_-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3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vertAlign val="subscript"/>
      <sz val="10"/>
      <name val="Calibri"/>
      <family val="2"/>
    </font>
    <font>
      <b/>
      <sz val="23"/>
      <name val="Calibri"/>
      <family val="2"/>
      <scheme val="minor"/>
    </font>
    <font>
      <vertAlign val="superscript"/>
      <sz val="10"/>
      <name val="Calibri"/>
      <family val="2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.1"/>
      <color indexed="63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i/>
      <sz val="10"/>
      <name val="Calibri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2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0"/>
      <color indexed="12"/>
      <name val="Calibri"/>
      <family val="2"/>
    </font>
    <font>
      <i/>
      <sz val="10"/>
      <color indexed="12"/>
      <name val="Calibri"/>
      <family val="2"/>
    </font>
    <font>
      <i/>
      <sz val="10"/>
      <color indexed="20"/>
      <name val="Calibri"/>
      <family val="2"/>
      <scheme val="minor"/>
    </font>
    <font>
      <b/>
      <sz val="10"/>
      <color indexed="12"/>
      <name val="Calibri"/>
      <family val="2"/>
    </font>
    <font>
      <b/>
      <i/>
      <sz val="10"/>
      <color indexed="12"/>
      <name val="Calibri"/>
      <family val="2"/>
      <scheme val="minor"/>
    </font>
    <font>
      <sz val="10"/>
      <color indexed="6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12"/>
      <name val="Trebuchet MS"/>
      <family val="2"/>
    </font>
    <font>
      <vertAlign val="subscript"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u/>
      <sz val="11"/>
      <name val="Calibri"/>
      <family val="2"/>
      <scheme val="minor"/>
    </font>
    <font>
      <b/>
      <vertAlign val="superscript"/>
      <sz val="11"/>
      <name val="Calibri"/>
      <family val="2"/>
    </font>
    <font>
      <b/>
      <vertAlign val="subscript"/>
      <sz val="11"/>
      <name val="Calibri"/>
      <family val="2"/>
    </font>
    <font>
      <sz val="12"/>
      <color indexed="16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12"/>
      <name val="Calibri"/>
      <family val="2"/>
      <scheme val="minor"/>
    </font>
    <font>
      <sz val="11"/>
      <color rgb="FFFFC000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09900"/>
      <name val="Calibri"/>
      <family val="2"/>
      <scheme val="minor"/>
    </font>
    <font>
      <b/>
      <sz val="12"/>
      <color rgb="FF993300"/>
      <name val="Calibri"/>
      <family val="2"/>
      <scheme val="minor"/>
    </font>
    <font>
      <b/>
      <sz val="12"/>
      <name val="Calibri"/>
      <family val="2"/>
    </font>
    <font>
      <b/>
      <sz val="12"/>
      <color indexed="60"/>
      <name val="Calibri"/>
      <family val="2"/>
    </font>
    <font>
      <b/>
      <sz val="12"/>
      <color rgb="FFFFFF00"/>
      <name val="Calibri"/>
      <family val="2"/>
      <scheme val="minor"/>
    </font>
    <font>
      <b/>
      <i/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/>
    <xf numFmtId="0" fontId="3" fillId="0" borderId="0" xfId="0" applyFont="1" applyFill="1"/>
    <xf numFmtId="0" fontId="3" fillId="0" borderId="11" xfId="0" applyFont="1" applyBorder="1"/>
    <xf numFmtId="0" fontId="3" fillId="0" borderId="0" xfId="0" applyFont="1" applyFill="1" applyBorder="1"/>
    <xf numFmtId="0" fontId="3" fillId="0" borderId="0" xfId="0" applyFont="1" applyBorder="1"/>
    <xf numFmtId="164" fontId="3" fillId="0" borderId="0" xfId="1" applyNumberFormat="1" applyFont="1"/>
    <xf numFmtId="43" fontId="3" fillId="0" borderId="0" xfId="0" applyNumberFormat="1" applyFont="1" applyFill="1" applyBorder="1"/>
    <xf numFmtId="167" fontId="3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15" fillId="0" borderId="0" xfId="0" applyFont="1"/>
    <xf numFmtId="0" fontId="5" fillId="0" borderId="16" xfId="0" applyFont="1" applyBorder="1" applyAlignment="1">
      <alignment horizontal="right" vertical="center"/>
    </xf>
    <xf numFmtId="10" fontId="3" fillId="4" borderId="14" xfId="2" applyNumberFormat="1" applyFont="1" applyFill="1" applyBorder="1" applyAlignment="1">
      <alignment vertical="center"/>
    </xf>
    <xf numFmtId="49" fontId="9" fillId="0" borderId="13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10" fontId="3" fillId="0" borderId="14" xfId="2" applyNumberFormat="1" applyFont="1" applyBorder="1" applyAlignment="1">
      <alignment horizontal="center" vertical="center"/>
    </xf>
    <xf numFmtId="10" fontId="11" fillId="0" borderId="0" xfId="2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 vertical="distributed"/>
    </xf>
    <xf numFmtId="43" fontId="5" fillId="0" borderId="0" xfId="1" applyFont="1" applyFill="1" applyBorder="1" applyAlignment="1"/>
    <xf numFmtId="3" fontId="3" fillId="0" borderId="0" xfId="0" applyNumberFormat="1" applyFont="1"/>
    <xf numFmtId="0" fontId="11" fillId="0" borderId="0" xfId="0" applyFont="1" applyFill="1" applyBorder="1" applyAlignment="1">
      <alignment horizontal="left"/>
    </xf>
    <xf numFmtId="43" fontId="3" fillId="0" borderId="0" xfId="1" applyFont="1" applyFill="1" applyBorder="1" applyAlignment="1">
      <alignment horizontal="center"/>
    </xf>
    <xf numFmtId="0" fontId="17" fillId="0" borderId="0" xfId="0" applyFont="1" applyFill="1"/>
    <xf numFmtId="3" fontId="3" fillId="0" borderId="0" xfId="1" applyNumberFormat="1" applyFont="1"/>
    <xf numFmtId="0" fontId="11" fillId="0" borderId="0" xfId="0" applyFont="1" applyFill="1" applyBorder="1" applyAlignment="1">
      <alignment vertical="center" textRotation="90"/>
    </xf>
    <xf numFmtId="0" fontId="3" fillId="0" borderId="0" xfId="0" applyFont="1" applyAlignment="1">
      <alignment horizontal="left" vertical="center"/>
    </xf>
    <xf numFmtId="43" fontId="18" fillId="0" borderId="0" xfId="1" applyFont="1" applyFill="1" applyBorder="1" applyAlignment="1">
      <alignment horizontal="right"/>
    </xf>
    <xf numFmtId="10" fontId="3" fillId="0" borderId="0" xfId="2" applyNumberFormat="1" applyFont="1"/>
    <xf numFmtId="0" fontId="3" fillId="0" borderId="0" xfId="0" applyFont="1" applyFill="1" applyBorder="1" applyAlignment="1">
      <alignment horizontal="left"/>
    </xf>
    <xf numFmtId="165" fontId="3" fillId="0" borderId="0" xfId="2" applyNumberFormat="1" applyFont="1"/>
    <xf numFmtId="165" fontId="3" fillId="0" borderId="0" xfId="0" applyNumberFormat="1" applyFont="1"/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0" xfId="0" applyFont="1"/>
    <xf numFmtId="168" fontId="3" fillId="0" borderId="0" xfId="1" applyNumberFormat="1" applyFont="1" applyFill="1" applyBorder="1" applyAlignment="1">
      <alignment horizontal="center"/>
    </xf>
    <xf numFmtId="169" fontId="3" fillId="0" borderId="0" xfId="1" applyNumberFormat="1" applyFont="1" applyFill="1" applyBorder="1"/>
    <xf numFmtId="2" fontId="3" fillId="4" borderId="16" xfId="0" applyNumberFormat="1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/>
    </xf>
    <xf numFmtId="0" fontId="21" fillId="0" borderId="0" xfId="0" applyFont="1"/>
    <xf numFmtId="170" fontId="3" fillId="0" borderId="0" xfId="0" applyNumberFormat="1" applyFont="1" applyFill="1" applyBorder="1"/>
    <xf numFmtId="49" fontId="9" fillId="0" borderId="16" xfId="0" applyNumberFormat="1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166" fontId="3" fillId="0" borderId="16" xfId="0" applyNumberFormat="1" applyFont="1" applyBorder="1" applyAlignment="1">
      <alignment horizontal="center"/>
    </xf>
    <xf numFmtId="166" fontId="3" fillId="0" borderId="17" xfId="0" applyNumberFormat="1" applyFont="1" applyBorder="1" applyAlignment="1">
      <alignment horizontal="center"/>
    </xf>
    <xf numFmtId="171" fontId="5" fillId="0" borderId="0" xfId="1" applyNumberFormat="1" applyFont="1" applyFill="1" applyBorder="1"/>
    <xf numFmtId="49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0" fontId="3" fillId="0" borderId="0" xfId="2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Alignment="1"/>
    <xf numFmtId="0" fontId="11" fillId="0" borderId="0" xfId="0" applyFont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0" fontId="5" fillId="0" borderId="0" xfId="2" applyNumberFormat="1" applyFont="1" applyFill="1" applyBorder="1"/>
    <xf numFmtId="168" fontId="3" fillId="0" borderId="0" xfId="0" applyNumberFormat="1" applyFont="1" applyFill="1" applyBorder="1"/>
    <xf numFmtId="10" fontId="22" fillId="0" borderId="0" xfId="0" applyNumberFormat="1" applyFont="1" applyFill="1" applyBorder="1"/>
    <xf numFmtId="0" fontId="23" fillId="0" borderId="0" xfId="0" applyFont="1" applyFill="1" applyBorder="1"/>
    <xf numFmtId="0" fontId="3" fillId="5" borderId="18" xfId="0" applyFont="1" applyFill="1" applyBorder="1" applyAlignment="1"/>
    <xf numFmtId="0" fontId="3" fillId="5" borderId="19" xfId="0" applyFont="1" applyFill="1" applyBorder="1" applyAlignment="1">
      <alignment horizontal="right"/>
    </xf>
    <xf numFmtId="0" fontId="5" fillId="0" borderId="16" xfId="0" applyFont="1" applyBorder="1" applyAlignment="1">
      <alignment horizontal="center"/>
    </xf>
    <xf numFmtId="10" fontId="5" fillId="6" borderId="7" xfId="2" applyNumberFormat="1" applyFont="1" applyFill="1" applyBorder="1" applyAlignment="1">
      <alignment horizontal="center"/>
    </xf>
    <xf numFmtId="10" fontId="5" fillId="7" borderId="7" xfId="2" applyNumberFormat="1" applyFont="1" applyFill="1" applyBorder="1" applyAlignment="1">
      <alignment horizontal="center"/>
    </xf>
    <xf numFmtId="10" fontId="5" fillId="8" borderId="7" xfId="2" applyNumberFormat="1" applyFont="1" applyFill="1" applyBorder="1" applyAlignment="1">
      <alignment horizontal="center"/>
    </xf>
    <xf numFmtId="172" fontId="3" fillId="0" borderId="0" xfId="0" applyNumberFormat="1" applyFont="1" applyFill="1" applyBorder="1"/>
    <xf numFmtId="0" fontId="3" fillId="5" borderId="16" xfId="0" applyFont="1" applyFill="1" applyBorder="1" applyAlignment="1"/>
    <xf numFmtId="0" fontId="3" fillId="5" borderId="14" xfId="0" applyFont="1" applyFill="1" applyBorder="1" applyAlignment="1">
      <alignment horizontal="right"/>
    </xf>
    <xf numFmtId="0" fontId="5" fillId="0" borderId="13" xfId="0" applyFont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5" fillId="7" borderId="7" xfId="0" applyNumberFormat="1" applyFont="1" applyFill="1" applyBorder="1" applyAlignment="1">
      <alignment horizontal="center"/>
    </xf>
    <xf numFmtId="1" fontId="5" fillId="8" borderId="7" xfId="0" applyNumberFormat="1" applyFont="1" applyFill="1" applyBorder="1" applyAlignment="1">
      <alignment horizontal="center"/>
    </xf>
    <xf numFmtId="0" fontId="3" fillId="0" borderId="12" xfId="0" applyFont="1" applyBorder="1" applyAlignment="1"/>
    <xf numFmtId="0" fontId="5" fillId="0" borderId="7" xfId="0" applyFont="1" applyBorder="1" applyAlignment="1">
      <alignment horizontal="right"/>
    </xf>
    <xf numFmtId="49" fontId="25" fillId="0" borderId="7" xfId="1" applyNumberFormat="1" applyFont="1" applyBorder="1" applyAlignment="1">
      <alignment horizontal="right"/>
    </xf>
    <xf numFmtId="1" fontId="9" fillId="0" borderId="0" xfId="0" applyNumberFormat="1" applyFont="1" applyFill="1" applyBorder="1" applyAlignment="1">
      <alignment horizontal="center"/>
    </xf>
    <xf numFmtId="0" fontId="3" fillId="9" borderId="10" xfId="0" applyFont="1" applyFill="1" applyBorder="1" applyAlignment="1"/>
    <xf numFmtId="0" fontId="5" fillId="9" borderId="10" xfId="0" applyFont="1" applyFill="1" applyBorder="1" applyAlignment="1">
      <alignment horizontal="right"/>
    </xf>
    <xf numFmtId="1" fontId="5" fillId="9" borderId="7" xfId="0" applyNumberFormat="1" applyFont="1" applyFill="1" applyBorder="1" applyAlignment="1">
      <alignment horizontal="center"/>
    </xf>
    <xf numFmtId="10" fontId="3" fillId="0" borderId="0" xfId="0" applyNumberFormat="1" applyFont="1" applyFill="1" applyBorder="1"/>
    <xf numFmtId="0" fontId="3" fillId="10" borderId="7" xfId="0" applyFont="1" applyFill="1" applyBorder="1" applyAlignment="1"/>
    <xf numFmtId="0" fontId="5" fillId="10" borderId="7" xfId="0" applyFont="1" applyFill="1" applyBorder="1" applyAlignment="1">
      <alignment horizontal="right"/>
    </xf>
    <xf numFmtId="1" fontId="5" fillId="10" borderId="7" xfId="0" applyNumberFormat="1" applyFont="1" applyFill="1" applyBorder="1" applyAlignment="1">
      <alignment horizontal="center"/>
    </xf>
    <xf numFmtId="0" fontId="3" fillId="11" borderId="7" xfId="0" applyFont="1" applyFill="1" applyBorder="1" applyAlignment="1"/>
    <xf numFmtId="0" fontId="5" fillId="11" borderId="7" xfId="0" applyFont="1" applyFill="1" applyBorder="1" applyAlignment="1">
      <alignment horizontal="right"/>
    </xf>
    <xf numFmtId="1" fontId="5" fillId="11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1" fontId="5" fillId="0" borderId="0" xfId="0" applyNumberFormat="1" applyFont="1" applyFill="1" applyBorder="1" applyAlignment="1"/>
    <xf numFmtId="164" fontId="5" fillId="0" borderId="0" xfId="0" applyNumberFormat="1" applyFont="1" applyFill="1" applyBorder="1"/>
    <xf numFmtId="164" fontId="9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0" fontId="3" fillId="9" borderId="8" xfId="0" applyFont="1" applyFill="1" applyBorder="1" applyAlignment="1"/>
    <xf numFmtId="0" fontId="5" fillId="9" borderId="2" xfId="0" applyFont="1" applyFill="1" applyBorder="1" applyAlignment="1">
      <alignment horizontal="right"/>
    </xf>
    <xf numFmtId="0" fontId="3" fillId="7" borderId="0" xfId="0" applyFont="1" applyFill="1" applyBorder="1" applyAlignment="1"/>
    <xf numFmtId="0" fontId="5" fillId="7" borderId="0" xfId="0" applyFont="1" applyFill="1" applyBorder="1" applyAlignment="1">
      <alignment horizontal="right"/>
    </xf>
    <xf numFmtId="1" fontId="5" fillId="7" borderId="9" xfId="0" applyNumberFormat="1" applyFont="1" applyFill="1" applyBorder="1" applyAlignment="1">
      <alignment horizontal="center"/>
    </xf>
    <xf numFmtId="0" fontId="3" fillId="11" borderId="10" xfId="0" applyFont="1" applyFill="1" applyBorder="1" applyAlignment="1"/>
    <xf numFmtId="43" fontId="26" fillId="11" borderId="10" xfId="1" applyFont="1" applyFill="1" applyBorder="1" applyAlignment="1"/>
    <xf numFmtId="0" fontId="5" fillId="11" borderId="10" xfId="0" applyFont="1" applyFill="1" applyBorder="1" applyAlignment="1">
      <alignment horizontal="right"/>
    </xf>
    <xf numFmtId="0" fontId="3" fillId="0" borderId="0" xfId="0" applyFont="1" applyFill="1" applyBorder="1" applyAlignment="1"/>
    <xf numFmtId="43" fontId="26" fillId="0" borderId="0" xfId="1" applyFont="1" applyFill="1" applyBorder="1" applyAlignment="1"/>
    <xf numFmtId="43" fontId="5" fillId="0" borderId="0" xfId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5" borderId="1" xfId="0" applyFont="1" applyFill="1" applyBorder="1" applyAlignment="1"/>
    <xf numFmtId="0" fontId="3" fillId="5" borderId="2" xfId="0" applyFont="1" applyFill="1" applyBorder="1" applyAlignment="1"/>
    <xf numFmtId="2" fontId="3" fillId="5" borderId="2" xfId="0" applyNumberFormat="1" applyFont="1" applyFill="1" applyBorder="1" applyAlignment="1">
      <alignment horizontal="center"/>
    </xf>
    <xf numFmtId="10" fontId="3" fillId="5" borderId="2" xfId="2" applyNumberFormat="1" applyFont="1" applyFill="1" applyBorder="1" applyAlignment="1">
      <alignment horizontal="center"/>
    </xf>
    <xf numFmtId="1" fontId="3" fillId="5" borderId="3" xfId="0" applyNumberFormat="1" applyFont="1" applyFill="1" applyBorder="1" applyAlignment="1">
      <alignment horizontal="center"/>
    </xf>
    <xf numFmtId="0" fontId="3" fillId="5" borderId="20" xfId="0" applyFont="1" applyFill="1" applyBorder="1" applyAlignment="1"/>
    <xf numFmtId="10" fontId="3" fillId="5" borderId="0" xfId="0" applyNumberFormat="1" applyFont="1" applyFill="1" applyBorder="1" applyAlignment="1"/>
    <xf numFmtId="2" fontId="3" fillId="5" borderId="0" xfId="0" applyNumberFormat="1" applyFont="1" applyFill="1" applyBorder="1" applyAlignment="1">
      <alignment horizontal="center"/>
    </xf>
    <xf numFmtId="10" fontId="3" fillId="5" borderId="0" xfId="2" applyNumberFormat="1" applyFont="1" applyFill="1" applyBorder="1" applyAlignment="1">
      <alignment horizontal="center"/>
    </xf>
    <xf numFmtId="1" fontId="3" fillId="5" borderId="21" xfId="0" applyNumberFormat="1" applyFont="1" applyFill="1" applyBorder="1" applyAlignment="1">
      <alignment horizontal="center"/>
    </xf>
    <xf numFmtId="0" fontId="3" fillId="5" borderId="0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/>
    <xf numFmtId="10" fontId="3" fillId="0" borderId="0" xfId="0" applyNumberFormat="1" applyFont="1" applyAlignment="1"/>
    <xf numFmtId="0" fontId="5" fillId="5" borderId="7" xfId="0" applyFont="1" applyFill="1" applyBorder="1" applyAlignment="1">
      <alignment horizontal="center" vertical="center"/>
    </xf>
    <xf numFmtId="169" fontId="3" fillId="0" borderId="0" xfId="1" applyNumberFormat="1" applyFont="1" applyFill="1"/>
    <xf numFmtId="0" fontId="3" fillId="0" borderId="7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vertical="center"/>
    </xf>
    <xf numFmtId="0" fontId="8" fillId="12" borderId="13" xfId="0" applyFont="1" applyFill="1" applyBorder="1"/>
    <xf numFmtId="0" fontId="8" fillId="12" borderId="14" xfId="0" applyFont="1" applyFill="1" applyBorder="1"/>
    <xf numFmtId="0" fontId="3" fillId="0" borderId="0" xfId="0" applyFont="1" applyAlignment="1">
      <alignment horizontal="center"/>
    </xf>
    <xf numFmtId="43" fontId="28" fillId="0" borderId="0" xfId="1" applyFont="1" applyFill="1" applyBorder="1" applyAlignment="1">
      <alignment horizontal="center" vertical="distributed" wrapText="1"/>
    </xf>
    <xf numFmtId="43" fontId="5" fillId="0" borderId="0" xfId="1" applyFont="1" applyFill="1" applyBorder="1" applyAlignment="1">
      <alignment horizontal="right" vertical="distributed"/>
    </xf>
    <xf numFmtId="43" fontId="5" fillId="0" borderId="0" xfId="0" applyNumberFormat="1" applyFont="1" applyFill="1" applyBorder="1" applyAlignment="1">
      <alignment horizontal="right" vertical="distributed"/>
    </xf>
    <xf numFmtId="10" fontId="11" fillId="0" borderId="0" xfId="2" applyNumberFormat="1" applyFont="1" applyBorder="1" applyAlignment="1">
      <alignment horizontal="center"/>
    </xf>
    <xf numFmtId="10" fontId="29" fillId="0" borderId="0" xfId="0" applyNumberFormat="1" applyFont="1"/>
    <xf numFmtId="0" fontId="17" fillId="0" borderId="0" xfId="0" applyFont="1" applyFill="1" applyBorder="1" applyAlignment="1">
      <alignment horizontal="right"/>
    </xf>
    <xf numFmtId="10" fontId="17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8" fontId="3" fillId="0" borderId="0" xfId="1" applyNumberFormat="1" applyFont="1" applyBorder="1" applyAlignment="1">
      <alignment horizontal="center"/>
    </xf>
    <xf numFmtId="10" fontId="3" fillId="0" borderId="0" xfId="2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/>
    <xf numFmtId="43" fontId="3" fillId="0" borderId="0" xfId="1" applyFont="1" applyFill="1"/>
    <xf numFmtId="0" fontId="30" fillId="0" borderId="0" xfId="0" applyFont="1" applyFill="1"/>
    <xf numFmtId="171" fontId="3" fillId="0" borderId="0" xfId="0" applyNumberFormat="1" applyFont="1" applyBorder="1" applyAlignment="1">
      <alignment horizontal="center"/>
    </xf>
    <xf numFmtId="173" fontId="5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5" fillId="0" borderId="7" xfId="0" applyFont="1" applyBorder="1" applyAlignment="1">
      <alignment horizontal="right" vertical="center"/>
    </xf>
    <xf numFmtId="164" fontId="3" fillId="4" borderId="7" xfId="0" applyNumberFormat="1" applyFont="1" applyFill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4" borderId="7" xfId="1" applyNumberFormat="1" applyFont="1" applyFill="1" applyBorder="1" applyAlignment="1">
      <alignment vertical="center"/>
    </xf>
    <xf numFmtId="164" fontId="3" fillId="0" borderId="0" xfId="0" applyNumberFormat="1" applyFont="1"/>
    <xf numFmtId="0" fontId="31" fillId="0" borderId="7" xfId="0" applyFont="1" applyBorder="1" applyAlignment="1">
      <alignment horizontal="right" vertical="center"/>
    </xf>
    <xf numFmtId="164" fontId="5" fillId="0" borderId="7" xfId="1" applyNumberFormat="1" applyFont="1" applyBorder="1" applyAlignment="1">
      <alignment vertical="center"/>
    </xf>
    <xf numFmtId="0" fontId="32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0" fontId="3" fillId="0" borderId="0" xfId="2" applyNumberFormat="1" applyFont="1" applyFill="1"/>
    <xf numFmtId="10" fontId="3" fillId="0" borderId="0" xfId="0" applyNumberFormat="1" applyFont="1" applyFill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center"/>
    </xf>
    <xf numFmtId="10" fontId="3" fillId="0" borderId="0" xfId="2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43" fontId="5" fillId="0" borderId="15" xfId="1" applyFont="1" applyFill="1" applyBorder="1" applyAlignment="1">
      <alignment horizontal="center" vertical="center" wrapText="1"/>
    </xf>
    <xf numFmtId="43" fontId="5" fillId="0" borderId="15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/>
    </xf>
    <xf numFmtId="2" fontId="3" fillId="0" borderId="7" xfId="1" applyNumberFormat="1" applyFont="1" applyFill="1" applyBorder="1" applyAlignment="1">
      <alignment horizontal="center"/>
    </xf>
    <xf numFmtId="2" fontId="3" fillId="0" borderId="11" xfId="1" applyNumberFormat="1" applyFont="1" applyFill="1" applyBorder="1" applyAlignment="1">
      <alignment horizontal="center"/>
    </xf>
    <xf numFmtId="2" fontId="5" fillId="6" borderId="7" xfId="0" applyNumberFormat="1" applyFont="1" applyFill="1" applyBorder="1" applyAlignment="1">
      <alignment horizontal="center"/>
    </xf>
    <xf numFmtId="2" fontId="5" fillId="7" borderId="7" xfId="0" applyNumberFormat="1" applyFont="1" applyFill="1" applyBorder="1" applyAlignment="1">
      <alignment horizontal="center"/>
    </xf>
    <xf numFmtId="2" fontId="5" fillId="8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43" fontId="5" fillId="0" borderId="0" xfId="0" applyNumberFormat="1" applyFont="1" applyFill="1" applyBorder="1"/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43" fontId="33" fillId="0" borderId="0" xfId="1" applyFont="1" applyFill="1" applyBorder="1"/>
    <xf numFmtId="171" fontId="33" fillId="0" borderId="0" xfId="0" applyNumberFormat="1" applyFont="1" applyFill="1" applyBorder="1" applyAlignment="1">
      <alignment horizontal="right"/>
    </xf>
    <xf numFmtId="43" fontId="33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33" fillId="0" borderId="0" xfId="0" applyNumberFormat="1" applyFont="1" applyFill="1" applyAlignment="1">
      <alignment horizontal="right"/>
    </xf>
    <xf numFmtId="0" fontId="33" fillId="0" borderId="0" xfId="0" applyFont="1" applyFill="1" applyBorder="1"/>
    <xf numFmtId="169" fontId="33" fillId="0" borderId="0" xfId="0" applyNumberFormat="1" applyFont="1" applyFill="1" applyBorder="1"/>
    <xf numFmtId="173" fontId="33" fillId="0" borderId="0" xfId="0" applyNumberFormat="1" applyFont="1" applyFill="1" applyBorder="1" applyAlignment="1">
      <alignment horizontal="right"/>
    </xf>
    <xf numFmtId="174" fontId="33" fillId="0" borderId="0" xfId="1" applyNumberFormat="1" applyFont="1" applyFill="1" applyBorder="1"/>
    <xf numFmtId="173" fontId="33" fillId="0" borderId="0" xfId="0" applyNumberFormat="1" applyFont="1" applyFill="1" applyBorder="1" applyAlignment="1">
      <alignment horizontal="left"/>
    </xf>
    <xf numFmtId="173" fontId="3" fillId="0" borderId="0" xfId="0" applyNumberFormat="1" applyFont="1" applyFill="1" applyBorder="1"/>
    <xf numFmtId="0" fontId="34" fillId="0" borderId="0" xfId="0" applyFont="1"/>
    <xf numFmtId="0" fontId="5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5" fillId="0" borderId="0" xfId="0" applyFont="1" applyBorder="1"/>
    <xf numFmtId="173" fontId="3" fillId="0" borderId="0" xfId="0" applyNumberFormat="1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Alignment="1">
      <alignment horizontal="left"/>
    </xf>
    <xf numFmtId="0" fontId="29" fillId="0" borderId="0" xfId="0" applyFont="1" applyBorder="1"/>
    <xf numFmtId="173" fontId="11" fillId="0" borderId="0" xfId="0" applyNumberFormat="1" applyFont="1" applyFill="1" applyBorder="1"/>
    <xf numFmtId="173" fontId="11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 applyAlignment="1">
      <alignment horizontal="center"/>
    </xf>
    <xf numFmtId="0" fontId="35" fillId="0" borderId="0" xfId="0" applyFont="1"/>
    <xf numFmtId="0" fontId="11" fillId="0" borderId="0" xfId="0" applyFont="1"/>
    <xf numFmtId="0" fontId="11" fillId="0" borderId="0" xfId="0" applyFont="1" applyFill="1" applyBorder="1"/>
    <xf numFmtId="43" fontId="29" fillId="0" borderId="0" xfId="1" applyFont="1" applyFill="1" applyBorder="1" applyAlignment="1"/>
    <xf numFmtId="0" fontId="29" fillId="0" borderId="7" xfId="0" applyFont="1" applyFill="1" applyBorder="1" applyAlignment="1">
      <alignment horizontal="center" vertical="distributed"/>
    </xf>
    <xf numFmtId="0" fontId="29" fillId="0" borderId="7" xfId="0" applyFont="1" applyBorder="1" applyAlignment="1">
      <alignment horizontal="center" vertical="distributed"/>
    </xf>
    <xf numFmtId="0" fontId="29" fillId="0" borderId="15" xfId="0" applyFont="1" applyFill="1" applyBorder="1" applyAlignment="1">
      <alignment horizontal="center" vertical="distributed"/>
    </xf>
    <xf numFmtId="0" fontId="29" fillId="0" borderId="15" xfId="0" applyFont="1" applyBorder="1" applyAlignment="1">
      <alignment horizontal="center" vertical="distributed"/>
    </xf>
    <xf numFmtId="0" fontId="29" fillId="0" borderId="1" xfId="0" applyFont="1" applyBorder="1" applyAlignment="1">
      <alignment horizontal="center" vertical="distributed"/>
    </xf>
    <xf numFmtId="43" fontId="5" fillId="0" borderId="18" xfId="1" applyFont="1" applyFill="1" applyBorder="1" applyAlignment="1"/>
    <xf numFmtId="43" fontId="3" fillId="0" borderId="32" xfId="1" applyFont="1" applyFill="1" applyBorder="1" applyAlignment="1"/>
    <xf numFmtId="43" fontId="3" fillId="0" borderId="33" xfId="1" applyFont="1" applyFill="1" applyBorder="1" applyAlignment="1"/>
    <xf numFmtId="0" fontId="5" fillId="0" borderId="18" xfId="0" applyFont="1" applyFill="1" applyBorder="1"/>
    <xf numFmtId="43" fontId="5" fillId="0" borderId="32" xfId="1" applyFont="1" applyFill="1" applyBorder="1" applyAlignment="1">
      <alignment horizontal="right"/>
    </xf>
    <xf numFmtId="0" fontId="5" fillId="0" borderId="32" xfId="0" applyFont="1" applyFill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164" fontId="11" fillId="0" borderId="7" xfId="0" applyNumberFormat="1" applyFont="1" applyFill="1" applyBorder="1" applyAlignment="1">
      <alignment horizontal="center"/>
    </xf>
    <xf numFmtId="10" fontId="11" fillId="6" borderId="7" xfId="2" applyNumberFormat="1" applyFont="1" applyFill="1" applyBorder="1" applyAlignment="1">
      <alignment horizontal="center"/>
    </xf>
    <xf numFmtId="43" fontId="11" fillId="0" borderId="7" xfId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3" fontId="11" fillId="0" borderId="11" xfId="1" applyFont="1" applyFill="1" applyBorder="1" applyAlignment="1">
      <alignment horizontal="center"/>
    </xf>
    <xf numFmtId="10" fontId="29" fillId="6" borderId="7" xfId="2" applyNumberFormat="1" applyFont="1" applyFill="1" applyBorder="1" applyAlignment="1">
      <alignment horizontal="center"/>
    </xf>
    <xf numFmtId="10" fontId="29" fillId="7" borderId="7" xfId="2" applyNumberFormat="1" applyFont="1" applyFill="1" applyBorder="1" applyAlignment="1">
      <alignment horizontal="center"/>
    </xf>
    <xf numFmtId="10" fontId="29" fillId="8" borderId="11" xfId="2" applyNumberFormat="1" applyFont="1" applyFill="1" applyBorder="1" applyAlignment="1">
      <alignment horizontal="center"/>
    </xf>
    <xf numFmtId="164" fontId="3" fillId="0" borderId="35" xfId="0" applyNumberFormat="1" applyFont="1" applyFill="1" applyBorder="1"/>
    <xf numFmtId="43" fontId="5" fillId="0" borderId="36" xfId="1" applyFont="1" applyFill="1" applyBorder="1" applyAlignment="1"/>
    <xf numFmtId="169" fontId="3" fillId="0" borderId="35" xfId="1" applyNumberFormat="1" applyFont="1" applyFill="1" applyBorder="1"/>
    <xf numFmtId="0" fontId="3" fillId="0" borderId="36" xfId="0" applyFont="1" applyBorder="1"/>
    <xf numFmtId="165" fontId="3" fillId="0" borderId="35" xfId="2" applyNumberFormat="1" applyFont="1" applyFill="1" applyBorder="1"/>
    <xf numFmtId="0" fontId="3" fillId="0" borderId="36" xfId="0" applyFont="1" applyFill="1" applyBorder="1"/>
    <xf numFmtId="170" fontId="3" fillId="0" borderId="35" xfId="0" applyNumberFormat="1" applyFont="1" applyBorder="1"/>
    <xf numFmtId="164" fontId="38" fillId="0" borderId="7" xfId="0" applyNumberFormat="1" applyFont="1" applyFill="1" applyBorder="1" applyAlignment="1">
      <alignment horizontal="center"/>
    </xf>
    <xf numFmtId="175" fontId="38" fillId="0" borderId="7" xfId="2" applyNumberFormat="1" applyFont="1" applyFill="1" applyBorder="1" applyAlignment="1">
      <alignment horizontal="center"/>
    </xf>
    <xf numFmtId="43" fontId="11" fillId="0" borderId="0" xfId="1" applyFont="1" applyBorder="1" applyAlignment="1">
      <alignment horizontal="center"/>
    </xf>
    <xf numFmtId="4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10" fontId="29" fillId="0" borderId="0" xfId="2" applyNumberFormat="1" applyFont="1" applyFill="1" applyBorder="1" applyAlignment="1"/>
    <xf numFmtId="165" fontId="5" fillId="0" borderId="35" xfId="2" applyNumberFormat="1" applyFont="1" applyFill="1" applyBorder="1"/>
    <xf numFmtId="171" fontId="5" fillId="0" borderId="35" xfId="1" applyNumberFormat="1" applyFont="1" applyFill="1" applyBorder="1"/>
    <xf numFmtId="43" fontId="3" fillId="0" borderId="37" xfId="0" applyNumberFormat="1" applyFont="1" applyBorder="1"/>
    <xf numFmtId="169" fontId="3" fillId="6" borderId="35" xfId="1" applyNumberFormat="1" applyFont="1" applyFill="1" applyBorder="1"/>
    <xf numFmtId="10" fontId="5" fillId="6" borderId="37" xfId="2" applyNumberFormat="1" applyFont="1" applyFill="1" applyBorder="1"/>
    <xf numFmtId="168" fontId="3" fillId="0" borderId="0" xfId="0" applyNumberFormat="1" applyFont="1" applyBorder="1"/>
    <xf numFmtId="10" fontId="22" fillId="0" borderId="35" xfId="0" applyNumberFormat="1" applyFont="1" applyBorder="1"/>
    <xf numFmtId="0" fontId="23" fillId="0" borderId="0" xfId="0" applyFont="1" applyBorder="1"/>
    <xf numFmtId="0" fontId="29" fillId="0" borderId="0" xfId="0" applyFont="1" applyAlignment="1">
      <alignment horizontal="center"/>
    </xf>
    <xf numFmtId="49" fontId="5" fillId="0" borderId="0" xfId="0" applyNumberFormat="1" applyFont="1"/>
    <xf numFmtId="0" fontId="5" fillId="0" borderId="16" xfId="0" applyFont="1" applyBorder="1"/>
    <xf numFmtId="176" fontId="5" fillId="6" borderId="16" xfId="2" applyNumberFormat="1" applyFont="1" applyFill="1" applyBorder="1" applyAlignment="1">
      <alignment horizontal="center"/>
    </xf>
    <xf numFmtId="175" fontId="5" fillId="8" borderId="16" xfId="2" applyNumberFormat="1" applyFont="1" applyFill="1" applyBorder="1" applyAlignment="1">
      <alignment horizontal="center"/>
    </xf>
    <xf numFmtId="175" fontId="5" fillId="7" borderId="16" xfId="2" applyNumberFormat="1" applyFont="1" applyFill="1" applyBorder="1" applyAlignment="1">
      <alignment horizontal="center"/>
    </xf>
    <xf numFmtId="10" fontId="22" fillId="0" borderId="26" xfId="0" applyNumberFormat="1" applyFont="1" applyBorder="1"/>
    <xf numFmtId="0" fontId="23" fillId="0" borderId="38" xfId="0" applyFont="1" applyBorder="1"/>
    <xf numFmtId="0" fontId="3" fillId="0" borderId="38" xfId="0" applyFont="1" applyBorder="1"/>
    <xf numFmtId="172" fontId="3" fillId="0" borderId="38" xfId="0" applyNumberFormat="1" applyFont="1" applyBorder="1"/>
    <xf numFmtId="0" fontId="3" fillId="0" borderId="39" xfId="0" applyFont="1" applyBorder="1"/>
    <xf numFmtId="0" fontId="3" fillId="0" borderId="25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10" fontId="3" fillId="0" borderId="0" xfId="0" applyNumberFormat="1" applyFont="1"/>
    <xf numFmtId="0" fontId="5" fillId="0" borderId="17" xfId="0" applyFont="1" applyBorder="1"/>
    <xf numFmtId="1" fontId="5" fillId="6" borderId="16" xfId="0" applyNumberFormat="1" applyFont="1" applyFill="1" applyBorder="1" applyAlignment="1">
      <alignment horizontal="center"/>
    </xf>
    <xf numFmtId="1" fontId="5" fillId="8" borderId="16" xfId="0" applyNumberFormat="1" applyFont="1" applyFill="1" applyBorder="1" applyAlignment="1">
      <alignment horizontal="center"/>
    </xf>
    <xf numFmtId="1" fontId="5" fillId="7" borderId="16" xfId="0" applyNumberFormat="1" applyFont="1" applyFill="1" applyBorder="1" applyAlignment="1">
      <alignment horizontal="center"/>
    </xf>
    <xf numFmtId="10" fontId="3" fillId="0" borderId="0" xfId="1" applyNumberFormat="1" applyFont="1" applyFill="1" applyBorder="1"/>
    <xf numFmtId="1" fontId="3" fillId="0" borderId="0" xfId="0" applyNumberFormat="1" applyFont="1"/>
    <xf numFmtId="49" fontId="5" fillId="0" borderId="7" xfId="1" applyNumberFormat="1" applyFont="1" applyBorder="1" applyAlignment="1">
      <alignment horizontal="right"/>
    </xf>
    <xf numFmtId="1" fontId="5" fillId="0" borderId="7" xfId="0" applyNumberFormat="1" applyFont="1" applyFill="1" applyBorder="1" applyAlignment="1">
      <alignment horizontal="center"/>
    </xf>
    <xf numFmtId="171" fontId="3" fillId="0" borderId="0" xfId="1" applyNumberFormat="1" applyFont="1" applyFill="1" applyBorder="1"/>
    <xf numFmtId="1" fontId="5" fillId="13" borderId="7" xfId="0" applyNumberFormat="1" applyFont="1" applyFill="1" applyBorder="1" applyAlignment="1">
      <alignment horizontal="center" vertical="distributed"/>
    </xf>
    <xf numFmtId="1" fontId="5" fillId="10" borderId="7" xfId="0" applyNumberFormat="1" applyFont="1" applyFill="1" applyBorder="1" applyAlignment="1">
      <alignment horizontal="center" vertical="distributed"/>
    </xf>
    <xf numFmtId="171" fontId="3" fillId="0" borderId="0" xfId="0" applyNumberFormat="1" applyFont="1" applyFill="1" applyBorder="1"/>
    <xf numFmtId="1" fontId="5" fillId="14" borderId="7" xfId="0" applyNumberFormat="1" applyFont="1" applyFill="1" applyBorder="1" applyAlignment="1">
      <alignment horizontal="center" vertical="distributed"/>
    </xf>
    <xf numFmtId="49" fontId="3" fillId="0" borderId="0" xfId="0" applyNumberFormat="1" applyFont="1" applyFill="1" applyBorder="1"/>
    <xf numFmtId="1" fontId="3" fillId="0" borderId="0" xfId="0" applyNumberFormat="1" applyFont="1" applyAlignment="1">
      <alignment horizontal="center"/>
    </xf>
    <xf numFmtId="0" fontId="3" fillId="0" borderId="11" xfId="0" applyFont="1" applyFill="1" applyBorder="1"/>
    <xf numFmtId="1" fontId="5" fillId="7" borderId="7" xfId="0" applyNumberFormat="1" applyFont="1" applyFill="1" applyBorder="1" applyAlignment="1">
      <alignment horizontal="center" vertical="distributed"/>
    </xf>
    <xf numFmtId="0" fontId="3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164" fontId="11" fillId="0" borderId="7" xfId="1" applyNumberFormat="1" applyFont="1" applyFill="1" applyBorder="1"/>
    <xf numFmtId="0" fontId="11" fillId="0" borderId="7" xfId="0" applyFont="1" applyFill="1" applyBorder="1"/>
    <xf numFmtId="0" fontId="40" fillId="0" borderId="7" xfId="0" applyFont="1" applyFill="1" applyBorder="1" applyAlignment="1">
      <alignment horizontal="right"/>
    </xf>
    <xf numFmtId="43" fontId="3" fillId="0" borderId="7" xfId="1" applyFont="1" applyFill="1" applyBorder="1"/>
    <xf numFmtId="0" fontId="33" fillId="0" borderId="7" xfId="0" applyFont="1" applyBorder="1" applyAlignment="1">
      <alignment horizontal="right"/>
    </xf>
    <xf numFmtId="0" fontId="11" fillId="0" borderId="11" xfId="0" applyFont="1" applyBorder="1"/>
    <xf numFmtId="0" fontId="3" fillId="0" borderId="12" xfId="0" applyFont="1" applyBorder="1"/>
    <xf numFmtId="0" fontId="11" fillId="0" borderId="9" xfId="0" applyFont="1" applyBorder="1" applyAlignment="1">
      <alignment horizontal="right"/>
    </xf>
    <xf numFmtId="164" fontId="29" fillId="0" borderId="7" xfId="0" applyNumberFormat="1" applyFont="1" applyBorder="1" applyAlignment="1">
      <alignment horizontal="center"/>
    </xf>
    <xf numFmtId="164" fontId="29" fillId="0" borderId="7" xfId="1" applyNumberFormat="1" applyFont="1" applyFill="1" applyBorder="1"/>
    <xf numFmtId="0" fontId="5" fillId="0" borderId="0" xfId="0" applyFont="1" applyBorder="1" applyAlignment="1">
      <alignment horizontal="right"/>
    </xf>
    <xf numFmtId="164" fontId="11" fillId="0" borderId="0" xfId="1" applyNumberFormat="1" applyFont="1" applyFill="1" applyBorder="1"/>
    <xf numFmtId="164" fontId="29" fillId="0" borderId="0" xfId="1" applyNumberFormat="1" applyFont="1" applyFill="1" applyBorder="1"/>
    <xf numFmtId="0" fontId="41" fillId="0" borderId="35" xfId="0" applyFont="1" applyBorder="1"/>
    <xf numFmtId="164" fontId="11" fillId="0" borderId="0" xfId="1" applyNumberFormat="1" applyFont="1"/>
    <xf numFmtId="43" fontId="41" fillId="0" borderId="7" xfId="1" applyFont="1" applyBorder="1"/>
    <xf numFmtId="43" fontId="29" fillId="0" borderId="0" xfId="1" applyFont="1"/>
    <xf numFmtId="43" fontId="3" fillId="0" borderId="0" xfId="0" applyNumberFormat="1" applyFont="1"/>
    <xf numFmtId="0" fontId="29" fillId="0" borderId="0" xfId="0" applyFont="1" applyBorder="1" applyAlignment="1">
      <alignment horizontal="right"/>
    </xf>
    <xf numFmtId="43" fontId="11" fillId="15" borderId="0" xfId="0" applyNumberFormat="1" applyFont="1" applyFill="1"/>
    <xf numFmtId="43" fontId="3" fillId="0" borderId="0" xfId="1" applyFont="1" applyBorder="1"/>
    <xf numFmtId="0" fontId="5" fillId="0" borderId="38" xfId="0" applyFont="1" applyBorder="1" applyAlignment="1">
      <alignment horizontal="right"/>
    </xf>
    <xf numFmtId="43" fontId="5" fillId="0" borderId="17" xfId="0" applyNumberFormat="1" applyFont="1" applyBorder="1"/>
    <xf numFmtId="43" fontId="11" fillId="0" borderId="0" xfId="0" applyNumberFormat="1" applyFont="1"/>
    <xf numFmtId="173" fontId="3" fillId="0" borderId="0" xfId="0" applyNumberFormat="1" applyFont="1"/>
    <xf numFmtId="0" fontId="3" fillId="0" borderId="25" xfId="0" applyFont="1" applyFill="1" applyBorder="1" applyAlignment="1">
      <alignment horizontal="right"/>
    </xf>
    <xf numFmtId="171" fontId="5" fillId="15" borderId="40" xfId="1" applyNumberFormat="1" applyFont="1" applyFill="1" applyBorder="1"/>
    <xf numFmtId="168" fontId="11" fillId="0" borderId="0" xfId="0" applyNumberFormat="1" applyFont="1" applyFill="1" applyBorder="1"/>
    <xf numFmtId="0" fontId="5" fillId="0" borderId="0" xfId="0" applyFont="1" applyBorder="1" applyAlignment="1">
      <alignment horizontal="center"/>
    </xf>
    <xf numFmtId="9" fontId="3" fillId="0" borderId="0" xfId="2" applyFont="1" applyFill="1" applyBorder="1"/>
    <xf numFmtId="49" fontId="3" fillId="5" borderId="11" xfId="0" applyNumberFormat="1" applyFont="1" applyFill="1" applyBorder="1"/>
    <xf numFmtId="49" fontId="3" fillId="5" borderId="7" xfId="0" applyNumberFormat="1" applyFont="1" applyFill="1" applyBorder="1"/>
    <xf numFmtId="49" fontId="3" fillId="5" borderId="7" xfId="0" applyNumberFormat="1" applyFont="1" applyFill="1" applyBorder="1" applyAlignment="1">
      <alignment horizontal="left"/>
    </xf>
    <xf numFmtId="49" fontId="3" fillId="5" borderId="2" xfId="0" applyNumberFormat="1" applyFont="1" applyFill="1" applyBorder="1" applyAlignment="1">
      <alignment horizontal="left"/>
    </xf>
    <xf numFmtId="49" fontId="3" fillId="5" borderId="3" xfId="0" applyNumberFormat="1" applyFont="1" applyFill="1" applyBorder="1" applyAlignment="1">
      <alignment horizontal="left"/>
    </xf>
    <xf numFmtId="49" fontId="3" fillId="5" borderId="20" xfId="0" applyNumberFormat="1" applyFont="1" applyFill="1" applyBorder="1"/>
    <xf numFmtId="164" fontId="3" fillId="5" borderId="0" xfId="0" applyNumberFormat="1" applyFont="1" applyFill="1" applyBorder="1"/>
    <xf numFmtId="2" fontId="3" fillId="5" borderId="0" xfId="0" applyNumberFormat="1" applyFont="1" applyFill="1" applyBorder="1"/>
    <xf numFmtId="10" fontId="3" fillId="5" borderId="0" xfId="0" applyNumberFormat="1" applyFont="1" applyFill="1" applyBorder="1"/>
    <xf numFmtId="1" fontId="3" fillId="5" borderId="0" xfId="0" applyNumberFormat="1" applyFont="1" applyFill="1" applyBorder="1" applyAlignment="1">
      <alignment horizontal="center"/>
    </xf>
    <xf numFmtId="49" fontId="3" fillId="5" borderId="21" xfId="0" applyNumberFormat="1" applyFont="1" applyFill="1" applyBorder="1" applyAlignment="1">
      <alignment horizontal="left"/>
    </xf>
    <xf numFmtId="10" fontId="3" fillId="5" borderId="21" xfId="0" applyNumberFormat="1" applyFont="1" applyFill="1" applyBorder="1" applyAlignment="1">
      <alignment horizontal="center"/>
    </xf>
    <xf numFmtId="0" fontId="42" fillId="0" borderId="0" xfId="0" applyFont="1" applyFill="1" applyBorder="1"/>
    <xf numFmtId="49" fontId="3" fillId="5" borderId="7" xfId="0" applyNumberFormat="1" applyFont="1" applyFill="1" applyBorder="1" applyAlignment="1">
      <alignment horizontal="center"/>
    </xf>
    <xf numFmtId="49" fontId="3" fillId="5" borderId="11" xfId="0" applyNumberFormat="1" applyFont="1" applyFill="1" applyBorder="1" applyAlignment="1">
      <alignment horizontal="center"/>
    </xf>
    <xf numFmtId="0" fontId="3" fillId="5" borderId="20" xfId="0" applyFont="1" applyFill="1" applyBorder="1"/>
    <xf numFmtId="49" fontId="3" fillId="5" borderId="4" xfId="0" applyNumberFormat="1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49" fontId="5" fillId="5" borderId="7" xfId="0" applyNumberFormat="1" applyFont="1" applyFill="1" applyBorder="1" applyAlignment="1">
      <alignment horizontal="center" vertical="distributed"/>
    </xf>
    <xf numFmtId="0" fontId="5" fillId="5" borderId="7" xfId="0" applyFont="1" applyFill="1" applyBorder="1" applyAlignment="1">
      <alignment horizontal="center" vertical="distributed"/>
    </xf>
    <xf numFmtId="166" fontId="3" fillId="0" borderId="7" xfId="0" applyNumberFormat="1" applyFont="1" applyBorder="1" applyAlignment="1">
      <alignment horizontal="center" vertical="distributed"/>
    </xf>
    <xf numFmtId="0" fontId="12" fillId="0" borderId="0" xfId="0" applyFont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44" fillId="3" borderId="10" xfId="0" applyFont="1" applyFill="1" applyBorder="1" applyAlignment="1">
      <alignment vertical="center" wrapText="1"/>
    </xf>
    <xf numFmtId="0" fontId="44" fillId="0" borderId="0" xfId="0" applyFont="1"/>
    <xf numFmtId="10" fontId="44" fillId="0" borderId="0" xfId="2" applyNumberFormat="1" applyFont="1"/>
    <xf numFmtId="1" fontId="44" fillId="0" borderId="0" xfId="0" applyNumberFormat="1" applyFont="1"/>
    <xf numFmtId="0" fontId="44" fillId="0" borderId="0" xfId="0" applyFont="1" applyFill="1"/>
    <xf numFmtId="165" fontId="44" fillId="16" borderId="43" xfId="2" applyNumberFormat="1" applyFont="1" applyFill="1" applyBorder="1" applyAlignment="1">
      <alignment vertical="center"/>
    </xf>
    <xf numFmtId="10" fontId="44" fillId="3" borderId="10" xfId="2" applyNumberFormat="1" applyFont="1" applyFill="1" applyBorder="1" applyAlignment="1">
      <alignment horizontal="right" vertical="center"/>
    </xf>
    <xf numFmtId="165" fontId="44" fillId="0" borderId="0" xfId="2" applyNumberFormat="1" applyFont="1"/>
    <xf numFmtId="10" fontId="44" fillId="3" borderId="7" xfId="2" applyNumberFormat="1" applyFont="1" applyFill="1" applyBorder="1" applyAlignment="1">
      <alignment horizontal="right" vertical="center"/>
    </xf>
    <xf numFmtId="10" fontId="44" fillId="2" borderId="7" xfId="2" applyNumberFormat="1" applyFont="1" applyFill="1" applyBorder="1" applyAlignment="1">
      <alignment horizontal="right" vertical="center"/>
    </xf>
    <xf numFmtId="177" fontId="8" fillId="16" borderId="7" xfId="0" applyNumberFormat="1" applyFont="1" applyFill="1" applyBorder="1" applyAlignment="1">
      <alignment horizontal="right" vertical="center"/>
    </xf>
    <xf numFmtId="177" fontId="8" fillId="16" borderId="28" xfId="0" applyNumberFormat="1" applyFont="1" applyFill="1" applyBorder="1" applyAlignment="1">
      <alignment horizontal="right" vertical="center"/>
    </xf>
    <xf numFmtId="0" fontId="0" fillId="0" borderId="0" xfId="0" applyFont="1"/>
    <xf numFmtId="0" fontId="56" fillId="0" borderId="0" xfId="0" applyFont="1" applyAlignment="1">
      <alignment horizontal="right"/>
    </xf>
    <xf numFmtId="0" fontId="56" fillId="0" borderId="0" xfId="0" applyFont="1"/>
    <xf numFmtId="43" fontId="57" fillId="0" borderId="0" xfId="1" applyFont="1" applyFill="1" applyBorder="1" applyAlignment="1">
      <alignment horizontal="center" vertical="distributed"/>
    </xf>
    <xf numFmtId="0" fontId="57" fillId="0" borderId="0" xfId="0" applyFont="1" applyFill="1" applyBorder="1" applyAlignment="1">
      <alignment horizontal="center" vertical="distributed"/>
    </xf>
    <xf numFmtId="0" fontId="58" fillId="0" borderId="0" xfId="0" applyFont="1" applyFill="1" applyBorder="1" applyAlignment="1">
      <alignment horizontal="center" vertical="distributed"/>
    </xf>
    <xf numFmtId="10" fontId="0" fillId="0" borderId="0" xfId="2" applyNumberFormat="1" applyFont="1"/>
    <xf numFmtId="43" fontId="57" fillId="0" borderId="0" xfId="1" applyFont="1" applyFill="1" applyBorder="1"/>
    <xf numFmtId="43" fontId="57" fillId="0" borderId="0" xfId="0" applyNumberFormat="1" applyFont="1" applyFill="1" applyBorder="1"/>
    <xf numFmtId="173" fontId="57" fillId="0" borderId="0" xfId="0" applyNumberFormat="1" applyFont="1" applyFill="1" applyBorder="1"/>
    <xf numFmtId="10" fontId="58" fillId="0" borderId="0" xfId="2" applyNumberFormat="1" applyFont="1" applyFill="1" applyBorder="1"/>
    <xf numFmtId="43" fontId="0" fillId="0" borderId="0" xfId="1" applyFont="1"/>
    <xf numFmtId="0" fontId="0" fillId="3" borderId="0" xfId="0" applyFill="1"/>
    <xf numFmtId="0" fontId="46" fillId="3" borderId="0" xfId="0" applyFont="1" applyFill="1" applyBorder="1" applyAlignment="1">
      <alignment horizontal="left" vertical="distributed"/>
    </xf>
    <xf numFmtId="0" fontId="44" fillId="3" borderId="18" xfId="0" applyFont="1" applyFill="1" applyBorder="1" applyAlignment="1">
      <alignment horizontal="right"/>
    </xf>
    <xf numFmtId="0" fontId="44" fillId="3" borderId="32" xfId="0" applyFont="1" applyFill="1" applyBorder="1"/>
    <xf numFmtId="0" fontId="44" fillId="3" borderId="32" xfId="0" applyFont="1" applyFill="1" applyBorder="1" applyAlignment="1">
      <alignment horizontal="left"/>
    </xf>
    <xf numFmtId="0" fontId="44" fillId="3" borderId="33" xfId="0" applyFont="1" applyFill="1" applyBorder="1"/>
    <xf numFmtId="0" fontId="44" fillId="3" borderId="0" xfId="0" applyFont="1" applyFill="1"/>
    <xf numFmtId="0" fontId="44" fillId="3" borderId="35" xfId="0" applyFont="1" applyFill="1" applyBorder="1" applyAlignment="1">
      <alignment horizontal="right" vertical="center"/>
    </xf>
    <xf numFmtId="10" fontId="44" fillId="4" borderId="7" xfId="0" applyNumberFormat="1" applyFont="1" applyFill="1" applyBorder="1" applyAlignment="1">
      <alignment vertical="center"/>
    </xf>
    <xf numFmtId="0" fontId="44" fillId="3" borderId="0" xfId="0" applyFont="1" applyFill="1" applyBorder="1" applyAlignment="1">
      <alignment horizontal="center" vertical="center"/>
    </xf>
    <xf numFmtId="2" fontId="44" fillId="2" borderId="7" xfId="0" applyNumberFormat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vertical="center"/>
    </xf>
    <xf numFmtId="49" fontId="44" fillId="3" borderId="0" xfId="0" applyNumberFormat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right" vertical="center"/>
    </xf>
    <xf numFmtId="43" fontId="44" fillId="4" borderId="7" xfId="1" applyNumberFormat="1" applyFont="1" applyFill="1" applyBorder="1" applyAlignment="1">
      <alignment vertical="center"/>
    </xf>
    <xf numFmtId="0" fontId="44" fillId="3" borderId="36" xfId="0" applyFont="1" applyFill="1" applyBorder="1" applyAlignment="1">
      <alignment vertical="center"/>
    </xf>
    <xf numFmtId="0" fontId="44" fillId="3" borderId="25" xfId="0" applyFont="1" applyFill="1" applyBorder="1" applyAlignment="1">
      <alignment horizontal="right"/>
    </xf>
    <xf numFmtId="10" fontId="44" fillId="16" borderId="44" xfId="2" applyNumberFormat="1" applyFont="1" applyFill="1" applyBorder="1" applyAlignment="1">
      <alignment vertical="center"/>
    </xf>
    <xf numFmtId="0" fontId="44" fillId="3" borderId="38" xfId="0" applyFont="1" applyFill="1" applyBorder="1" applyAlignment="1">
      <alignment vertical="center"/>
    </xf>
    <xf numFmtId="0" fontId="44" fillId="3" borderId="39" xfId="0" applyFont="1" applyFill="1" applyBorder="1" applyAlignment="1">
      <alignment vertical="center"/>
    </xf>
    <xf numFmtId="0" fontId="44" fillId="3" borderId="0" xfId="0" applyFont="1" applyFill="1" applyBorder="1" applyAlignment="1">
      <alignment horizontal="right"/>
    </xf>
    <xf numFmtId="177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/>
    <xf numFmtId="0" fontId="44" fillId="3" borderId="0" xfId="0" applyFont="1" applyFill="1" applyAlignment="1">
      <alignment horizontal="right"/>
    </xf>
    <xf numFmtId="0" fontId="50" fillId="3" borderId="0" xfId="0" applyFont="1" applyFill="1"/>
    <xf numFmtId="0" fontId="8" fillId="3" borderId="0" xfId="0" applyFont="1" applyFill="1"/>
    <xf numFmtId="0" fontId="44" fillId="3" borderId="0" xfId="0" applyFont="1" applyFill="1" applyAlignment="1">
      <alignment vertical="center"/>
    </xf>
    <xf numFmtId="0" fontId="53" fillId="3" borderId="0" xfId="0" applyFont="1" applyFill="1" applyAlignment="1">
      <alignment vertical="center"/>
    </xf>
    <xf numFmtId="0" fontId="25" fillId="3" borderId="0" xfId="0" applyFont="1" applyFill="1"/>
    <xf numFmtId="0" fontId="8" fillId="3" borderId="41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172" fontId="44" fillId="3" borderId="42" xfId="0" applyNumberFormat="1" applyFont="1" applyFill="1" applyBorder="1" applyAlignment="1">
      <alignment horizontal="right" vertical="center"/>
    </xf>
    <xf numFmtId="43" fontId="25" fillId="3" borderId="0" xfId="1" applyFont="1" applyFill="1"/>
    <xf numFmtId="0" fontId="8" fillId="3" borderId="3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172" fontId="44" fillId="3" borderId="43" xfId="0" applyNumberFormat="1" applyFont="1" applyFill="1" applyBorder="1" applyAlignment="1">
      <alignment horizontal="right" vertical="center"/>
    </xf>
    <xf numFmtId="10" fontId="25" fillId="3" borderId="0" xfId="1" applyNumberFormat="1" applyFont="1" applyFill="1"/>
    <xf numFmtId="0" fontId="44" fillId="3" borderId="37" xfId="0" applyFont="1" applyFill="1" applyBorder="1" applyAlignment="1">
      <alignment vertical="center"/>
    </xf>
    <xf numFmtId="172" fontId="44" fillId="3" borderId="7" xfId="0" applyNumberFormat="1" applyFont="1" applyFill="1" applyBorder="1" applyAlignment="1">
      <alignment horizontal="right" vertical="center"/>
    </xf>
    <xf numFmtId="43" fontId="25" fillId="3" borderId="0" xfId="0" applyNumberFormat="1" applyFont="1" applyFill="1"/>
    <xf numFmtId="9" fontId="44" fillId="2" borderId="7" xfId="2" applyFont="1" applyFill="1" applyBorder="1" applyAlignment="1">
      <alignment horizontal="right" vertical="center"/>
    </xf>
    <xf numFmtId="49" fontId="44" fillId="3" borderId="37" xfId="0" applyNumberFormat="1" applyFont="1" applyFill="1" applyBorder="1" applyAlignment="1">
      <alignment vertical="center"/>
    </xf>
    <xf numFmtId="0" fontId="54" fillId="3" borderId="11" xfId="0" applyFont="1" applyFill="1" applyBorder="1"/>
    <xf numFmtId="0" fontId="25" fillId="3" borderId="12" xfId="0" applyFont="1" applyFill="1" applyBorder="1"/>
    <xf numFmtId="178" fontId="25" fillId="3" borderId="12" xfId="0" applyNumberFormat="1" applyFont="1" applyFill="1" applyBorder="1"/>
    <xf numFmtId="0" fontId="25" fillId="3" borderId="9" xfId="0" applyFont="1" applyFill="1" applyBorder="1"/>
    <xf numFmtId="2" fontId="44" fillId="3" borderId="37" xfId="0" applyNumberFormat="1" applyFont="1" applyFill="1" applyBorder="1" applyAlignment="1">
      <alignment vertical="center"/>
    </xf>
    <xf numFmtId="179" fontId="55" fillId="3" borderId="10" xfId="0" applyNumberFormat="1" applyFont="1" applyFill="1" applyBorder="1"/>
    <xf numFmtId="0" fontId="55" fillId="3" borderId="7" xfId="0" applyFont="1" applyFill="1" applyBorder="1"/>
    <xf numFmtId="43" fontId="25" fillId="3" borderId="12" xfId="0" applyNumberFormat="1" applyFont="1" applyFill="1" applyBorder="1"/>
    <xf numFmtId="180" fontId="44" fillId="3" borderId="7" xfId="0" applyNumberFormat="1" applyFont="1" applyFill="1" applyBorder="1" applyAlignment="1">
      <alignment horizontal="right" vertical="center"/>
    </xf>
    <xf numFmtId="179" fontId="55" fillId="3" borderId="7" xfId="0" applyNumberFormat="1" applyFont="1" applyFill="1" applyBorder="1"/>
    <xf numFmtId="0" fontId="55" fillId="3" borderId="15" xfId="0" applyFont="1" applyFill="1" applyBorder="1"/>
    <xf numFmtId="0" fontId="25" fillId="3" borderId="2" xfId="0" applyFont="1" applyFill="1" applyBorder="1"/>
    <xf numFmtId="0" fontId="25" fillId="3" borderId="3" xfId="0" applyFont="1" applyFill="1" applyBorder="1"/>
    <xf numFmtId="180" fontId="44" fillId="3" borderId="7" xfId="0" applyNumberFormat="1" applyFont="1" applyFill="1" applyBorder="1" applyAlignment="1">
      <alignment vertical="center"/>
    </xf>
    <xf numFmtId="179" fontId="54" fillId="3" borderId="11" xfId="0" applyNumberFormat="1" applyFont="1" applyFill="1" applyBorder="1"/>
    <xf numFmtId="0" fontId="44" fillId="3" borderId="37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44" fillId="3" borderId="26" xfId="0" applyFont="1" applyFill="1" applyBorder="1" applyAlignment="1">
      <alignment horizontal="right" vertical="center"/>
    </xf>
    <xf numFmtId="0" fontId="8" fillId="3" borderId="38" xfId="0" applyFont="1" applyFill="1" applyBorder="1" applyAlignment="1">
      <alignment vertical="center"/>
    </xf>
    <xf numFmtId="10" fontId="44" fillId="3" borderId="0" xfId="2" applyNumberFormat="1" applyFont="1" applyFill="1" applyAlignment="1">
      <alignment vertical="center"/>
    </xf>
    <xf numFmtId="10" fontId="44" fillId="3" borderId="0" xfId="0" applyNumberFormat="1" applyFont="1" applyFill="1"/>
    <xf numFmtId="0" fontId="44" fillId="3" borderId="0" xfId="0" applyFont="1" applyFill="1" applyAlignment="1">
      <alignment horizontal="right" vertical="center"/>
    </xf>
    <xf numFmtId="165" fontId="44" fillId="2" borderId="7" xfId="0" applyNumberFormat="1" applyFont="1" applyFill="1" applyBorder="1" applyAlignment="1">
      <alignment horizontal="center" vertical="center"/>
    </xf>
    <xf numFmtId="177" fontId="44" fillId="3" borderId="0" xfId="0" applyNumberFormat="1" applyFont="1" applyFill="1"/>
    <xf numFmtId="0" fontId="0" fillId="3" borderId="0" xfId="0" applyFont="1" applyFill="1"/>
    <xf numFmtId="0" fontId="3" fillId="3" borderId="0" xfId="0" applyFont="1" applyFill="1"/>
    <xf numFmtId="0" fontId="44" fillId="0" borderId="41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distributed"/>
    </xf>
    <xf numFmtId="0" fontId="8" fillId="0" borderId="28" xfId="0" applyFont="1" applyFill="1" applyBorder="1" applyAlignment="1">
      <alignment horizontal="center" vertical="distributed"/>
    </xf>
    <xf numFmtId="0" fontId="8" fillId="0" borderId="27" xfId="0" applyFont="1" applyFill="1" applyBorder="1" applyAlignment="1">
      <alignment horizontal="center" vertical="distributed"/>
    </xf>
    <xf numFmtId="0" fontId="44" fillId="0" borderId="11" xfId="0" applyFont="1" applyBorder="1" applyAlignment="1">
      <alignment horizontal="left" vertical="center" wrapText="1"/>
    </xf>
    <xf numFmtId="10" fontId="44" fillId="0" borderId="7" xfId="0" applyNumberFormat="1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59" fillId="2" borderId="7" xfId="0" applyFont="1" applyFill="1" applyBorder="1" applyAlignment="1">
      <alignment horizontal="center" vertical="center" wrapText="1"/>
    </xf>
    <xf numFmtId="10" fontId="44" fillId="0" borderId="7" xfId="0" applyNumberFormat="1" applyFont="1" applyBorder="1" applyAlignment="1">
      <alignment horizontal="center" vertical="distributed"/>
    </xf>
    <xf numFmtId="0" fontId="48" fillId="0" borderId="7" xfId="0" applyFont="1" applyBorder="1" applyAlignment="1">
      <alignment horizontal="left" vertical="center"/>
    </xf>
    <xf numFmtId="49" fontId="44" fillId="0" borderId="7" xfId="0" applyNumberFormat="1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left" vertical="center" wrapText="1"/>
    </xf>
    <xf numFmtId="9" fontId="44" fillId="0" borderId="7" xfId="0" applyNumberFormat="1" applyFont="1" applyBorder="1" applyAlignment="1">
      <alignment horizontal="center" vertical="distributed"/>
    </xf>
    <xf numFmtId="0" fontId="44" fillId="0" borderId="22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60" fillId="2" borderId="7" xfId="0" applyFont="1" applyFill="1" applyBorder="1" applyAlignment="1">
      <alignment horizontal="center" vertical="center" wrapText="1"/>
    </xf>
    <xf numFmtId="0" fontId="62" fillId="12" borderId="16" xfId="0" applyFont="1" applyFill="1" applyBorder="1" applyAlignment="1">
      <alignment vertical="center"/>
    </xf>
    <xf numFmtId="10" fontId="44" fillId="0" borderId="11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 wrapText="1"/>
    </xf>
    <xf numFmtId="10" fontId="44" fillId="0" borderId="0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distributed"/>
    </xf>
    <xf numFmtId="0" fontId="10" fillId="0" borderId="13" xfId="0" applyFont="1" applyBorder="1" applyAlignment="1">
      <alignment horizontal="left" vertical="distributed"/>
    </xf>
    <xf numFmtId="0" fontId="10" fillId="0" borderId="14" xfId="0" applyFont="1" applyBorder="1" applyAlignment="1">
      <alignment horizontal="left" vertical="distributed"/>
    </xf>
    <xf numFmtId="0" fontId="11" fillId="0" borderId="1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6" fillId="0" borderId="14" xfId="0" applyFont="1" applyBorder="1" applyAlignment="1">
      <alignment horizontal="center" vertical="distributed"/>
    </xf>
    <xf numFmtId="0" fontId="44" fillId="0" borderId="18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14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10" fontId="44" fillId="0" borderId="11" xfId="2" applyNumberFormat="1" applyFont="1" applyFill="1" applyBorder="1" applyAlignment="1">
      <alignment horizontal="center" vertical="center" wrapText="1"/>
    </xf>
    <xf numFmtId="10" fontId="44" fillId="0" borderId="9" xfId="2" applyNumberFormat="1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left"/>
    </xf>
    <xf numFmtId="43" fontId="5" fillId="14" borderId="11" xfId="1" applyFont="1" applyFill="1" applyBorder="1" applyAlignment="1">
      <alignment horizontal="left"/>
    </xf>
    <xf numFmtId="43" fontId="5" fillId="14" borderId="12" xfId="1" applyFont="1" applyFill="1" applyBorder="1" applyAlignment="1">
      <alignment horizontal="left"/>
    </xf>
    <xf numFmtId="43" fontId="5" fillId="14" borderId="9" xfId="1" applyFont="1" applyFill="1" applyBorder="1" applyAlignment="1">
      <alignment horizontal="left"/>
    </xf>
    <xf numFmtId="0" fontId="5" fillId="0" borderId="11" xfId="0" applyFont="1" applyBorder="1" applyAlignment="1">
      <alignment horizontal="center" vertical="distributed"/>
    </xf>
    <xf numFmtId="0" fontId="5" fillId="0" borderId="9" xfId="0" applyFont="1" applyBorder="1" applyAlignment="1">
      <alignment horizontal="center" vertical="distributed"/>
    </xf>
    <xf numFmtId="0" fontId="44" fillId="0" borderId="35" xfId="0" applyFont="1" applyBorder="1" applyAlignment="1">
      <alignment horizontal="left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textRotation="90"/>
    </xf>
    <xf numFmtId="0" fontId="11" fillId="0" borderId="34" xfId="0" applyFont="1" applyFill="1" applyBorder="1" applyAlignment="1">
      <alignment horizontal="center" vertical="center" textRotation="90"/>
    </xf>
    <xf numFmtId="0" fontId="11" fillId="0" borderId="40" xfId="0" applyFont="1" applyFill="1" applyBorder="1" applyAlignment="1">
      <alignment horizontal="center" vertical="center" textRotation="90"/>
    </xf>
    <xf numFmtId="0" fontId="5" fillId="10" borderId="11" xfId="0" applyFont="1" applyFill="1" applyBorder="1" applyAlignment="1">
      <alignment horizontal="left"/>
    </xf>
    <xf numFmtId="0" fontId="5" fillId="10" borderId="12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45" fillId="3" borderId="29" xfId="0" applyFont="1" applyFill="1" applyBorder="1" applyAlignment="1">
      <alignment horizontal="left" vertical="distributed"/>
    </xf>
    <xf numFmtId="0" fontId="45" fillId="3" borderId="30" xfId="0" applyFont="1" applyFill="1" applyBorder="1" applyAlignment="1">
      <alignment horizontal="left" vertical="distributed"/>
    </xf>
    <xf numFmtId="0" fontId="45" fillId="3" borderId="31" xfId="0" applyFont="1" applyFill="1" applyBorder="1" applyAlignment="1">
      <alignment horizontal="left" vertical="distributed"/>
    </xf>
    <xf numFmtId="0" fontId="11" fillId="3" borderId="10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FFFF99"/>
      <color rgb="FF008000"/>
      <color rgb="FF009900"/>
      <color rgb="FF669900"/>
      <color rgb="FFCCFF33"/>
      <color rgb="FF99FF33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 b="1" baseline="0">
                <a:solidFill>
                  <a:srgbClr val="993300"/>
                </a:solidFill>
              </a:rPr>
              <a:t>Regla del 1: </a:t>
            </a:r>
            <a:r>
              <a:rPr lang="es-ES" b="1" baseline="0"/>
              <a:t>En Recurrencia de Enfermedad invasiva, con HR 0,50 (0,39-0,64), TZM-Emtansina evita</a:t>
            </a:r>
            <a:r>
              <a:rPr lang="es-ES" b="1"/>
              <a:t> el evento a "1 paciente" más que TZM en 3 años; sobre el resto ambos tienen</a:t>
            </a:r>
            <a:r>
              <a:rPr lang="es-ES" b="1" baseline="0"/>
              <a:t> en mismo comportamiento</a:t>
            </a:r>
            <a:r>
              <a:rPr lang="es-ES" b="1"/>
              <a:t>.</a:t>
            </a:r>
          </a:p>
        </c:rich>
      </c:tx>
      <c:layout>
        <c:manualLayout>
          <c:xMode val="edge"/>
          <c:yMode val="edge"/>
          <c:x val="0.12286707335644477"/>
          <c:y val="1.9802055993000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11376564277588"/>
          <c:y val="0.25209011373578305"/>
          <c:w val="0.72866954913938276"/>
          <c:h val="0.53960396039603964"/>
        </c:manualLayout>
      </c:layout>
      <c:barChart>
        <c:barDir val="col"/>
        <c:grouping val="stacked"/>
        <c:varyColors val="0"/>
        <c:ser>
          <c:idx val="0"/>
          <c:order val="0"/>
          <c:tx>
            <c:v>Permanecerán sanos (igual que con Mto Control)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166008259206525E-2"/>
                  <c:y val="0.10423315835520559"/>
                </c:manualLayout>
              </c:layout>
              <c:numFmt formatCode="#,##0" sourceLinked="0"/>
              <c:spPr>
                <a:solidFill>
                  <a:srgbClr val="FFFF99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F6-466E-B1E5-9364DA86A854}"/>
                </c:ext>
              </c:extLst>
            </c:dLbl>
            <c:dLbl>
              <c:idx val="1"/>
              <c:layout>
                <c:manualLayout>
                  <c:x val="-7.8441321114724183E-2"/>
                  <c:y val="8.6045713035870414E-2"/>
                </c:manualLayout>
              </c:layout>
              <c:numFmt formatCode="#,##0" sourceLinked="0"/>
              <c:spPr>
                <a:solidFill>
                  <a:srgbClr val="FFFF99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F6-466E-B1E5-9364DA86A854}"/>
                </c:ext>
              </c:extLst>
            </c:dLbl>
            <c:dLbl>
              <c:idx val="2"/>
              <c:layout>
                <c:manualLayout>
                  <c:x val="-8.4698431467397722E-2"/>
                  <c:y val="0.15603368328958869"/>
                </c:manualLayout>
              </c:layout>
              <c:numFmt formatCode="#,##0" sourceLinked="0"/>
              <c:spPr>
                <a:solidFill>
                  <a:srgbClr val="FFFF99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F6-466E-B1E5-9364DA86A854}"/>
                </c:ext>
              </c:extLst>
            </c:dLbl>
            <c:numFmt formatCode="#,##0" sourceLinked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'[1]RAR y NNT desde HR y %RAc'!$E$27:$G$27</c:f>
              <c:numCache>
                <c:formatCode>General</c:formatCode>
                <c:ptCount val="3"/>
                <c:pt idx="0">
                  <c:v>7.4747115096453101</c:v>
                </c:pt>
                <c:pt idx="1">
                  <c:v>6.0408348417183726</c:v>
                </c:pt>
                <c:pt idx="2">
                  <c:v>10.568992130922483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F6-466E-B1E5-9364DA86A854}"/>
            </c:ext>
          </c:extLst>
        </c:ser>
        <c:ser>
          <c:idx val="1"/>
          <c:order val="1"/>
          <c:tx>
            <c:v>Eventos que evitará Intervención más que Control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3265304298715569E-2"/>
                  <c:y val="-1.5559107091811525E-2"/>
                </c:manualLayout>
              </c:layout>
              <c:spPr>
                <a:solidFill>
                  <a:srgbClr val="CCFF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F6-466E-B1E5-9364DA86A854}"/>
                </c:ext>
              </c:extLst>
            </c:dLbl>
            <c:dLbl>
              <c:idx val="1"/>
              <c:layout>
                <c:manualLayout>
                  <c:x val="7.099001277543221E-2"/>
                  <c:y val="-1.1669655154491804E-2"/>
                </c:manualLayout>
              </c:layout>
              <c:spPr>
                <a:solidFill>
                  <a:srgbClr val="CCFF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F6-466E-B1E5-9364DA86A854}"/>
                </c:ext>
              </c:extLst>
            </c:dLbl>
            <c:dLbl>
              <c:idx val="2"/>
              <c:layout>
                <c:manualLayout>
                  <c:x val="7.3834179442823555E-2"/>
                  <c:y val="-1.2728099581611712E-2"/>
                </c:manualLayout>
              </c:layout>
              <c:spPr>
                <a:solidFill>
                  <a:srgbClr val="CCFF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F6-466E-B1E5-9364DA86A854}"/>
                </c:ext>
              </c:extLst>
            </c:dLbl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'[1]RAR y NNT desde HR y %RAc'!$E$28:$G$28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F6-466E-B1E5-9364DA86A854}"/>
            </c:ext>
          </c:extLst>
        </c:ser>
        <c:ser>
          <c:idx val="2"/>
          <c:order val="2"/>
          <c:tx>
            <c:v>Tendrán evento con Intervención (igual que con Control)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519898323085418E-2"/>
                  <c:y val="-4.7374808346976445E-2"/>
                </c:manualLayout>
              </c:layout>
              <c:numFmt formatCode="#,##0" sourceLinked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F6-466E-B1E5-9364DA86A854}"/>
                </c:ext>
              </c:extLst>
            </c:dLbl>
            <c:dLbl>
              <c:idx val="1"/>
              <c:layout>
                <c:manualLayout>
                  <c:x val="-7.4061302627021042E-2"/>
                  <c:y val="-3.9846417712637416E-2"/>
                </c:manualLayout>
              </c:layout>
              <c:numFmt formatCode="#,##0" sourceLinked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F6-466E-B1E5-9364DA86A854}"/>
                </c:ext>
              </c:extLst>
            </c:dLbl>
            <c:dLbl>
              <c:idx val="2"/>
              <c:layout>
                <c:manualLayout>
                  <c:x val="-7.2923622023187917E-2"/>
                  <c:y val="-3.2676125880304545E-2"/>
                </c:manualLayout>
              </c:layout>
              <c:numFmt formatCode="#,##0" sourceLinked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F6-466E-B1E5-9364DA86A854}"/>
                </c:ext>
              </c:extLst>
            </c:dLbl>
            <c:numFmt formatCode="#,##0" sourceLinked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'[1]RAR y NNT desde HR y %RAc'!$E$29:$G$29</c:f>
              <c:numCache>
                <c:formatCode>General</c:formatCode>
                <c:ptCount val="3"/>
                <c:pt idx="0">
                  <c:v>1.1337844274939035</c:v>
                </c:pt>
                <c:pt idx="1">
                  <c:v>0.72445977315489907</c:v>
                </c:pt>
                <c:pt idx="2">
                  <c:v>2.0170998297616087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4F6-466E-B1E5-9364DA86A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6627216"/>
        <c:axId val="1"/>
      </c:barChart>
      <c:catAx>
        <c:axId val="153662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 sz="900"/>
                  <a:t>NNT: el 1 es la estimación puntual. El 2 y el 3 son los límites del IC 95%</a:t>
                </a:r>
              </a:p>
            </c:rich>
          </c:tx>
          <c:layout>
            <c:manualLayout>
              <c:xMode val="edge"/>
              <c:yMode val="edge"/>
              <c:x val="0.14903317119489756"/>
              <c:y val="0.87769531933508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 sz="1050"/>
                  <a:t>Nº de pacientes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40099015748031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536627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</c:legendEntry>
      <c:layout>
        <c:manualLayout>
          <c:xMode val="edge"/>
          <c:yMode val="edge"/>
          <c:x val="0.8412976449616153"/>
          <c:y val="0.26944444444444443"/>
          <c:w val="0.15187731226429457"/>
          <c:h val="0.48514851268591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9A9DB941-FAB9-4884-83DE-C5F3444978AF}"/>
            </a:ext>
          </a:extLst>
        </xdr:cNvPr>
        <xdr:cNvSpPr>
          <a:spLocks noChangeShapeType="1"/>
        </xdr:cNvSpPr>
      </xdr:nvSpPr>
      <xdr:spPr bwMode="auto">
        <a:xfrm>
          <a:off x="3971925" y="10477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4</xdr:col>
      <xdr:colOff>1343025</xdr:colOff>
      <xdr:row>75</xdr:row>
      <xdr:rowOff>38100</xdr:rowOff>
    </xdr:to>
    <xdr:graphicFrame macro="">
      <xdr:nvGraphicFramePr>
        <xdr:cNvPr id="3" name="Grá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1004-Galo/0-Datos/040-Metodol/00-Hojas%20c&#225;lc%20con%20ayuda/20-Regla%20del%201%20si%20el%20control%20es%20un%20Mto%20activo.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, RAR, NNT por riesg acumul"/>
      <sheetName val="RAR y NNT desde HR y %RAc"/>
      <sheetName val="RAR y NNT desde RR de MA y %RAc"/>
    </sheetNames>
    <sheetDataSet>
      <sheetData sheetId="0"/>
      <sheetData sheetId="1">
        <row r="27">
          <cell r="E27">
            <v>7.4747115096453101</v>
          </cell>
          <cell r="F27">
            <v>6.0408348417183726</v>
          </cell>
          <cell r="G27">
            <v>10.568992130922483</v>
          </cell>
        </row>
        <row r="28">
          <cell r="E28">
            <v>1</v>
          </cell>
          <cell r="F28">
            <v>1</v>
          </cell>
          <cell r="G28">
            <v>1</v>
          </cell>
        </row>
        <row r="29">
          <cell r="E29">
            <v>1.1337844274939035</v>
          </cell>
          <cell r="F29">
            <v>0.72445977315489907</v>
          </cell>
          <cell r="G29">
            <v>2.0170998297616087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abSelected="1" workbookViewId="0">
      <selection activeCell="B39" sqref="B39:G39"/>
    </sheetView>
  </sheetViews>
  <sheetFormatPr baseColWidth="10" defaultRowHeight="12.75" x14ac:dyDescent="0.2"/>
  <cols>
    <col min="1" max="1" width="12.85546875" style="2" customWidth="1"/>
    <col min="2" max="2" width="26.7109375" style="2" customWidth="1"/>
    <col min="3" max="3" width="19" style="2" customWidth="1"/>
    <col min="4" max="4" width="17.85546875" style="2" customWidth="1"/>
    <col min="5" max="5" width="22.7109375" style="2" customWidth="1"/>
    <col min="6" max="6" width="21.85546875" style="2" customWidth="1"/>
    <col min="7" max="7" width="18.85546875" style="2" customWidth="1"/>
    <col min="8" max="8" width="8.28515625" style="2" customWidth="1"/>
    <col min="9" max="9" width="17.7109375" style="2" customWidth="1"/>
    <col min="10" max="10" width="14.140625" style="7" bestFit="1" customWidth="1"/>
    <col min="11" max="11" width="11.42578125" style="7"/>
    <col min="12" max="12" width="15.5703125" style="2" customWidth="1"/>
    <col min="13" max="13" width="11.42578125" style="2"/>
    <col min="14" max="14" width="13.85546875" style="2" bestFit="1" customWidth="1"/>
    <col min="15" max="15" width="11.42578125" style="2"/>
    <col min="16" max="17" width="11.42578125" style="7"/>
    <col min="18" max="256" width="11.42578125" style="2"/>
    <col min="257" max="257" width="12.85546875" style="2" customWidth="1"/>
    <col min="258" max="258" width="18.28515625" style="2" customWidth="1"/>
    <col min="259" max="259" width="13.7109375" style="2" customWidth="1"/>
    <col min="260" max="260" width="16.42578125" style="2" customWidth="1"/>
    <col min="261" max="261" width="20.7109375" style="2" customWidth="1"/>
    <col min="262" max="262" width="23.85546875" style="2" customWidth="1"/>
    <col min="263" max="263" width="18.85546875" style="2" customWidth="1"/>
    <col min="264" max="264" width="8.28515625" style="2" customWidth="1"/>
    <col min="265" max="265" width="14.5703125" style="2" bestFit="1" customWidth="1"/>
    <col min="266" max="266" width="14.140625" style="2" bestFit="1" customWidth="1"/>
    <col min="267" max="267" width="11.42578125" style="2"/>
    <col min="268" max="268" width="15.5703125" style="2" customWidth="1"/>
    <col min="269" max="269" width="11.42578125" style="2"/>
    <col min="270" max="270" width="13.85546875" style="2" bestFit="1" customWidth="1"/>
    <col min="271" max="512" width="11.42578125" style="2"/>
    <col min="513" max="513" width="12.85546875" style="2" customWidth="1"/>
    <col min="514" max="514" width="18.28515625" style="2" customWidth="1"/>
    <col min="515" max="515" width="13.7109375" style="2" customWidth="1"/>
    <col min="516" max="516" width="16.42578125" style="2" customWidth="1"/>
    <col min="517" max="517" width="20.7109375" style="2" customWidth="1"/>
    <col min="518" max="518" width="23.85546875" style="2" customWidth="1"/>
    <col min="519" max="519" width="18.85546875" style="2" customWidth="1"/>
    <col min="520" max="520" width="8.28515625" style="2" customWidth="1"/>
    <col min="521" max="521" width="14.5703125" style="2" bestFit="1" customWidth="1"/>
    <col min="522" max="522" width="14.140625" style="2" bestFit="1" customWidth="1"/>
    <col min="523" max="523" width="11.42578125" style="2"/>
    <col min="524" max="524" width="15.5703125" style="2" customWidth="1"/>
    <col min="525" max="525" width="11.42578125" style="2"/>
    <col min="526" max="526" width="13.85546875" style="2" bestFit="1" customWidth="1"/>
    <col min="527" max="768" width="11.42578125" style="2"/>
    <col min="769" max="769" width="12.85546875" style="2" customWidth="1"/>
    <col min="770" max="770" width="18.28515625" style="2" customWidth="1"/>
    <col min="771" max="771" width="13.7109375" style="2" customWidth="1"/>
    <col min="772" max="772" width="16.42578125" style="2" customWidth="1"/>
    <col min="773" max="773" width="20.7109375" style="2" customWidth="1"/>
    <col min="774" max="774" width="23.85546875" style="2" customWidth="1"/>
    <col min="775" max="775" width="18.85546875" style="2" customWidth="1"/>
    <col min="776" max="776" width="8.28515625" style="2" customWidth="1"/>
    <col min="777" max="777" width="14.5703125" style="2" bestFit="1" customWidth="1"/>
    <col min="778" max="778" width="14.140625" style="2" bestFit="1" customWidth="1"/>
    <col min="779" max="779" width="11.42578125" style="2"/>
    <col min="780" max="780" width="15.5703125" style="2" customWidth="1"/>
    <col min="781" max="781" width="11.42578125" style="2"/>
    <col min="782" max="782" width="13.85546875" style="2" bestFit="1" customWidth="1"/>
    <col min="783" max="1024" width="11.42578125" style="2"/>
    <col min="1025" max="1025" width="12.85546875" style="2" customWidth="1"/>
    <col min="1026" max="1026" width="18.28515625" style="2" customWidth="1"/>
    <col min="1027" max="1027" width="13.7109375" style="2" customWidth="1"/>
    <col min="1028" max="1028" width="16.42578125" style="2" customWidth="1"/>
    <col min="1029" max="1029" width="20.7109375" style="2" customWidth="1"/>
    <col min="1030" max="1030" width="23.85546875" style="2" customWidth="1"/>
    <col min="1031" max="1031" width="18.85546875" style="2" customWidth="1"/>
    <col min="1032" max="1032" width="8.28515625" style="2" customWidth="1"/>
    <col min="1033" max="1033" width="14.5703125" style="2" bestFit="1" customWidth="1"/>
    <col min="1034" max="1034" width="14.140625" style="2" bestFit="1" customWidth="1"/>
    <col min="1035" max="1035" width="11.42578125" style="2"/>
    <col min="1036" max="1036" width="15.5703125" style="2" customWidth="1"/>
    <col min="1037" max="1037" width="11.42578125" style="2"/>
    <col min="1038" max="1038" width="13.85546875" style="2" bestFit="1" customWidth="1"/>
    <col min="1039" max="1280" width="11.42578125" style="2"/>
    <col min="1281" max="1281" width="12.85546875" style="2" customWidth="1"/>
    <col min="1282" max="1282" width="18.28515625" style="2" customWidth="1"/>
    <col min="1283" max="1283" width="13.7109375" style="2" customWidth="1"/>
    <col min="1284" max="1284" width="16.42578125" style="2" customWidth="1"/>
    <col min="1285" max="1285" width="20.7109375" style="2" customWidth="1"/>
    <col min="1286" max="1286" width="23.85546875" style="2" customWidth="1"/>
    <col min="1287" max="1287" width="18.85546875" style="2" customWidth="1"/>
    <col min="1288" max="1288" width="8.28515625" style="2" customWidth="1"/>
    <col min="1289" max="1289" width="14.5703125" style="2" bestFit="1" customWidth="1"/>
    <col min="1290" max="1290" width="14.140625" style="2" bestFit="1" customWidth="1"/>
    <col min="1291" max="1291" width="11.42578125" style="2"/>
    <col min="1292" max="1292" width="15.5703125" style="2" customWidth="1"/>
    <col min="1293" max="1293" width="11.42578125" style="2"/>
    <col min="1294" max="1294" width="13.85546875" style="2" bestFit="1" customWidth="1"/>
    <col min="1295" max="1536" width="11.42578125" style="2"/>
    <col min="1537" max="1537" width="12.85546875" style="2" customWidth="1"/>
    <col min="1538" max="1538" width="18.28515625" style="2" customWidth="1"/>
    <col min="1539" max="1539" width="13.7109375" style="2" customWidth="1"/>
    <col min="1540" max="1540" width="16.42578125" style="2" customWidth="1"/>
    <col min="1541" max="1541" width="20.7109375" style="2" customWidth="1"/>
    <col min="1542" max="1542" width="23.85546875" style="2" customWidth="1"/>
    <col min="1543" max="1543" width="18.85546875" style="2" customWidth="1"/>
    <col min="1544" max="1544" width="8.28515625" style="2" customWidth="1"/>
    <col min="1545" max="1545" width="14.5703125" style="2" bestFit="1" customWidth="1"/>
    <col min="1546" max="1546" width="14.140625" style="2" bestFit="1" customWidth="1"/>
    <col min="1547" max="1547" width="11.42578125" style="2"/>
    <col min="1548" max="1548" width="15.5703125" style="2" customWidth="1"/>
    <col min="1549" max="1549" width="11.42578125" style="2"/>
    <col min="1550" max="1550" width="13.85546875" style="2" bestFit="1" customWidth="1"/>
    <col min="1551" max="1792" width="11.42578125" style="2"/>
    <col min="1793" max="1793" width="12.85546875" style="2" customWidth="1"/>
    <col min="1794" max="1794" width="18.28515625" style="2" customWidth="1"/>
    <col min="1795" max="1795" width="13.7109375" style="2" customWidth="1"/>
    <col min="1796" max="1796" width="16.42578125" style="2" customWidth="1"/>
    <col min="1797" max="1797" width="20.7109375" style="2" customWidth="1"/>
    <col min="1798" max="1798" width="23.85546875" style="2" customWidth="1"/>
    <col min="1799" max="1799" width="18.85546875" style="2" customWidth="1"/>
    <col min="1800" max="1800" width="8.28515625" style="2" customWidth="1"/>
    <col min="1801" max="1801" width="14.5703125" style="2" bestFit="1" customWidth="1"/>
    <col min="1802" max="1802" width="14.140625" style="2" bestFit="1" customWidth="1"/>
    <col min="1803" max="1803" width="11.42578125" style="2"/>
    <col min="1804" max="1804" width="15.5703125" style="2" customWidth="1"/>
    <col min="1805" max="1805" width="11.42578125" style="2"/>
    <col min="1806" max="1806" width="13.85546875" style="2" bestFit="1" customWidth="1"/>
    <col min="1807" max="2048" width="11.42578125" style="2"/>
    <col min="2049" max="2049" width="12.85546875" style="2" customWidth="1"/>
    <col min="2050" max="2050" width="18.28515625" style="2" customWidth="1"/>
    <col min="2051" max="2051" width="13.7109375" style="2" customWidth="1"/>
    <col min="2052" max="2052" width="16.42578125" style="2" customWidth="1"/>
    <col min="2053" max="2053" width="20.7109375" style="2" customWidth="1"/>
    <col min="2054" max="2054" width="23.85546875" style="2" customWidth="1"/>
    <col min="2055" max="2055" width="18.85546875" style="2" customWidth="1"/>
    <col min="2056" max="2056" width="8.28515625" style="2" customWidth="1"/>
    <col min="2057" max="2057" width="14.5703125" style="2" bestFit="1" customWidth="1"/>
    <col min="2058" max="2058" width="14.140625" style="2" bestFit="1" customWidth="1"/>
    <col min="2059" max="2059" width="11.42578125" style="2"/>
    <col min="2060" max="2060" width="15.5703125" style="2" customWidth="1"/>
    <col min="2061" max="2061" width="11.42578125" style="2"/>
    <col min="2062" max="2062" width="13.85546875" style="2" bestFit="1" customWidth="1"/>
    <col min="2063" max="2304" width="11.42578125" style="2"/>
    <col min="2305" max="2305" width="12.85546875" style="2" customWidth="1"/>
    <col min="2306" max="2306" width="18.28515625" style="2" customWidth="1"/>
    <col min="2307" max="2307" width="13.7109375" style="2" customWidth="1"/>
    <col min="2308" max="2308" width="16.42578125" style="2" customWidth="1"/>
    <col min="2309" max="2309" width="20.7109375" style="2" customWidth="1"/>
    <col min="2310" max="2310" width="23.85546875" style="2" customWidth="1"/>
    <col min="2311" max="2311" width="18.85546875" style="2" customWidth="1"/>
    <col min="2312" max="2312" width="8.28515625" style="2" customWidth="1"/>
    <col min="2313" max="2313" width="14.5703125" style="2" bestFit="1" customWidth="1"/>
    <col min="2314" max="2314" width="14.140625" style="2" bestFit="1" customWidth="1"/>
    <col min="2315" max="2315" width="11.42578125" style="2"/>
    <col min="2316" max="2316" width="15.5703125" style="2" customWidth="1"/>
    <col min="2317" max="2317" width="11.42578125" style="2"/>
    <col min="2318" max="2318" width="13.85546875" style="2" bestFit="1" customWidth="1"/>
    <col min="2319" max="2560" width="11.42578125" style="2"/>
    <col min="2561" max="2561" width="12.85546875" style="2" customWidth="1"/>
    <col min="2562" max="2562" width="18.28515625" style="2" customWidth="1"/>
    <col min="2563" max="2563" width="13.7109375" style="2" customWidth="1"/>
    <col min="2564" max="2564" width="16.42578125" style="2" customWidth="1"/>
    <col min="2565" max="2565" width="20.7109375" style="2" customWidth="1"/>
    <col min="2566" max="2566" width="23.85546875" style="2" customWidth="1"/>
    <col min="2567" max="2567" width="18.85546875" style="2" customWidth="1"/>
    <col min="2568" max="2568" width="8.28515625" style="2" customWidth="1"/>
    <col min="2569" max="2569" width="14.5703125" style="2" bestFit="1" customWidth="1"/>
    <col min="2570" max="2570" width="14.140625" style="2" bestFit="1" customWidth="1"/>
    <col min="2571" max="2571" width="11.42578125" style="2"/>
    <col min="2572" max="2572" width="15.5703125" style="2" customWidth="1"/>
    <col min="2573" max="2573" width="11.42578125" style="2"/>
    <col min="2574" max="2574" width="13.85546875" style="2" bestFit="1" customWidth="1"/>
    <col min="2575" max="2816" width="11.42578125" style="2"/>
    <col min="2817" max="2817" width="12.85546875" style="2" customWidth="1"/>
    <col min="2818" max="2818" width="18.28515625" style="2" customWidth="1"/>
    <col min="2819" max="2819" width="13.7109375" style="2" customWidth="1"/>
    <col min="2820" max="2820" width="16.42578125" style="2" customWidth="1"/>
    <col min="2821" max="2821" width="20.7109375" style="2" customWidth="1"/>
    <col min="2822" max="2822" width="23.85546875" style="2" customWidth="1"/>
    <col min="2823" max="2823" width="18.85546875" style="2" customWidth="1"/>
    <col min="2824" max="2824" width="8.28515625" style="2" customWidth="1"/>
    <col min="2825" max="2825" width="14.5703125" style="2" bestFit="1" customWidth="1"/>
    <col min="2826" max="2826" width="14.140625" style="2" bestFit="1" customWidth="1"/>
    <col min="2827" max="2827" width="11.42578125" style="2"/>
    <col min="2828" max="2828" width="15.5703125" style="2" customWidth="1"/>
    <col min="2829" max="2829" width="11.42578125" style="2"/>
    <col min="2830" max="2830" width="13.85546875" style="2" bestFit="1" customWidth="1"/>
    <col min="2831" max="3072" width="11.42578125" style="2"/>
    <col min="3073" max="3073" width="12.85546875" style="2" customWidth="1"/>
    <col min="3074" max="3074" width="18.28515625" style="2" customWidth="1"/>
    <col min="3075" max="3075" width="13.7109375" style="2" customWidth="1"/>
    <col min="3076" max="3076" width="16.42578125" style="2" customWidth="1"/>
    <col min="3077" max="3077" width="20.7109375" style="2" customWidth="1"/>
    <col min="3078" max="3078" width="23.85546875" style="2" customWidth="1"/>
    <col min="3079" max="3079" width="18.85546875" style="2" customWidth="1"/>
    <col min="3080" max="3080" width="8.28515625" style="2" customWidth="1"/>
    <col min="3081" max="3081" width="14.5703125" style="2" bestFit="1" customWidth="1"/>
    <col min="3082" max="3082" width="14.140625" style="2" bestFit="1" customWidth="1"/>
    <col min="3083" max="3083" width="11.42578125" style="2"/>
    <col min="3084" max="3084" width="15.5703125" style="2" customWidth="1"/>
    <col min="3085" max="3085" width="11.42578125" style="2"/>
    <col min="3086" max="3086" width="13.85546875" style="2" bestFit="1" customWidth="1"/>
    <col min="3087" max="3328" width="11.42578125" style="2"/>
    <col min="3329" max="3329" width="12.85546875" style="2" customWidth="1"/>
    <col min="3330" max="3330" width="18.28515625" style="2" customWidth="1"/>
    <col min="3331" max="3331" width="13.7109375" style="2" customWidth="1"/>
    <col min="3332" max="3332" width="16.42578125" style="2" customWidth="1"/>
    <col min="3333" max="3333" width="20.7109375" style="2" customWidth="1"/>
    <col min="3334" max="3334" width="23.85546875" style="2" customWidth="1"/>
    <col min="3335" max="3335" width="18.85546875" style="2" customWidth="1"/>
    <col min="3336" max="3336" width="8.28515625" style="2" customWidth="1"/>
    <col min="3337" max="3337" width="14.5703125" style="2" bestFit="1" customWidth="1"/>
    <col min="3338" max="3338" width="14.140625" style="2" bestFit="1" customWidth="1"/>
    <col min="3339" max="3339" width="11.42578125" style="2"/>
    <col min="3340" max="3340" width="15.5703125" style="2" customWidth="1"/>
    <col min="3341" max="3341" width="11.42578125" style="2"/>
    <col min="3342" max="3342" width="13.85546875" style="2" bestFit="1" customWidth="1"/>
    <col min="3343" max="3584" width="11.42578125" style="2"/>
    <col min="3585" max="3585" width="12.85546875" style="2" customWidth="1"/>
    <col min="3586" max="3586" width="18.28515625" style="2" customWidth="1"/>
    <col min="3587" max="3587" width="13.7109375" style="2" customWidth="1"/>
    <col min="3588" max="3588" width="16.42578125" style="2" customWidth="1"/>
    <col min="3589" max="3589" width="20.7109375" style="2" customWidth="1"/>
    <col min="3590" max="3590" width="23.85546875" style="2" customWidth="1"/>
    <col min="3591" max="3591" width="18.85546875" style="2" customWidth="1"/>
    <col min="3592" max="3592" width="8.28515625" style="2" customWidth="1"/>
    <col min="3593" max="3593" width="14.5703125" style="2" bestFit="1" customWidth="1"/>
    <col min="3594" max="3594" width="14.140625" style="2" bestFit="1" customWidth="1"/>
    <col min="3595" max="3595" width="11.42578125" style="2"/>
    <col min="3596" max="3596" width="15.5703125" style="2" customWidth="1"/>
    <col min="3597" max="3597" width="11.42578125" style="2"/>
    <col min="3598" max="3598" width="13.85546875" style="2" bestFit="1" customWidth="1"/>
    <col min="3599" max="3840" width="11.42578125" style="2"/>
    <col min="3841" max="3841" width="12.85546875" style="2" customWidth="1"/>
    <col min="3842" max="3842" width="18.28515625" style="2" customWidth="1"/>
    <col min="3843" max="3843" width="13.7109375" style="2" customWidth="1"/>
    <col min="3844" max="3844" width="16.42578125" style="2" customWidth="1"/>
    <col min="3845" max="3845" width="20.7109375" style="2" customWidth="1"/>
    <col min="3846" max="3846" width="23.85546875" style="2" customWidth="1"/>
    <col min="3847" max="3847" width="18.85546875" style="2" customWidth="1"/>
    <col min="3848" max="3848" width="8.28515625" style="2" customWidth="1"/>
    <col min="3849" max="3849" width="14.5703125" style="2" bestFit="1" customWidth="1"/>
    <col min="3850" max="3850" width="14.140625" style="2" bestFit="1" customWidth="1"/>
    <col min="3851" max="3851" width="11.42578125" style="2"/>
    <col min="3852" max="3852" width="15.5703125" style="2" customWidth="1"/>
    <col min="3853" max="3853" width="11.42578125" style="2"/>
    <col min="3854" max="3854" width="13.85546875" style="2" bestFit="1" customWidth="1"/>
    <col min="3855" max="4096" width="11.42578125" style="2"/>
    <col min="4097" max="4097" width="12.85546875" style="2" customWidth="1"/>
    <col min="4098" max="4098" width="18.28515625" style="2" customWidth="1"/>
    <col min="4099" max="4099" width="13.7109375" style="2" customWidth="1"/>
    <col min="4100" max="4100" width="16.42578125" style="2" customWidth="1"/>
    <col min="4101" max="4101" width="20.7109375" style="2" customWidth="1"/>
    <col min="4102" max="4102" width="23.85546875" style="2" customWidth="1"/>
    <col min="4103" max="4103" width="18.85546875" style="2" customWidth="1"/>
    <col min="4104" max="4104" width="8.28515625" style="2" customWidth="1"/>
    <col min="4105" max="4105" width="14.5703125" style="2" bestFit="1" customWidth="1"/>
    <col min="4106" max="4106" width="14.140625" style="2" bestFit="1" customWidth="1"/>
    <col min="4107" max="4107" width="11.42578125" style="2"/>
    <col min="4108" max="4108" width="15.5703125" style="2" customWidth="1"/>
    <col min="4109" max="4109" width="11.42578125" style="2"/>
    <col min="4110" max="4110" width="13.85546875" style="2" bestFit="1" customWidth="1"/>
    <col min="4111" max="4352" width="11.42578125" style="2"/>
    <col min="4353" max="4353" width="12.85546875" style="2" customWidth="1"/>
    <col min="4354" max="4354" width="18.28515625" style="2" customWidth="1"/>
    <col min="4355" max="4355" width="13.7109375" style="2" customWidth="1"/>
    <col min="4356" max="4356" width="16.42578125" style="2" customWidth="1"/>
    <col min="4357" max="4357" width="20.7109375" style="2" customWidth="1"/>
    <col min="4358" max="4358" width="23.85546875" style="2" customWidth="1"/>
    <col min="4359" max="4359" width="18.85546875" style="2" customWidth="1"/>
    <col min="4360" max="4360" width="8.28515625" style="2" customWidth="1"/>
    <col min="4361" max="4361" width="14.5703125" style="2" bestFit="1" customWidth="1"/>
    <col min="4362" max="4362" width="14.140625" style="2" bestFit="1" customWidth="1"/>
    <col min="4363" max="4363" width="11.42578125" style="2"/>
    <col min="4364" max="4364" width="15.5703125" style="2" customWidth="1"/>
    <col min="4365" max="4365" width="11.42578125" style="2"/>
    <col min="4366" max="4366" width="13.85546875" style="2" bestFit="1" customWidth="1"/>
    <col min="4367" max="4608" width="11.42578125" style="2"/>
    <col min="4609" max="4609" width="12.85546875" style="2" customWidth="1"/>
    <col min="4610" max="4610" width="18.28515625" style="2" customWidth="1"/>
    <col min="4611" max="4611" width="13.7109375" style="2" customWidth="1"/>
    <col min="4612" max="4612" width="16.42578125" style="2" customWidth="1"/>
    <col min="4613" max="4613" width="20.7109375" style="2" customWidth="1"/>
    <col min="4614" max="4614" width="23.85546875" style="2" customWidth="1"/>
    <col min="4615" max="4615" width="18.85546875" style="2" customWidth="1"/>
    <col min="4616" max="4616" width="8.28515625" style="2" customWidth="1"/>
    <col min="4617" max="4617" width="14.5703125" style="2" bestFit="1" customWidth="1"/>
    <col min="4618" max="4618" width="14.140625" style="2" bestFit="1" customWidth="1"/>
    <col min="4619" max="4619" width="11.42578125" style="2"/>
    <col min="4620" max="4620" width="15.5703125" style="2" customWidth="1"/>
    <col min="4621" max="4621" width="11.42578125" style="2"/>
    <col min="4622" max="4622" width="13.85546875" style="2" bestFit="1" customWidth="1"/>
    <col min="4623" max="4864" width="11.42578125" style="2"/>
    <col min="4865" max="4865" width="12.85546875" style="2" customWidth="1"/>
    <col min="4866" max="4866" width="18.28515625" style="2" customWidth="1"/>
    <col min="4867" max="4867" width="13.7109375" style="2" customWidth="1"/>
    <col min="4868" max="4868" width="16.42578125" style="2" customWidth="1"/>
    <col min="4869" max="4869" width="20.7109375" style="2" customWidth="1"/>
    <col min="4870" max="4870" width="23.85546875" style="2" customWidth="1"/>
    <col min="4871" max="4871" width="18.85546875" style="2" customWidth="1"/>
    <col min="4872" max="4872" width="8.28515625" style="2" customWidth="1"/>
    <col min="4873" max="4873" width="14.5703125" style="2" bestFit="1" customWidth="1"/>
    <col min="4874" max="4874" width="14.140625" style="2" bestFit="1" customWidth="1"/>
    <col min="4875" max="4875" width="11.42578125" style="2"/>
    <col min="4876" max="4876" width="15.5703125" style="2" customWidth="1"/>
    <col min="4877" max="4877" width="11.42578125" style="2"/>
    <col min="4878" max="4878" width="13.85546875" style="2" bestFit="1" customWidth="1"/>
    <col min="4879" max="5120" width="11.42578125" style="2"/>
    <col min="5121" max="5121" width="12.85546875" style="2" customWidth="1"/>
    <col min="5122" max="5122" width="18.28515625" style="2" customWidth="1"/>
    <col min="5123" max="5123" width="13.7109375" style="2" customWidth="1"/>
    <col min="5124" max="5124" width="16.42578125" style="2" customWidth="1"/>
    <col min="5125" max="5125" width="20.7109375" style="2" customWidth="1"/>
    <col min="5126" max="5126" width="23.85546875" style="2" customWidth="1"/>
    <col min="5127" max="5127" width="18.85546875" style="2" customWidth="1"/>
    <col min="5128" max="5128" width="8.28515625" style="2" customWidth="1"/>
    <col min="5129" max="5129" width="14.5703125" style="2" bestFit="1" customWidth="1"/>
    <col min="5130" max="5130" width="14.140625" style="2" bestFit="1" customWidth="1"/>
    <col min="5131" max="5131" width="11.42578125" style="2"/>
    <col min="5132" max="5132" width="15.5703125" style="2" customWidth="1"/>
    <col min="5133" max="5133" width="11.42578125" style="2"/>
    <col min="5134" max="5134" width="13.85546875" style="2" bestFit="1" customWidth="1"/>
    <col min="5135" max="5376" width="11.42578125" style="2"/>
    <col min="5377" max="5377" width="12.85546875" style="2" customWidth="1"/>
    <col min="5378" max="5378" width="18.28515625" style="2" customWidth="1"/>
    <col min="5379" max="5379" width="13.7109375" style="2" customWidth="1"/>
    <col min="5380" max="5380" width="16.42578125" style="2" customWidth="1"/>
    <col min="5381" max="5381" width="20.7109375" style="2" customWidth="1"/>
    <col min="5382" max="5382" width="23.85546875" style="2" customWidth="1"/>
    <col min="5383" max="5383" width="18.85546875" style="2" customWidth="1"/>
    <col min="5384" max="5384" width="8.28515625" style="2" customWidth="1"/>
    <col min="5385" max="5385" width="14.5703125" style="2" bestFit="1" customWidth="1"/>
    <col min="5386" max="5386" width="14.140625" style="2" bestFit="1" customWidth="1"/>
    <col min="5387" max="5387" width="11.42578125" style="2"/>
    <col min="5388" max="5388" width="15.5703125" style="2" customWidth="1"/>
    <col min="5389" max="5389" width="11.42578125" style="2"/>
    <col min="5390" max="5390" width="13.85546875" style="2" bestFit="1" customWidth="1"/>
    <col min="5391" max="5632" width="11.42578125" style="2"/>
    <col min="5633" max="5633" width="12.85546875" style="2" customWidth="1"/>
    <col min="5634" max="5634" width="18.28515625" style="2" customWidth="1"/>
    <col min="5635" max="5635" width="13.7109375" style="2" customWidth="1"/>
    <col min="5636" max="5636" width="16.42578125" style="2" customWidth="1"/>
    <col min="5637" max="5637" width="20.7109375" style="2" customWidth="1"/>
    <col min="5638" max="5638" width="23.85546875" style="2" customWidth="1"/>
    <col min="5639" max="5639" width="18.85546875" style="2" customWidth="1"/>
    <col min="5640" max="5640" width="8.28515625" style="2" customWidth="1"/>
    <col min="5641" max="5641" width="14.5703125" style="2" bestFit="1" customWidth="1"/>
    <col min="5642" max="5642" width="14.140625" style="2" bestFit="1" customWidth="1"/>
    <col min="5643" max="5643" width="11.42578125" style="2"/>
    <col min="5644" max="5644" width="15.5703125" style="2" customWidth="1"/>
    <col min="5645" max="5645" width="11.42578125" style="2"/>
    <col min="5646" max="5646" width="13.85546875" style="2" bestFit="1" customWidth="1"/>
    <col min="5647" max="5888" width="11.42578125" style="2"/>
    <col min="5889" max="5889" width="12.85546875" style="2" customWidth="1"/>
    <col min="5890" max="5890" width="18.28515625" style="2" customWidth="1"/>
    <col min="5891" max="5891" width="13.7109375" style="2" customWidth="1"/>
    <col min="5892" max="5892" width="16.42578125" style="2" customWidth="1"/>
    <col min="5893" max="5893" width="20.7109375" style="2" customWidth="1"/>
    <col min="5894" max="5894" width="23.85546875" style="2" customWidth="1"/>
    <col min="5895" max="5895" width="18.85546875" style="2" customWidth="1"/>
    <col min="5896" max="5896" width="8.28515625" style="2" customWidth="1"/>
    <col min="5897" max="5897" width="14.5703125" style="2" bestFit="1" customWidth="1"/>
    <col min="5898" max="5898" width="14.140625" style="2" bestFit="1" customWidth="1"/>
    <col min="5899" max="5899" width="11.42578125" style="2"/>
    <col min="5900" max="5900" width="15.5703125" style="2" customWidth="1"/>
    <col min="5901" max="5901" width="11.42578125" style="2"/>
    <col min="5902" max="5902" width="13.85546875" style="2" bestFit="1" customWidth="1"/>
    <col min="5903" max="6144" width="11.42578125" style="2"/>
    <col min="6145" max="6145" width="12.85546875" style="2" customWidth="1"/>
    <col min="6146" max="6146" width="18.28515625" style="2" customWidth="1"/>
    <col min="6147" max="6147" width="13.7109375" style="2" customWidth="1"/>
    <col min="6148" max="6148" width="16.42578125" style="2" customWidth="1"/>
    <col min="6149" max="6149" width="20.7109375" style="2" customWidth="1"/>
    <col min="6150" max="6150" width="23.85546875" style="2" customWidth="1"/>
    <col min="6151" max="6151" width="18.85546875" style="2" customWidth="1"/>
    <col min="6152" max="6152" width="8.28515625" style="2" customWidth="1"/>
    <col min="6153" max="6153" width="14.5703125" style="2" bestFit="1" customWidth="1"/>
    <col min="6154" max="6154" width="14.140625" style="2" bestFit="1" customWidth="1"/>
    <col min="6155" max="6155" width="11.42578125" style="2"/>
    <col min="6156" max="6156" width="15.5703125" style="2" customWidth="1"/>
    <col min="6157" max="6157" width="11.42578125" style="2"/>
    <col min="6158" max="6158" width="13.85546875" style="2" bestFit="1" customWidth="1"/>
    <col min="6159" max="6400" width="11.42578125" style="2"/>
    <col min="6401" max="6401" width="12.85546875" style="2" customWidth="1"/>
    <col min="6402" max="6402" width="18.28515625" style="2" customWidth="1"/>
    <col min="6403" max="6403" width="13.7109375" style="2" customWidth="1"/>
    <col min="6404" max="6404" width="16.42578125" style="2" customWidth="1"/>
    <col min="6405" max="6405" width="20.7109375" style="2" customWidth="1"/>
    <col min="6406" max="6406" width="23.85546875" style="2" customWidth="1"/>
    <col min="6407" max="6407" width="18.85546875" style="2" customWidth="1"/>
    <col min="6408" max="6408" width="8.28515625" style="2" customWidth="1"/>
    <col min="6409" max="6409" width="14.5703125" style="2" bestFit="1" customWidth="1"/>
    <col min="6410" max="6410" width="14.140625" style="2" bestFit="1" customWidth="1"/>
    <col min="6411" max="6411" width="11.42578125" style="2"/>
    <col min="6412" max="6412" width="15.5703125" style="2" customWidth="1"/>
    <col min="6413" max="6413" width="11.42578125" style="2"/>
    <col min="6414" max="6414" width="13.85546875" style="2" bestFit="1" customWidth="1"/>
    <col min="6415" max="6656" width="11.42578125" style="2"/>
    <col min="6657" max="6657" width="12.85546875" style="2" customWidth="1"/>
    <col min="6658" max="6658" width="18.28515625" style="2" customWidth="1"/>
    <col min="6659" max="6659" width="13.7109375" style="2" customWidth="1"/>
    <col min="6660" max="6660" width="16.42578125" style="2" customWidth="1"/>
    <col min="6661" max="6661" width="20.7109375" style="2" customWidth="1"/>
    <col min="6662" max="6662" width="23.85546875" style="2" customWidth="1"/>
    <col min="6663" max="6663" width="18.85546875" style="2" customWidth="1"/>
    <col min="6664" max="6664" width="8.28515625" style="2" customWidth="1"/>
    <col min="6665" max="6665" width="14.5703125" style="2" bestFit="1" customWidth="1"/>
    <col min="6666" max="6666" width="14.140625" style="2" bestFit="1" customWidth="1"/>
    <col min="6667" max="6667" width="11.42578125" style="2"/>
    <col min="6668" max="6668" width="15.5703125" style="2" customWidth="1"/>
    <col min="6669" max="6669" width="11.42578125" style="2"/>
    <col min="6670" max="6670" width="13.85546875" style="2" bestFit="1" customWidth="1"/>
    <col min="6671" max="6912" width="11.42578125" style="2"/>
    <col min="6913" max="6913" width="12.85546875" style="2" customWidth="1"/>
    <col min="6914" max="6914" width="18.28515625" style="2" customWidth="1"/>
    <col min="6915" max="6915" width="13.7109375" style="2" customWidth="1"/>
    <col min="6916" max="6916" width="16.42578125" style="2" customWidth="1"/>
    <col min="6917" max="6917" width="20.7109375" style="2" customWidth="1"/>
    <col min="6918" max="6918" width="23.85546875" style="2" customWidth="1"/>
    <col min="6919" max="6919" width="18.85546875" style="2" customWidth="1"/>
    <col min="6920" max="6920" width="8.28515625" style="2" customWidth="1"/>
    <col min="6921" max="6921" width="14.5703125" style="2" bestFit="1" customWidth="1"/>
    <col min="6922" max="6922" width="14.140625" style="2" bestFit="1" customWidth="1"/>
    <col min="6923" max="6923" width="11.42578125" style="2"/>
    <col min="6924" max="6924" width="15.5703125" style="2" customWidth="1"/>
    <col min="6925" max="6925" width="11.42578125" style="2"/>
    <col min="6926" max="6926" width="13.85546875" style="2" bestFit="1" customWidth="1"/>
    <col min="6927" max="7168" width="11.42578125" style="2"/>
    <col min="7169" max="7169" width="12.85546875" style="2" customWidth="1"/>
    <col min="7170" max="7170" width="18.28515625" style="2" customWidth="1"/>
    <col min="7171" max="7171" width="13.7109375" style="2" customWidth="1"/>
    <col min="7172" max="7172" width="16.42578125" style="2" customWidth="1"/>
    <col min="7173" max="7173" width="20.7109375" style="2" customWidth="1"/>
    <col min="7174" max="7174" width="23.85546875" style="2" customWidth="1"/>
    <col min="7175" max="7175" width="18.85546875" style="2" customWidth="1"/>
    <col min="7176" max="7176" width="8.28515625" style="2" customWidth="1"/>
    <col min="7177" max="7177" width="14.5703125" style="2" bestFit="1" customWidth="1"/>
    <col min="7178" max="7178" width="14.140625" style="2" bestFit="1" customWidth="1"/>
    <col min="7179" max="7179" width="11.42578125" style="2"/>
    <col min="7180" max="7180" width="15.5703125" style="2" customWidth="1"/>
    <col min="7181" max="7181" width="11.42578125" style="2"/>
    <col min="7182" max="7182" width="13.85546875" style="2" bestFit="1" customWidth="1"/>
    <col min="7183" max="7424" width="11.42578125" style="2"/>
    <col min="7425" max="7425" width="12.85546875" style="2" customWidth="1"/>
    <col min="7426" max="7426" width="18.28515625" style="2" customWidth="1"/>
    <col min="7427" max="7427" width="13.7109375" style="2" customWidth="1"/>
    <col min="7428" max="7428" width="16.42578125" style="2" customWidth="1"/>
    <col min="7429" max="7429" width="20.7109375" style="2" customWidth="1"/>
    <col min="7430" max="7430" width="23.85546875" style="2" customWidth="1"/>
    <col min="7431" max="7431" width="18.85546875" style="2" customWidth="1"/>
    <col min="7432" max="7432" width="8.28515625" style="2" customWidth="1"/>
    <col min="7433" max="7433" width="14.5703125" style="2" bestFit="1" customWidth="1"/>
    <col min="7434" max="7434" width="14.140625" style="2" bestFit="1" customWidth="1"/>
    <col min="7435" max="7435" width="11.42578125" style="2"/>
    <col min="7436" max="7436" width="15.5703125" style="2" customWidth="1"/>
    <col min="7437" max="7437" width="11.42578125" style="2"/>
    <col min="7438" max="7438" width="13.85546875" style="2" bestFit="1" customWidth="1"/>
    <col min="7439" max="7680" width="11.42578125" style="2"/>
    <col min="7681" max="7681" width="12.85546875" style="2" customWidth="1"/>
    <col min="7682" max="7682" width="18.28515625" style="2" customWidth="1"/>
    <col min="7683" max="7683" width="13.7109375" style="2" customWidth="1"/>
    <col min="7684" max="7684" width="16.42578125" style="2" customWidth="1"/>
    <col min="7685" max="7685" width="20.7109375" style="2" customWidth="1"/>
    <col min="7686" max="7686" width="23.85546875" style="2" customWidth="1"/>
    <col min="7687" max="7687" width="18.85546875" style="2" customWidth="1"/>
    <col min="7688" max="7688" width="8.28515625" style="2" customWidth="1"/>
    <col min="7689" max="7689" width="14.5703125" style="2" bestFit="1" customWidth="1"/>
    <col min="7690" max="7690" width="14.140625" style="2" bestFit="1" customWidth="1"/>
    <col min="7691" max="7691" width="11.42578125" style="2"/>
    <col min="7692" max="7692" width="15.5703125" style="2" customWidth="1"/>
    <col min="7693" max="7693" width="11.42578125" style="2"/>
    <col min="7694" max="7694" width="13.85546875" style="2" bestFit="1" customWidth="1"/>
    <col min="7695" max="7936" width="11.42578125" style="2"/>
    <col min="7937" max="7937" width="12.85546875" style="2" customWidth="1"/>
    <col min="7938" max="7938" width="18.28515625" style="2" customWidth="1"/>
    <col min="7939" max="7939" width="13.7109375" style="2" customWidth="1"/>
    <col min="7940" max="7940" width="16.42578125" style="2" customWidth="1"/>
    <col min="7941" max="7941" width="20.7109375" style="2" customWidth="1"/>
    <col min="7942" max="7942" width="23.85546875" style="2" customWidth="1"/>
    <col min="7943" max="7943" width="18.85546875" style="2" customWidth="1"/>
    <col min="7944" max="7944" width="8.28515625" style="2" customWidth="1"/>
    <col min="7945" max="7945" width="14.5703125" style="2" bestFit="1" customWidth="1"/>
    <col min="7946" max="7946" width="14.140625" style="2" bestFit="1" customWidth="1"/>
    <col min="7947" max="7947" width="11.42578125" style="2"/>
    <col min="7948" max="7948" width="15.5703125" style="2" customWidth="1"/>
    <col min="7949" max="7949" width="11.42578125" style="2"/>
    <col min="7950" max="7950" width="13.85546875" style="2" bestFit="1" customWidth="1"/>
    <col min="7951" max="8192" width="11.42578125" style="2"/>
    <col min="8193" max="8193" width="12.85546875" style="2" customWidth="1"/>
    <col min="8194" max="8194" width="18.28515625" style="2" customWidth="1"/>
    <col min="8195" max="8195" width="13.7109375" style="2" customWidth="1"/>
    <col min="8196" max="8196" width="16.42578125" style="2" customWidth="1"/>
    <col min="8197" max="8197" width="20.7109375" style="2" customWidth="1"/>
    <col min="8198" max="8198" width="23.85546875" style="2" customWidth="1"/>
    <col min="8199" max="8199" width="18.85546875" style="2" customWidth="1"/>
    <col min="8200" max="8200" width="8.28515625" style="2" customWidth="1"/>
    <col min="8201" max="8201" width="14.5703125" style="2" bestFit="1" customWidth="1"/>
    <col min="8202" max="8202" width="14.140625" style="2" bestFit="1" customWidth="1"/>
    <col min="8203" max="8203" width="11.42578125" style="2"/>
    <col min="8204" max="8204" width="15.5703125" style="2" customWidth="1"/>
    <col min="8205" max="8205" width="11.42578125" style="2"/>
    <col min="8206" max="8206" width="13.85546875" style="2" bestFit="1" customWidth="1"/>
    <col min="8207" max="8448" width="11.42578125" style="2"/>
    <col min="8449" max="8449" width="12.85546875" style="2" customWidth="1"/>
    <col min="8450" max="8450" width="18.28515625" style="2" customWidth="1"/>
    <col min="8451" max="8451" width="13.7109375" style="2" customWidth="1"/>
    <col min="8452" max="8452" width="16.42578125" style="2" customWidth="1"/>
    <col min="8453" max="8453" width="20.7109375" style="2" customWidth="1"/>
    <col min="8454" max="8454" width="23.85546875" style="2" customWidth="1"/>
    <col min="8455" max="8455" width="18.85546875" style="2" customWidth="1"/>
    <col min="8456" max="8456" width="8.28515625" style="2" customWidth="1"/>
    <col min="8457" max="8457" width="14.5703125" style="2" bestFit="1" customWidth="1"/>
    <col min="8458" max="8458" width="14.140625" style="2" bestFit="1" customWidth="1"/>
    <col min="8459" max="8459" width="11.42578125" style="2"/>
    <col min="8460" max="8460" width="15.5703125" style="2" customWidth="1"/>
    <col min="8461" max="8461" width="11.42578125" style="2"/>
    <col min="8462" max="8462" width="13.85546875" style="2" bestFit="1" customWidth="1"/>
    <col min="8463" max="8704" width="11.42578125" style="2"/>
    <col min="8705" max="8705" width="12.85546875" style="2" customWidth="1"/>
    <col min="8706" max="8706" width="18.28515625" style="2" customWidth="1"/>
    <col min="8707" max="8707" width="13.7109375" style="2" customWidth="1"/>
    <col min="8708" max="8708" width="16.42578125" style="2" customWidth="1"/>
    <col min="8709" max="8709" width="20.7109375" style="2" customWidth="1"/>
    <col min="8710" max="8710" width="23.85546875" style="2" customWidth="1"/>
    <col min="8711" max="8711" width="18.85546875" style="2" customWidth="1"/>
    <col min="8712" max="8712" width="8.28515625" style="2" customWidth="1"/>
    <col min="8713" max="8713" width="14.5703125" style="2" bestFit="1" customWidth="1"/>
    <col min="8714" max="8714" width="14.140625" style="2" bestFit="1" customWidth="1"/>
    <col min="8715" max="8715" width="11.42578125" style="2"/>
    <col min="8716" max="8716" width="15.5703125" style="2" customWidth="1"/>
    <col min="8717" max="8717" width="11.42578125" style="2"/>
    <col min="8718" max="8718" width="13.85546875" style="2" bestFit="1" customWidth="1"/>
    <col min="8719" max="8960" width="11.42578125" style="2"/>
    <col min="8961" max="8961" width="12.85546875" style="2" customWidth="1"/>
    <col min="8962" max="8962" width="18.28515625" style="2" customWidth="1"/>
    <col min="8963" max="8963" width="13.7109375" style="2" customWidth="1"/>
    <col min="8964" max="8964" width="16.42578125" style="2" customWidth="1"/>
    <col min="8965" max="8965" width="20.7109375" style="2" customWidth="1"/>
    <col min="8966" max="8966" width="23.85546875" style="2" customWidth="1"/>
    <col min="8967" max="8967" width="18.85546875" style="2" customWidth="1"/>
    <col min="8968" max="8968" width="8.28515625" style="2" customWidth="1"/>
    <col min="8969" max="8969" width="14.5703125" style="2" bestFit="1" customWidth="1"/>
    <col min="8970" max="8970" width="14.140625" style="2" bestFit="1" customWidth="1"/>
    <col min="8971" max="8971" width="11.42578125" style="2"/>
    <col min="8972" max="8972" width="15.5703125" style="2" customWidth="1"/>
    <col min="8973" max="8973" width="11.42578125" style="2"/>
    <col min="8974" max="8974" width="13.85546875" style="2" bestFit="1" customWidth="1"/>
    <col min="8975" max="9216" width="11.42578125" style="2"/>
    <col min="9217" max="9217" width="12.85546875" style="2" customWidth="1"/>
    <col min="9218" max="9218" width="18.28515625" style="2" customWidth="1"/>
    <col min="9219" max="9219" width="13.7109375" style="2" customWidth="1"/>
    <col min="9220" max="9220" width="16.42578125" style="2" customWidth="1"/>
    <col min="9221" max="9221" width="20.7109375" style="2" customWidth="1"/>
    <col min="9222" max="9222" width="23.85546875" style="2" customWidth="1"/>
    <col min="9223" max="9223" width="18.85546875" style="2" customWidth="1"/>
    <col min="9224" max="9224" width="8.28515625" style="2" customWidth="1"/>
    <col min="9225" max="9225" width="14.5703125" style="2" bestFit="1" customWidth="1"/>
    <col min="9226" max="9226" width="14.140625" style="2" bestFit="1" customWidth="1"/>
    <col min="9227" max="9227" width="11.42578125" style="2"/>
    <col min="9228" max="9228" width="15.5703125" style="2" customWidth="1"/>
    <col min="9229" max="9229" width="11.42578125" style="2"/>
    <col min="9230" max="9230" width="13.85546875" style="2" bestFit="1" customWidth="1"/>
    <col min="9231" max="9472" width="11.42578125" style="2"/>
    <col min="9473" max="9473" width="12.85546875" style="2" customWidth="1"/>
    <col min="9474" max="9474" width="18.28515625" style="2" customWidth="1"/>
    <col min="9475" max="9475" width="13.7109375" style="2" customWidth="1"/>
    <col min="9476" max="9476" width="16.42578125" style="2" customWidth="1"/>
    <col min="9477" max="9477" width="20.7109375" style="2" customWidth="1"/>
    <col min="9478" max="9478" width="23.85546875" style="2" customWidth="1"/>
    <col min="9479" max="9479" width="18.85546875" style="2" customWidth="1"/>
    <col min="9480" max="9480" width="8.28515625" style="2" customWidth="1"/>
    <col min="9481" max="9481" width="14.5703125" style="2" bestFit="1" customWidth="1"/>
    <col min="9482" max="9482" width="14.140625" style="2" bestFit="1" customWidth="1"/>
    <col min="9483" max="9483" width="11.42578125" style="2"/>
    <col min="9484" max="9484" width="15.5703125" style="2" customWidth="1"/>
    <col min="9485" max="9485" width="11.42578125" style="2"/>
    <col min="9486" max="9486" width="13.85546875" style="2" bestFit="1" customWidth="1"/>
    <col min="9487" max="9728" width="11.42578125" style="2"/>
    <col min="9729" max="9729" width="12.85546875" style="2" customWidth="1"/>
    <col min="9730" max="9730" width="18.28515625" style="2" customWidth="1"/>
    <col min="9731" max="9731" width="13.7109375" style="2" customWidth="1"/>
    <col min="9732" max="9732" width="16.42578125" style="2" customWidth="1"/>
    <col min="9733" max="9733" width="20.7109375" style="2" customWidth="1"/>
    <col min="9734" max="9734" width="23.85546875" style="2" customWidth="1"/>
    <col min="9735" max="9735" width="18.85546875" style="2" customWidth="1"/>
    <col min="9736" max="9736" width="8.28515625" style="2" customWidth="1"/>
    <col min="9737" max="9737" width="14.5703125" style="2" bestFit="1" customWidth="1"/>
    <col min="9738" max="9738" width="14.140625" style="2" bestFit="1" customWidth="1"/>
    <col min="9739" max="9739" width="11.42578125" style="2"/>
    <col min="9740" max="9740" width="15.5703125" style="2" customWidth="1"/>
    <col min="9741" max="9741" width="11.42578125" style="2"/>
    <col min="9742" max="9742" width="13.85546875" style="2" bestFit="1" customWidth="1"/>
    <col min="9743" max="9984" width="11.42578125" style="2"/>
    <col min="9985" max="9985" width="12.85546875" style="2" customWidth="1"/>
    <col min="9986" max="9986" width="18.28515625" style="2" customWidth="1"/>
    <col min="9987" max="9987" width="13.7109375" style="2" customWidth="1"/>
    <col min="9988" max="9988" width="16.42578125" style="2" customWidth="1"/>
    <col min="9989" max="9989" width="20.7109375" style="2" customWidth="1"/>
    <col min="9990" max="9990" width="23.85546875" style="2" customWidth="1"/>
    <col min="9991" max="9991" width="18.85546875" style="2" customWidth="1"/>
    <col min="9992" max="9992" width="8.28515625" style="2" customWidth="1"/>
    <col min="9993" max="9993" width="14.5703125" style="2" bestFit="1" customWidth="1"/>
    <col min="9994" max="9994" width="14.140625" style="2" bestFit="1" customWidth="1"/>
    <col min="9995" max="9995" width="11.42578125" style="2"/>
    <col min="9996" max="9996" width="15.5703125" style="2" customWidth="1"/>
    <col min="9997" max="9997" width="11.42578125" style="2"/>
    <col min="9998" max="9998" width="13.85546875" style="2" bestFit="1" customWidth="1"/>
    <col min="9999" max="10240" width="11.42578125" style="2"/>
    <col min="10241" max="10241" width="12.85546875" style="2" customWidth="1"/>
    <col min="10242" max="10242" width="18.28515625" style="2" customWidth="1"/>
    <col min="10243" max="10243" width="13.7109375" style="2" customWidth="1"/>
    <col min="10244" max="10244" width="16.42578125" style="2" customWidth="1"/>
    <col min="10245" max="10245" width="20.7109375" style="2" customWidth="1"/>
    <col min="10246" max="10246" width="23.85546875" style="2" customWidth="1"/>
    <col min="10247" max="10247" width="18.85546875" style="2" customWidth="1"/>
    <col min="10248" max="10248" width="8.28515625" style="2" customWidth="1"/>
    <col min="10249" max="10249" width="14.5703125" style="2" bestFit="1" customWidth="1"/>
    <col min="10250" max="10250" width="14.140625" style="2" bestFit="1" customWidth="1"/>
    <col min="10251" max="10251" width="11.42578125" style="2"/>
    <col min="10252" max="10252" width="15.5703125" style="2" customWidth="1"/>
    <col min="10253" max="10253" width="11.42578125" style="2"/>
    <col min="10254" max="10254" width="13.85546875" style="2" bestFit="1" customWidth="1"/>
    <col min="10255" max="10496" width="11.42578125" style="2"/>
    <col min="10497" max="10497" width="12.85546875" style="2" customWidth="1"/>
    <col min="10498" max="10498" width="18.28515625" style="2" customWidth="1"/>
    <col min="10499" max="10499" width="13.7109375" style="2" customWidth="1"/>
    <col min="10500" max="10500" width="16.42578125" style="2" customWidth="1"/>
    <col min="10501" max="10501" width="20.7109375" style="2" customWidth="1"/>
    <col min="10502" max="10502" width="23.85546875" style="2" customWidth="1"/>
    <col min="10503" max="10503" width="18.85546875" style="2" customWidth="1"/>
    <col min="10504" max="10504" width="8.28515625" style="2" customWidth="1"/>
    <col min="10505" max="10505" width="14.5703125" style="2" bestFit="1" customWidth="1"/>
    <col min="10506" max="10506" width="14.140625" style="2" bestFit="1" customWidth="1"/>
    <col min="10507" max="10507" width="11.42578125" style="2"/>
    <col min="10508" max="10508" width="15.5703125" style="2" customWidth="1"/>
    <col min="10509" max="10509" width="11.42578125" style="2"/>
    <col min="10510" max="10510" width="13.85546875" style="2" bestFit="1" customWidth="1"/>
    <col min="10511" max="10752" width="11.42578125" style="2"/>
    <col min="10753" max="10753" width="12.85546875" style="2" customWidth="1"/>
    <col min="10754" max="10754" width="18.28515625" style="2" customWidth="1"/>
    <col min="10755" max="10755" width="13.7109375" style="2" customWidth="1"/>
    <col min="10756" max="10756" width="16.42578125" style="2" customWidth="1"/>
    <col min="10757" max="10757" width="20.7109375" style="2" customWidth="1"/>
    <col min="10758" max="10758" width="23.85546875" style="2" customWidth="1"/>
    <col min="10759" max="10759" width="18.85546875" style="2" customWidth="1"/>
    <col min="10760" max="10760" width="8.28515625" style="2" customWidth="1"/>
    <col min="10761" max="10761" width="14.5703125" style="2" bestFit="1" customWidth="1"/>
    <col min="10762" max="10762" width="14.140625" style="2" bestFit="1" customWidth="1"/>
    <col min="10763" max="10763" width="11.42578125" style="2"/>
    <col min="10764" max="10764" width="15.5703125" style="2" customWidth="1"/>
    <col min="10765" max="10765" width="11.42578125" style="2"/>
    <col min="10766" max="10766" width="13.85546875" style="2" bestFit="1" customWidth="1"/>
    <col min="10767" max="11008" width="11.42578125" style="2"/>
    <col min="11009" max="11009" width="12.85546875" style="2" customWidth="1"/>
    <col min="11010" max="11010" width="18.28515625" style="2" customWidth="1"/>
    <col min="11011" max="11011" width="13.7109375" style="2" customWidth="1"/>
    <col min="11012" max="11012" width="16.42578125" style="2" customWidth="1"/>
    <col min="11013" max="11013" width="20.7109375" style="2" customWidth="1"/>
    <col min="11014" max="11014" width="23.85546875" style="2" customWidth="1"/>
    <col min="11015" max="11015" width="18.85546875" style="2" customWidth="1"/>
    <col min="11016" max="11016" width="8.28515625" style="2" customWidth="1"/>
    <col min="11017" max="11017" width="14.5703125" style="2" bestFit="1" customWidth="1"/>
    <col min="11018" max="11018" width="14.140625" style="2" bestFit="1" customWidth="1"/>
    <col min="11019" max="11019" width="11.42578125" style="2"/>
    <col min="11020" max="11020" width="15.5703125" style="2" customWidth="1"/>
    <col min="11021" max="11021" width="11.42578125" style="2"/>
    <col min="11022" max="11022" width="13.85546875" style="2" bestFit="1" customWidth="1"/>
    <col min="11023" max="11264" width="11.42578125" style="2"/>
    <col min="11265" max="11265" width="12.85546875" style="2" customWidth="1"/>
    <col min="11266" max="11266" width="18.28515625" style="2" customWidth="1"/>
    <col min="11267" max="11267" width="13.7109375" style="2" customWidth="1"/>
    <col min="11268" max="11268" width="16.42578125" style="2" customWidth="1"/>
    <col min="11269" max="11269" width="20.7109375" style="2" customWidth="1"/>
    <col min="11270" max="11270" width="23.85546875" style="2" customWidth="1"/>
    <col min="11271" max="11271" width="18.85546875" style="2" customWidth="1"/>
    <col min="11272" max="11272" width="8.28515625" style="2" customWidth="1"/>
    <col min="11273" max="11273" width="14.5703125" style="2" bestFit="1" customWidth="1"/>
    <col min="11274" max="11274" width="14.140625" style="2" bestFit="1" customWidth="1"/>
    <col min="11275" max="11275" width="11.42578125" style="2"/>
    <col min="11276" max="11276" width="15.5703125" style="2" customWidth="1"/>
    <col min="11277" max="11277" width="11.42578125" style="2"/>
    <col min="11278" max="11278" width="13.85546875" style="2" bestFit="1" customWidth="1"/>
    <col min="11279" max="11520" width="11.42578125" style="2"/>
    <col min="11521" max="11521" width="12.85546875" style="2" customWidth="1"/>
    <col min="11522" max="11522" width="18.28515625" style="2" customWidth="1"/>
    <col min="11523" max="11523" width="13.7109375" style="2" customWidth="1"/>
    <col min="11524" max="11524" width="16.42578125" style="2" customWidth="1"/>
    <col min="11525" max="11525" width="20.7109375" style="2" customWidth="1"/>
    <col min="11526" max="11526" width="23.85546875" style="2" customWidth="1"/>
    <col min="11527" max="11527" width="18.85546875" style="2" customWidth="1"/>
    <col min="11528" max="11528" width="8.28515625" style="2" customWidth="1"/>
    <col min="11529" max="11529" width="14.5703125" style="2" bestFit="1" customWidth="1"/>
    <col min="11530" max="11530" width="14.140625" style="2" bestFit="1" customWidth="1"/>
    <col min="11531" max="11531" width="11.42578125" style="2"/>
    <col min="11532" max="11532" width="15.5703125" style="2" customWidth="1"/>
    <col min="11533" max="11533" width="11.42578125" style="2"/>
    <col min="11534" max="11534" width="13.85546875" style="2" bestFit="1" customWidth="1"/>
    <col min="11535" max="11776" width="11.42578125" style="2"/>
    <col min="11777" max="11777" width="12.85546875" style="2" customWidth="1"/>
    <col min="11778" max="11778" width="18.28515625" style="2" customWidth="1"/>
    <col min="11779" max="11779" width="13.7109375" style="2" customWidth="1"/>
    <col min="11780" max="11780" width="16.42578125" style="2" customWidth="1"/>
    <col min="11781" max="11781" width="20.7109375" style="2" customWidth="1"/>
    <col min="11782" max="11782" width="23.85546875" style="2" customWidth="1"/>
    <col min="11783" max="11783" width="18.85546875" style="2" customWidth="1"/>
    <col min="11784" max="11784" width="8.28515625" style="2" customWidth="1"/>
    <col min="11785" max="11785" width="14.5703125" style="2" bestFit="1" customWidth="1"/>
    <col min="11786" max="11786" width="14.140625" style="2" bestFit="1" customWidth="1"/>
    <col min="11787" max="11787" width="11.42578125" style="2"/>
    <col min="11788" max="11788" width="15.5703125" style="2" customWidth="1"/>
    <col min="11789" max="11789" width="11.42578125" style="2"/>
    <col min="11790" max="11790" width="13.85546875" style="2" bestFit="1" customWidth="1"/>
    <col min="11791" max="12032" width="11.42578125" style="2"/>
    <col min="12033" max="12033" width="12.85546875" style="2" customWidth="1"/>
    <col min="12034" max="12034" width="18.28515625" style="2" customWidth="1"/>
    <col min="12035" max="12035" width="13.7109375" style="2" customWidth="1"/>
    <col min="12036" max="12036" width="16.42578125" style="2" customWidth="1"/>
    <col min="12037" max="12037" width="20.7109375" style="2" customWidth="1"/>
    <col min="12038" max="12038" width="23.85546875" style="2" customWidth="1"/>
    <col min="12039" max="12039" width="18.85546875" style="2" customWidth="1"/>
    <col min="12040" max="12040" width="8.28515625" style="2" customWidth="1"/>
    <col min="12041" max="12041" width="14.5703125" style="2" bestFit="1" customWidth="1"/>
    <col min="12042" max="12042" width="14.140625" style="2" bestFit="1" customWidth="1"/>
    <col min="12043" max="12043" width="11.42578125" style="2"/>
    <col min="12044" max="12044" width="15.5703125" style="2" customWidth="1"/>
    <col min="12045" max="12045" width="11.42578125" style="2"/>
    <col min="12046" max="12046" width="13.85546875" style="2" bestFit="1" customWidth="1"/>
    <col min="12047" max="12288" width="11.42578125" style="2"/>
    <col min="12289" max="12289" width="12.85546875" style="2" customWidth="1"/>
    <col min="12290" max="12290" width="18.28515625" style="2" customWidth="1"/>
    <col min="12291" max="12291" width="13.7109375" style="2" customWidth="1"/>
    <col min="12292" max="12292" width="16.42578125" style="2" customWidth="1"/>
    <col min="12293" max="12293" width="20.7109375" style="2" customWidth="1"/>
    <col min="12294" max="12294" width="23.85546875" style="2" customWidth="1"/>
    <col min="12295" max="12295" width="18.85546875" style="2" customWidth="1"/>
    <col min="12296" max="12296" width="8.28515625" style="2" customWidth="1"/>
    <col min="12297" max="12297" width="14.5703125" style="2" bestFit="1" customWidth="1"/>
    <col min="12298" max="12298" width="14.140625" style="2" bestFit="1" customWidth="1"/>
    <col min="12299" max="12299" width="11.42578125" style="2"/>
    <col min="12300" max="12300" width="15.5703125" style="2" customWidth="1"/>
    <col min="12301" max="12301" width="11.42578125" style="2"/>
    <col min="12302" max="12302" width="13.85546875" style="2" bestFit="1" customWidth="1"/>
    <col min="12303" max="12544" width="11.42578125" style="2"/>
    <col min="12545" max="12545" width="12.85546875" style="2" customWidth="1"/>
    <col min="12546" max="12546" width="18.28515625" style="2" customWidth="1"/>
    <col min="12547" max="12547" width="13.7109375" style="2" customWidth="1"/>
    <col min="12548" max="12548" width="16.42578125" style="2" customWidth="1"/>
    <col min="12549" max="12549" width="20.7109375" style="2" customWidth="1"/>
    <col min="12550" max="12550" width="23.85546875" style="2" customWidth="1"/>
    <col min="12551" max="12551" width="18.85546875" style="2" customWidth="1"/>
    <col min="12552" max="12552" width="8.28515625" style="2" customWidth="1"/>
    <col min="12553" max="12553" width="14.5703125" style="2" bestFit="1" customWidth="1"/>
    <col min="12554" max="12554" width="14.140625" style="2" bestFit="1" customWidth="1"/>
    <col min="12555" max="12555" width="11.42578125" style="2"/>
    <col min="12556" max="12556" width="15.5703125" style="2" customWidth="1"/>
    <col min="12557" max="12557" width="11.42578125" style="2"/>
    <col min="12558" max="12558" width="13.85546875" style="2" bestFit="1" customWidth="1"/>
    <col min="12559" max="12800" width="11.42578125" style="2"/>
    <col min="12801" max="12801" width="12.85546875" style="2" customWidth="1"/>
    <col min="12802" max="12802" width="18.28515625" style="2" customWidth="1"/>
    <col min="12803" max="12803" width="13.7109375" style="2" customWidth="1"/>
    <col min="12804" max="12804" width="16.42578125" style="2" customWidth="1"/>
    <col min="12805" max="12805" width="20.7109375" style="2" customWidth="1"/>
    <col min="12806" max="12806" width="23.85546875" style="2" customWidth="1"/>
    <col min="12807" max="12807" width="18.85546875" style="2" customWidth="1"/>
    <col min="12808" max="12808" width="8.28515625" style="2" customWidth="1"/>
    <col min="12809" max="12809" width="14.5703125" style="2" bestFit="1" customWidth="1"/>
    <col min="12810" max="12810" width="14.140625" style="2" bestFit="1" customWidth="1"/>
    <col min="12811" max="12811" width="11.42578125" style="2"/>
    <col min="12812" max="12812" width="15.5703125" style="2" customWidth="1"/>
    <col min="12813" max="12813" width="11.42578125" style="2"/>
    <col min="12814" max="12814" width="13.85546875" style="2" bestFit="1" customWidth="1"/>
    <col min="12815" max="13056" width="11.42578125" style="2"/>
    <col min="13057" max="13057" width="12.85546875" style="2" customWidth="1"/>
    <col min="13058" max="13058" width="18.28515625" style="2" customWidth="1"/>
    <col min="13059" max="13059" width="13.7109375" style="2" customWidth="1"/>
    <col min="13060" max="13060" width="16.42578125" style="2" customWidth="1"/>
    <col min="13061" max="13061" width="20.7109375" style="2" customWidth="1"/>
    <col min="13062" max="13062" width="23.85546875" style="2" customWidth="1"/>
    <col min="13063" max="13063" width="18.85546875" style="2" customWidth="1"/>
    <col min="13064" max="13064" width="8.28515625" style="2" customWidth="1"/>
    <col min="13065" max="13065" width="14.5703125" style="2" bestFit="1" customWidth="1"/>
    <col min="13066" max="13066" width="14.140625" style="2" bestFit="1" customWidth="1"/>
    <col min="13067" max="13067" width="11.42578125" style="2"/>
    <col min="13068" max="13068" width="15.5703125" style="2" customWidth="1"/>
    <col min="13069" max="13069" width="11.42578125" style="2"/>
    <col min="13070" max="13070" width="13.85546875" style="2" bestFit="1" customWidth="1"/>
    <col min="13071" max="13312" width="11.42578125" style="2"/>
    <col min="13313" max="13313" width="12.85546875" style="2" customWidth="1"/>
    <col min="13314" max="13314" width="18.28515625" style="2" customWidth="1"/>
    <col min="13315" max="13315" width="13.7109375" style="2" customWidth="1"/>
    <col min="13316" max="13316" width="16.42578125" style="2" customWidth="1"/>
    <col min="13317" max="13317" width="20.7109375" style="2" customWidth="1"/>
    <col min="13318" max="13318" width="23.85546875" style="2" customWidth="1"/>
    <col min="13319" max="13319" width="18.85546875" style="2" customWidth="1"/>
    <col min="13320" max="13320" width="8.28515625" style="2" customWidth="1"/>
    <col min="13321" max="13321" width="14.5703125" style="2" bestFit="1" customWidth="1"/>
    <col min="13322" max="13322" width="14.140625" style="2" bestFit="1" customWidth="1"/>
    <col min="13323" max="13323" width="11.42578125" style="2"/>
    <col min="13324" max="13324" width="15.5703125" style="2" customWidth="1"/>
    <col min="13325" max="13325" width="11.42578125" style="2"/>
    <col min="13326" max="13326" width="13.85546875" style="2" bestFit="1" customWidth="1"/>
    <col min="13327" max="13568" width="11.42578125" style="2"/>
    <col min="13569" max="13569" width="12.85546875" style="2" customWidth="1"/>
    <col min="13570" max="13570" width="18.28515625" style="2" customWidth="1"/>
    <col min="13571" max="13571" width="13.7109375" style="2" customWidth="1"/>
    <col min="13572" max="13572" width="16.42578125" style="2" customWidth="1"/>
    <col min="13573" max="13573" width="20.7109375" style="2" customWidth="1"/>
    <col min="13574" max="13574" width="23.85546875" style="2" customWidth="1"/>
    <col min="13575" max="13575" width="18.85546875" style="2" customWidth="1"/>
    <col min="13576" max="13576" width="8.28515625" style="2" customWidth="1"/>
    <col min="13577" max="13577" width="14.5703125" style="2" bestFit="1" customWidth="1"/>
    <col min="13578" max="13578" width="14.140625" style="2" bestFit="1" customWidth="1"/>
    <col min="13579" max="13579" width="11.42578125" style="2"/>
    <col min="13580" max="13580" width="15.5703125" style="2" customWidth="1"/>
    <col min="13581" max="13581" width="11.42578125" style="2"/>
    <col min="13582" max="13582" width="13.85546875" style="2" bestFit="1" customWidth="1"/>
    <col min="13583" max="13824" width="11.42578125" style="2"/>
    <col min="13825" max="13825" width="12.85546875" style="2" customWidth="1"/>
    <col min="13826" max="13826" width="18.28515625" style="2" customWidth="1"/>
    <col min="13827" max="13827" width="13.7109375" style="2" customWidth="1"/>
    <col min="13828" max="13828" width="16.42578125" style="2" customWidth="1"/>
    <col min="13829" max="13829" width="20.7109375" style="2" customWidth="1"/>
    <col min="13830" max="13830" width="23.85546875" style="2" customWidth="1"/>
    <col min="13831" max="13831" width="18.85546875" style="2" customWidth="1"/>
    <col min="13832" max="13832" width="8.28515625" style="2" customWidth="1"/>
    <col min="13833" max="13833" width="14.5703125" style="2" bestFit="1" customWidth="1"/>
    <col min="13834" max="13834" width="14.140625" style="2" bestFit="1" customWidth="1"/>
    <col min="13835" max="13835" width="11.42578125" style="2"/>
    <col min="13836" max="13836" width="15.5703125" style="2" customWidth="1"/>
    <col min="13837" max="13837" width="11.42578125" style="2"/>
    <col min="13838" max="13838" width="13.85546875" style="2" bestFit="1" customWidth="1"/>
    <col min="13839" max="14080" width="11.42578125" style="2"/>
    <col min="14081" max="14081" width="12.85546875" style="2" customWidth="1"/>
    <col min="14082" max="14082" width="18.28515625" style="2" customWidth="1"/>
    <col min="14083" max="14083" width="13.7109375" style="2" customWidth="1"/>
    <col min="14084" max="14084" width="16.42578125" style="2" customWidth="1"/>
    <col min="14085" max="14085" width="20.7109375" style="2" customWidth="1"/>
    <col min="14086" max="14086" width="23.85546875" style="2" customWidth="1"/>
    <col min="14087" max="14087" width="18.85546875" style="2" customWidth="1"/>
    <col min="14088" max="14088" width="8.28515625" style="2" customWidth="1"/>
    <col min="14089" max="14089" width="14.5703125" style="2" bestFit="1" customWidth="1"/>
    <col min="14090" max="14090" width="14.140625" style="2" bestFit="1" customWidth="1"/>
    <col min="14091" max="14091" width="11.42578125" style="2"/>
    <col min="14092" max="14092" width="15.5703125" style="2" customWidth="1"/>
    <col min="14093" max="14093" width="11.42578125" style="2"/>
    <col min="14094" max="14094" width="13.85546875" style="2" bestFit="1" customWidth="1"/>
    <col min="14095" max="14336" width="11.42578125" style="2"/>
    <col min="14337" max="14337" width="12.85546875" style="2" customWidth="1"/>
    <col min="14338" max="14338" width="18.28515625" style="2" customWidth="1"/>
    <col min="14339" max="14339" width="13.7109375" style="2" customWidth="1"/>
    <col min="14340" max="14340" width="16.42578125" style="2" customWidth="1"/>
    <col min="14341" max="14341" width="20.7109375" style="2" customWidth="1"/>
    <col min="14342" max="14342" width="23.85546875" style="2" customWidth="1"/>
    <col min="14343" max="14343" width="18.85546875" style="2" customWidth="1"/>
    <col min="14344" max="14344" width="8.28515625" style="2" customWidth="1"/>
    <col min="14345" max="14345" width="14.5703125" style="2" bestFit="1" customWidth="1"/>
    <col min="14346" max="14346" width="14.140625" style="2" bestFit="1" customWidth="1"/>
    <col min="14347" max="14347" width="11.42578125" style="2"/>
    <col min="14348" max="14348" width="15.5703125" style="2" customWidth="1"/>
    <col min="14349" max="14349" width="11.42578125" style="2"/>
    <col min="14350" max="14350" width="13.85546875" style="2" bestFit="1" customWidth="1"/>
    <col min="14351" max="14592" width="11.42578125" style="2"/>
    <col min="14593" max="14593" width="12.85546875" style="2" customWidth="1"/>
    <col min="14594" max="14594" width="18.28515625" style="2" customWidth="1"/>
    <col min="14595" max="14595" width="13.7109375" style="2" customWidth="1"/>
    <col min="14596" max="14596" width="16.42578125" style="2" customWidth="1"/>
    <col min="14597" max="14597" width="20.7109375" style="2" customWidth="1"/>
    <col min="14598" max="14598" width="23.85546875" style="2" customWidth="1"/>
    <col min="14599" max="14599" width="18.85546875" style="2" customWidth="1"/>
    <col min="14600" max="14600" width="8.28515625" style="2" customWidth="1"/>
    <col min="14601" max="14601" width="14.5703125" style="2" bestFit="1" customWidth="1"/>
    <col min="14602" max="14602" width="14.140625" style="2" bestFit="1" customWidth="1"/>
    <col min="14603" max="14603" width="11.42578125" style="2"/>
    <col min="14604" max="14604" width="15.5703125" style="2" customWidth="1"/>
    <col min="14605" max="14605" width="11.42578125" style="2"/>
    <col min="14606" max="14606" width="13.85546875" style="2" bestFit="1" customWidth="1"/>
    <col min="14607" max="14848" width="11.42578125" style="2"/>
    <col min="14849" max="14849" width="12.85546875" style="2" customWidth="1"/>
    <col min="14850" max="14850" width="18.28515625" style="2" customWidth="1"/>
    <col min="14851" max="14851" width="13.7109375" style="2" customWidth="1"/>
    <col min="14852" max="14852" width="16.42578125" style="2" customWidth="1"/>
    <col min="14853" max="14853" width="20.7109375" style="2" customWidth="1"/>
    <col min="14854" max="14854" width="23.85546875" style="2" customWidth="1"/>
    <col min="14855" max="14855" width="18.85546875" style="2" customWidth="1"/>
    <col min="14856" max="14856" width="8.28515625" style="2" customWidth="1"/>
    <col min="14857" max="14857" width="14.5703125" style="2" bestFit="1" customWidth="1"/>
    <col min="14858" max="14858" width="14.140625" style="2" bestFit="1" customWidth="1"/>
    <col min="14859" max="14859" width="11.42578125" style="2"/>
    <col min="14860" max="14860" width="15.5703125" style="2" customWidth="1"/>
    <col min="14861" max="14861" width="11.42578125" style="2"/>
    <col min="14862" max="14862" width="13.85546875" style="2" bestFit="1" customWidth="1"/>
    <col min="14863" max="15104" width="11.42578125" style="2"/>
    <col min="15105" max="15105" width="12.85546875" style="2" customWidth="1"/>
    <col min="15106" max="15106" width="18.28515625" style="2" customWidth="1"/>
    <col min="15107" max="15107" width="13.7109375" style="2" customWidth="1"/>
    <col min="15108" max="15108" width="16.42578125" style="2" customWidth="1"/>
    <col min="15109" max="15109" width="20.7109375" style="2" customWidth="1"/>
    <col min="15110" max="15110" width="23.85546875" style="2" customWidth="1"/>
    <col min="15111" max="15111" width="18.85546875" style="2" customWidth="1"/>
    <col min="15112" max="15112" width="8.28515625" style="2" customWidth="1"/>
    <col min="15113" max="15113" width="14.5703125" style="2" bestFit="1" customWidth="1"/>
    <col min="15114" max="15114" width="14.140625" style="2" bestFit="1" customWidth="1"/>
    <col min="15115" max="15115" width="11.42578125" style="2"/>
    <col min="15116" max="15116" width="15.5703125" style="2" customWidth="1"/>
    <col min="15117" max="15117" width="11.42578125" style="2"/>
    <col min="15118" max="15118" width="13.85546875" style="2" bestFit="1" customWidth="1"/>
    <col min="15119" max="15360" width="11.42578125" style="2"/>
    <col min="15361" max="15361" width="12.85546875" style="2" customWidth="1"/>
    <col min="15362" max="15362" width="18.28515625" style="2" customWidth="1"/>
    <col min="15363" max="15363" width="13.7109375" style="2" customWidth="1"/>
    <col min="15364" max="15364" width="16.42578125" style="2" customWidth="1"/>
    <col min="15365" max="15365" width="20.7109375" style="2" customWidth="1"/>
    <col min="15366" max="15366" width="23.85546875" style="2" customWidth="1"/>
    <col min="15367" max="15367" width="18.85546875" style="2" customWidth="1"/>
    <col min="15368" max="15368" width="8.28515625" style="2" customWidth="1"/>
    <col min="15369" max="15369" width="14.5703125" style="2" bestFit="1" customWidth="1"/>
    <col min="15370" max="15370" width="14.140625" style="2" bestFit="1" customWidth="1"/>
    <col min="15371" max="15371" width="11.42578125" style="2"/>
    <col min="15372" max="15372" width="15.5703125" style="2" customWidth="1"/>
    <col min="15373" max="15373" width="11.42578125" style="2"/>
    <col min="15374" max="15374" width="13.85546875" style="2" bestFit="1" customWidth="1"/>
    <col min="15375" max="15616" width="11.42578125" style="2"/>
    <col min="15617" max="15617" width="12.85546875" style="2" customWidth="1"/>
    <col min="15618" max="15618" width="18.28515625" style="2" customWidth="1"/>
    <col min="15619" max="15619" width="13.7109375" style="2" customWidth="1"/>
    <col min="15620" max="15620" width="16.42578125" style="2" customWidth="1"/>
    <col min="15621" max="15621" width="20.7109375" style="2" customWidth="1"/>
    <col min="15622" max="15622" width="23.85546875" style="2" customWidth="1"/>
    <col min="15623" max="15623" width="18.85546875" style="2" customWidth="1"/>
    <col min="15624" max="15624" width="8.28515625" style="2" customWidth="1"/>
    <col min="15625" max="15625" width="14.5703125" style="2" bestFit="1" customWidth="1"/>
    <col min="15626" max="15626" width="14.140625" style="2" bestFit="1" customWidth="1"/>
    <col min="15627" max="15627" width="11.42578125" style="2"/>
    <col min="15628" max="15628" width="15.5703125" style="2" customWidth="1"/>
    <col min="15629" max="15629" width="11.42578125" style="2"/>
    <col min="15630" max="15630" width="13.85546875" style="2" bestFit="1" customWidth="1"/>
    <col min="15631" max="15872" width="11.42578125" style="2"/>
    <col min="15873" max="15873" width="12.85546875" style="2" customWidth="1"/>
    <col min="15874" max="15874" width="18.28515625" style="2" customWidth="1"/>
    <col min="15875" max="15875" width="13.7109375" style="2" customWidth="1"/>
    <col min="15876" max="15876" width="16.42578125" style="2" customWidth="1"/>
    <col min="15877" max="15877" width="20.7109375" style="2" customWidth="1"/>
    <col min="15878" max="15878" width="23.85546875" style="2" customWidth="1"/>
    <col min="15879" max="15879" width="18.85546875" style="2" customWidth="1"/>
    <col min="15880" max="15880" width="8.28515625" style="2" customWidth="1"/>
    <col min="15881" max="15881" width="14.5703125" style="2" bestFit="1" customWidth="1"/>
    <col min="15882" max="15882" width="14.140625" style="2" bestFit="1" customWidth="1"/>
    <col min="15883" max="15883" width="11.42578125" style="2"/>
    <col min="15884" max="15884" width="15.5703125" style="2" customWidth="1"/>
    <col min="15885" max="15885" width="11.42578125" style="2"/>
    <col min="15886" max="15886" width="13.85546875" style="2" bestFit="1" customWidth="1"/>
    <col min="15887" max="16128" width="11.42578125" style="2"/>
    <col min="16129" max="16129" width="12.85546875" style="2" customWidth="1"/>
    <col min="16130" max="16130" width="18.28515625" style="2" customWidth="1"/>
    <col min="16131" max="16131" width="13.7109375" style="2" customWidth="1"/>
    <col min="16132" max="16132" width="16.42578125" style="2" customWidth="1"/>
    <col min="16133" max="16133" width="20.7109375" style="2" customWidth="1"/>
    <col min="16134" max="16134" width="23.85546875" style="2" customWidth="1"/>
    <col min="16135" max="16135" width="18.85546875" style="2" customWidth="1"/>
    <col min="16136" max="16136" width="8.28515625" style="2" customWidth="1"/>
    <col min="16137" max="16137" width="14.5703125" style="2" bestFit="1" customWidth="1"/>
    <col min="16138" max="16138" width="14.140625" style="2" bestFit="1" customWidth="1"/>
    <col min="16139" max="16139" width="11.42578125" style="2"/>
    <col min="16140" max="16140" width="15.5703125" style="2" customWidth="1"/>
    <col min="16141" max="16141" width="11.42578125" style="2"/>
    <col min="16142" max="16142" width="13.85546875" style="2" bestFit="1" customWidth="1"/>
    <col min="16143" max="16384" width="11.42578125" style="2"/>
  </cols>
  <sheetData>
    <row r="1" spans="1:34" ht="9" customHeight="1" thickBot="1" x14ac:dyDescent="0.25"/>
    <row r="2" spans="1:34" s="9" customFormat="1" ht="20.25" customHeight="1" thickBot="1" x14ac:dyDescent="0.25">
      <c r="A2" s="474" t="s">
        <v>3</v>
      </c>
      <c r="B2" s="475"/>
      <c r="C2" s="475"/>
      <c r="D2" s="475"/>
      <c r="E2" s="475"/>
      <c r="F2" s="475"/>
      <c r="G2" s="476"/>
      <c r="H2" s="12"/>
      <c r="K2" s="5"/>
      <c r="L2" s="5"/>
      <c r="M2" s="5"/>
      <c r="N2" s="5"/>
      <c r="O2" s="5"/>
      <c r="P2" s="5"/>
      <c r="Q2" s="5"/>
      <c r="R2" s="5"/>
    </row>
    <row r="3" spans="1:34" s="7" customFormat="1" ht="31.5" customHeight="1" x14ac:dyDescent="0.2">
      <c r="A3" s="477" t="s">
        <v>4</v>
      </c>
      <c r="B3" s="477"/>
      <c r="C3" s="477"/>
      <c r="D3" s="477"/>
      <c r="E3" s="477"/>
      <c r="F3" s="477"/>
      <c r="G3" s="477"/>
      <c r="H3" s="13"/>
      <c r="I3" s="13"/>
      <c r="J3" s="14" t="s">
        <v>5</v>
      </c>
      <c r="L3" s="15"/>
    </row>
    <row r="4" spans="1:34" s="7" customFormat="1" ht="13.5" customHeight="1" thickBot="1" x14ac:dyDescent="0.5">
      <c r="A4" s="16"/>
      <c r="B4" s="2"/>
      <c r="C4" s="2"/>
      <c r="D4" s="2"/>
      <c r="E4" s="2"/>
      <c r="F4" s="2"/>
      <c r="G4" s="2"/>
      <c r="H4" s="13"/>
      <c r="I4" s="13"/>
      <c r="J4" s="14" t="s">
        <v>6</v>
      </c>
      <c r="L4" s="15"/>
    </row>
    <row r="5" spans="1:34" ht="19.5" customHeight="1" thickBot="1" x14ac:dyDescent="0.25">
      <c r="B5" s="17" t="s">
        <v>7</v>
      </c>
      <c r="C5" s="18">
        <v>2.512337371018394E-2</v>
      </c>
      <c r="D5" s="19" t="s">
        <v>8</v>
      </c>
      <c r="E5" s="20" t="s">
        <v>9</v>
      </c>
      <c r="F5" s="21">
        <f>1-C5</f>
        <v>0.97487662628981608</v>
      </c>
      <c r="H5" s="22"/>
      <c r="I5" s="23"/>
      <c r="J5" s="14" t="s">
        <v>10</v>
      </c>
      <c r="K5" s="5"/>
      <c r="L5" s="15"/>
      <c r="M5" s="7"/>
      <c r="N5" s="7"/>
      <c r="O5" s="24"/>
      <c r="P5" s="24"/>
      <c r="Q5" s="24"/>
      <c r="R5" s="7"/>
      <c r="S5" s="7"/>
      <c r="T5" s="7"/>
      <c r="U5" s="7"/>
      <c r="V5" s="7"/>
      <c r="W5" s="7"/>
      <c r="X5" s="7"/>
    </row>
    <row r="6" spans="1:34" ht="15.75" thickBot="1" x14ac:dyDescent="0.25">
      <c r="B6" s="25">
        <v>743</v>
      </c>
      <c r="H6" s="26"/>
      <c r="I6" s="27"/>
      <c r="J6" s="14" t="s">
        <v>11</v>
      </c>
      <c r="L6" s="4"/>
      <c r="M6" s="7"/>
      <c r="N6" s="7"/>
      <c r="U6" s="28"/>
      <c r="V6" s="28"/>
      <c r="W6" s="28"/>
      <c r="X6" s="28"/>
      <c r="Y6" s="28"/>
      <c r="Z6" s="28"/>
    </row>
    <row r="7" spans="1:34" ht="21" customHeight="1" thickBot="1" x14ac:dyDescent="0.25">
      <c r="B7" s="29">
        <v>56</v>
      </c>
      <c r="D7" s="478" t="s">
        <v>12</v>
      </c>
      <c r="E7" s="479"/>
      <c r="F7" s="480"/>
      <c r="H7" s="30"/>
      <c r="I7" s="27"/>
      <c r="J7" s="31" t="s">
        <v>13</v>
      </c>
      <c r="K7" s="32"/>
      <c r="N7" s="33"/>
      <c r="O7" s="24"/>
      <c r="P7" s="24"/>
      <c r="Q7" s="24"/>
      <c r="R7" s="9"/>
      <c r="S7" s="9"/>
      <c r="T7" s="32"/>
      <c r="U7" s="34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20.100000000000001" customHeight="1" thickBot="1" x14ac:dyDescent="0.25">
      <c r="B8" s="35">
        <f>B7/B6</f>
        <v>7.5370121130551818E-2</v>
      </c>
      <c r="C8" s="36" t="s">
        <v>62</v>
      </c>
      <c r="D8" s="37" t="s">
        <v>14</v>
      </c>
      <c r="E8" s="38" t="s">
        <v>15</v>
      </c>
      <c r="F8" s="37" t="s">
        <v>16</v>
      </c>
      <c r="H8" s="39"/>
      <c r="I8" s="27"/>
      <c r="J8" s="14" t="s">
        <v>17</v>
      </c>
      <c r="K8" s="9"/>
      <c r="L8" s="5"/>
      <c r="M8" s="40"/>
      <c r="N8" s="27"/>
      <c r="O8" s="24"/>
      <c r="P8" s="24"/>
      <c r="Q8" s="24"/>
      <c r="R8" s="9"/>
      <c r="S8" s="41"/>
      <c r="T8" s="9"/>
      <c r="U8" s="5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20.100000000000001" customHeight="1" thickBot="1" x14ac:dyDescent="0.3">
      <c r="B9" s="33">
        <f>B8/3</f>
        <v>2.512337371018394E-2</v>
      </c>
      <c r="C9" s="2" t="s">
        <v>63</v>
      </c>
      <c r="D9" s="42">
        <v>0.7</v>
      </c>
      <c r="E9" s="43">
        <v>0.47</v>
      </c>
      <c r="F9" s="43">
        <v>1.05</v>
      </c>
      <c r="H9" s="44"/>
      <c r="I9" s="9"/>
      <c r="J9" s="31" t="s">
        <v>18</v>
      </c>
      <c r="K9" s="9"/>
      <c r="L9" s="9"/>
      <c r="M9" s="9"/>
      <c r="N9" s="9"/>
      <c r="O9" s="9"/>
      <c r="P9" s="9"/>
      <c r="Q9" s="9"/>
      <c r="R9" s="9"/>
      <c r="S9" s="45"/>
      <c r="T9" s="34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6.5" hidden="1" thickBot="1" x14ac:dyDescent="0.3">
      <c r="B10" s="46"/>
      <c r="C10" s="47" t="s">
        <v>19</v>
      </c>
      <c r="D10" s="48">
        <f>F5^D9</f>
        <v>0.9823466319788734</v>
      </c>
      <c r="E10" s="48">
        <f>F5^E9</f>
        <v>0.9881123768307547</v>
      </c>
      <c r="F10" s="49">
        <f>F5^F9</f>
        <v>0.9736371596358262</v>
      </c>
      <c r="H10" s="30"/>
      <c r="I10" s="9"/>
      <c r="K10" s="9"/>
      <c r="L10" s="5"/>
      <c r="M10" s="40"/>
      <c r="N10" s="27"/>
      <c r="O10" s="24"/>
      <c r="P10" s="24"/>
      <c r="Q10" s="9"/>
      <c r="R10" s="9"/>
      <c r="S10" s="50"/>
      <c r="T10" s="9"/>
      <c r="U10" s="5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idden="1" x14ac:dyDescent="0.2">
      <c r="B11" s="51"/>
      <c r="C11" s="52" t="s">
        <v>20</v>
      </c>
      <c r="D11" s="53">
        <f>1-D10</f>
        <v>1.7653368021126603E-2</v>
      </c>
      <c r="E11" s="53">
        <f>1-E10</f>
        <v>1.1887623169245298E-2</v>
      </c>
      <c r="F11" s="53">
        <f>1-F10</f>
        <v>2.6362840364173801E-2</v>
      </c>
      <c r="H11" s="30"/>
      <c r="I11" s="9"/>
      <c r="J11" s="12"/>
      <c r="K11" s="9"/>
      <c r="L11" s="9"/>
      <c r="M11" s="9"/>
      <c r="N11" s="9"/>
      <c r="O11" s="9"/>
      <c r="P11" s="9"/>
      <c r="Q11" s="24"/>
      <c r="R11" s="9"/>
      <c r="S11" s="41"/>
      <c r="T11" s="54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idden="1" x14ac:dyDescent="0.2">
      <c r="B12" s="55"/>
      <c r="C12" s="56"/>
      <c r="D12" s="55"/>
      <c r="E12" s="55"/>
      <c r="F12" s="55"/>
      <c r="H12" s="57"/>
      <c r="I12" s="9"/>
      <c r="J12" s="58"/>
      <c r="K12" s="54"/>
      <c r="L12" s="59"/>
      <c r="M12" s="9"/>
      <c r="N12" s="9"/>
      <c r="O12" s="9"/>
      <c r="P12" s="9"/>
      <c r="Q12" s="9"/>
      <c r="R12" s="9"/>
      <c r="S12" s="60"/>
      <c r="T12" s="61"/>
      <c r="U12" s="5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15" hidden="1" thickBot="1" x14ac:dyDescent="0.3">
      <c r="B13" s="62"/>
      <c r="C13" s="63" t="s">
        <v>21</v>
      </c>
      <c r="D13" s="64" t="s">
        <v>22</v>
      </c>
      <c r="E13" s="65">
        <f>D10-F5</f>
        <v>7.470005689057313E-3</v>
      </c>
      <c r="F13" s="66">
        <f>F10-F5</f>
        <v>-1.2394666539898846E-3</v>
      </c>
      <c r="G13" s="67">
        <f>E10-F5</f>
        <v>1.3235750540938618E-2</v>
      </c>
      <c r="H13" s="30"/>
      <c r="I13" s="9"/>
      <c r="J13" s="60"/>
      <c r="K13" s="61"/>
      <c r="L13" s="9"/>
      <c r="M13" s="6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13.5" hidden="1" thickBot="1" x14ac:dyDescent="0.25">
      <c r="B14" s="69"/>
      <c r="C14" s="70" t="s">
        <v>23</v>
      </c>
      <c r="D14" s="71" t="s">
        <v>24</v>
      </c>
      <c r="E14" s="72">
        <f>1/E13</f>
        <v>133.86870661489365</v>
      </c>
      <c r="F14" s="73">
        <f>1/G13</f>
        <v>75.552950088245211</v>
      </c>
      <c r="G14" s="74">
        <f>1/F13</f>
        <v>-806.79863131530533</v>
      </c>
      <c r="J14" s="2"/>
      <c r="K14" s="2"/>
      <c r="P14" s="2"/>
      <c r="Q14" s="2"/>
      <c r="R14" s="7"/>
      <c r="S14" s="7"/>
      <c r="T14" s="7"/>
      <c r="U14" s="7"/>
      <c r="V14" s="7"/>
      <c r="W14" s="7"/>
      <c r="X14" s="7"/>
    </row>
    <row r="15" spans="1:34" hidden="1" x14ac:dyDescent="0.2">
      <c r="B15" s="55"/>
      <c r="C15" s="55"/>
      <c r="D15" s="55"/>
      <c r="E15" s="55"/>
      <c r="F15" s="55"/>
      <c r="J15" s="2"/>
      <c r="K15" s="2"/>
      <c r="P15" s="2"/>
      <c r="Q15" s="2"/>
    </row>
    <row r="16" spans="1:34" ht="15.75" hidden="1" x14ac:dyDescent="0.25">
      <c r="B16" s="75"/>
      <c r="C16" s="76" t="s">
        <v>25</v>
      </c>
      <c r="D16" s="77" t="s">
        <v>26</v>
      </c>
      <c r="E16" s="78">
        <f>E14</f>
        <v>133.86870661489365</v>
      </c>
      <c r="F16" s="78">
        <f>F14</f>
        <v>75.552950088245211</v>
      </c>
      <c r="G16" s="78">
        <f>G14</f>
        <v>-806.79863131530533</v>
      </c>
      <c r="J16" s="2"/>
      <c r="K16" s="2"/>
      <c r="P16" s="2"/>
      <c r="Q16" s="2"/>
    </row>
    <row r="17" spans="1:17" s="9" customFormat="1" hidden="1" x14ac:dyDescent="0.2">
      <c r="A17" s="2"/>
      <c r="B17" s="79"/>
      <c r="C17" s="79"/>
      <c r="D17" s="80" t="s">
        <v>27</v>
      </c>
      <c r="E17" s="81">
        <f>(1-C5)*E14</f>
        <v>130.50547307050871</v>
      </c>
      <c r="F17" s="81">
        <f>(1-C5)*F14</f>
        <v>73.65480508827136</v>
      </c>
      <c r="G17" s="81">
        <f>(1-C5)*G14</f>
        <v>-786.52912779190603</v>
      </c>
      <c r="I17" s="82"/>
    </row>
    <row r="18" spans="1:17" s="9" customFormat="1" hidden="1" x14ac:dyDescent="0.2">
      <c r="A18" s="2"/>
      <c r="B18" s="83"/>
      <c r="C18" s="83"/>
      <c r="D18" s="84" t="s">
        <v>28</v>
      </c>
      <c r="E18" s="85">
        <f>E14*E13</f>
        <v>0.99999999999999989</v>
      </c>
      <c r="F18" s="85">
        <f>F14*G13</f>
        <v>1</v>
      </c>
      <c r="G18" s="85">
        <f>G14*F13</f>
        <v>1</v>
      </c>
    </row>
    <row r="19" spans="1:17" s="9" customFormat="1" hidden="1" x14ac:dyDescent="0.2">
      <c r="A19" s="2"/>
      <c r="B19" s="86"/>
      <c r="C19" s="86"/>
      <c r="D19" s="87" t="s">
        <v>29</v>
      </c>
      <c r="E19" s="88">
        <f>(C5-E13)*E14</f>
        <v>2.3632335443849461</v>
      </c>
      <c r="F19" s="88">
        <f>(C5-G13)*F14</f>
        <v>0.89814499997385921</v>
      </c>
      <c r="G19" s="88">
        <f>(C5-F13)*G14</f>
        <v>-21.269503523399326</v>
      </c>
    </row>
    <row r="20" spans="1:17" s="9" customFormat="1" hidden="1" x14ac:dyDescent="0.2">
      <c r="A20" s="2"/>
      <c r="B20" s="89"/>
      <c r="C20" s="89"/>
      <c r="D20" s="89"/>
      <c r="E20" s="90"/>
      <c r="F20" s="90"/>
      <c r="G20" s="90"/>
      <c r="J20" s="91"/>
      <c r="K20" s="91"/>
      <c r="L20" s="92"/>
    </row>
    <row r="21" spans="1:17" s="9" customFormat="1" ht="15.75" hidden="1" x14ac:dyDescent="0.25">
      <c r="A21" s="2"/>
      <c r="B21" s="75"/>
      <c r="C21" s="76" t="s">
        <v>30</v>
      </c>
      <c r="D21" s="77" t="s">
        <v>31</v>
      </c>
      <c r="E21" s="78">
        <f>E14</f>
        <v>133.86870661489365</v>
      </c>
      <c r="F21" s="78">
        <f>F14</f>
        <v>75.552950088245211</v>
      </c>
      <c r="G21" s="78">
        <f>G14</f>
        <v>-806.79863131530533</v>
      </c>
      <c r="I21" s="91"/>
      <c r="J21" s="91"/>
      <c r="K21" s="93"/>
      <c r="L21" s="92"/>
    </row>
    <row r="22" spans="1:17" s="9" customFormat="1" hidden="1" x14ac:dyDescent="0.2">
      <c r="A22" s="2"/>
      <c r="B22" s="94"/>
      <c r="C22" s="94"/>
      <c r="D22" s="95" t="s">
        <v>27</v>
      </c>
      <c r="E22" s="81">
        <f>ABS((1-(C5-E13))*E14)</f>
        <v>131.50547307050871</v>
      </c>
      <c r="F22" s="81">
        <f>ABS((1-(C5-G13))*F14)</f>
        <v>74.65480508827136</v>
      </c>
      <c r="G22" s="81">
        <f>ABS((1-(C5-F13))*G14)</f>
        <v>785.52912779190603</v>
      </c>
      <c r="I22" s="91"/>
      <c r="J22" s="91"/>
      <c r="K22" s="91"/>
      <c r="L22" s="92"/>
    </row>
    <row r="23" spans="1:17" hidden="1" x14ac:dyDescent="0.2">
      <c r="B23" s="96"/>
      <c r="C23" s="96"/>
      <c r="D23" s="97" t="s">
        <v>32</v>
      </c>
      <c r="E23" s="98">
        <f>E14*E13</f>
        <v>0.99999999999999989</v>
      </c>
      <c r="F23" s="73">
        <f>F14*G13</f>
        <v>1</v>
      </c>
      <c r="G23" s="73">
        <f>G14*F13</f>
        <v>1</v>
      </c>
      <c r="J23" s="2"/>
      <c r="K23" s="2"/>
      <c r="P23" s="2"/>
      <c r="Q23" s="2"/>
    </row>
    <row r="24" spans="1:17" hidden="1" x14ac:dyDescent="0.2">
      <c r="B24" s="99"/>
      <c r="C24" s="100"/>
      <c r="D24" s="101" t="s">
        <v>33</v>
      </c>
      <c r="E24" s="88">
        <f>ABS(C5*E14)</f>
        <v>3.3632335443849461</v>
      </c>
      <c r="F24" s="88">
        <f>ABS(C5*F14)</f>
        <v>1.8981449999738591</v>
      </c>
      <c r="G24" s="88">
        <f>ABS(C5*G14)</f>
        <v>20.269503523399326</v>
      </c>
      <c r="I24" s="6"/>
      <c r="J24" s="6"/>
      <c r="K24" s="6"/>
      <c r="P24" s="2"/>
      <c r="Q24" s="2"/>
    </row>
    <row r="25" spans="1:17" s="9" customFormat="1" hidden="1" x14ac:dyDescent="0.2">
      <c r="A25" s="2"/>
      <c r="B25" s="102"/>
      <c r="C25" s="103"/>
      <c r="D25" s="104"/>
      <c r="E25" s="105"/>
      <c r="F25" s="105"/>
      <c r="G25" s="105"/>
      <c r="I25" s="106"/>
      <c r="J25" s="106"/>
      <c r="K25" s="106"/>
    </row>
    <row r="26" spans="1:17" hidden="1" x14ac:dyDescent="0.2">
      <c r="B26" s="107" t="s">
        <v>34</v>
      </c>
      <c r="C26" s="108"/>
      <c r="D26" s="108"/>
      <c r="E26" s="109">
        <f>ROUND(D9,2)</f>
        <v>0.7</v>
      </c>
      <c r="F26" s="110">
        <f>ROUND(E13,4)</f>
        <v>7.4999999999999997E-3</v>
      </c>
      <c r="G26" s="111">
        <f>ROUND(E14,0)</f>
        <v>134</v>
      </c>
      <c r="J26" s="2"/>
      <c r="K26" s="2"/>
      <c r="P26" s="2"/>
      <c r="Q26" s="2"/>
    </row>
    <row r="27" spans="1:17" hidden="1" x14ac:dyDescent="0.2">
      <c r="B27" s="112" t="s">
        <v>35</v>
      </c>
      <c r="C27" s="113">
        <f>ROUND(D11,4)</f>
        <v>1.77E-2</v>
      </c>
      <c r="D27" s="113">
        <f>ROUND(C5,4)</f>
        <v>2.5100000000000001E-2</v>
      </c>
      <c r="E27" s="114">
        <f>ROUND(E9,2)</f>
        <v>0.47</v>
      </c>
      <c r="F27" s="115">
        <f>ROUND(F13,4)</f>
        <v>-1.1999999999999999E-3</v>
      </c>
      <c r="G27" s="116">
        <f>ROUND(F14,0)</f>
        <v>76</v>
      </c>
      <c r="P27" s="2"/>
      <c r="Q27" s="2"/>
    </row>
    <row r="28" spans="1:17" hidden="1" x14ac:dyDescent="0.2">
      <c r="B28" s="112" t="s">
        <v>36</v>
      </c>
      <c r="C28" s="117"/>
      <c r="D28" s="117"/>
      <c r="E28" s="114">
        <f>ROUND(F9,2)</f>
        <v>1.05</v>
      </c>
      <c r="F28" s="115">
        <f>ROUND(G13,4)</f>
        <v>1.32E-2</v>
      </c>
      <c r="G28" s="116">
        <f>ROUND(G14,0)</f>
        <v>-807</v>
      </c>
      <c r="P28" s="2"/>
      <c r="Q28" s="2"/>
    </row>
    <row r="29" spans="1:17" hidden="1" x14ac:dyDescent="0.2">
      <c r="B29" s="112" t="s">
        <v>37</v>
      </c>
      <c r="C29" s="118" t="s">
        <v>38</v>
      </c>
      <c r="D29" s="118" t="s">
        <v>39</v>
      </c>
      <c r="E29" s="118" t="s">
        <v>12</v>
      </c>
      <c r="F29" s="118" t="s">
        <v>40</v>
      </c>
      <c r="G29" s="118" t="s">
        <v>41</v>
      </c>
      <c r="J29" s="2"/>
      <c r="K29" s="2"/>
      <c r="P29" s="2"/>
      <c r="Q29" s="2"/>
    </row>
    <row r="30" spans="1:17" hidden="1" x14ac:dyDescent="0.2">
      <c r="B30" s="119" t="s">
        <v>42</v>
      </c>
      <c r="C30" s="118" t="str">
        <f>CONCATENATE(C27*100,B29)</f>
        <v>1,77%</v>
      </c>
      <c r="D30" s="118" t="str">
        <f>CONCATENATE(D27*100,B29)</f>
        <v>2,51%</v>
      </c>
      <c r="E30" s="118" t="str">
        <f>CONCATENATE(E26," ",B26,E27,B27,E28,B28)</f>
        <v>0,7 (0,47-1,05)</v>
      </c>
      <c r="F30" s="118" t="str">
        <f>CONCATENATE(F26*100,B29," ",B26,F27*100,B29," ",B30," ",F28*100,B29,B28)</f>
        <v>0,75% (-0,12% a 1,32%)</v>
      </c>
      <c r="G30" s="118" t="str">
        <f>CONCATENATE(G26," ",B26,G27," ",B30," ",G28,B28)</f>
        <v>134 (76 a -807)</v>
      </c>
      <c r="J30" s="2"/>
      <c r="K30" s="2"/>
      <c r="P30" s="2"/>
      <c r="Q30" s="2"/>
    </row>
    <row r="31" spans="1:17" s="7" customFormat="1" hidden="1" x14ac:dyDescent="0.2">
      <c r="A31" s="2"/>
      <c r="B31" s="102"/>
      <c r="C31" s="5"/>
      <c r="D31" s="102"/>
      <c r="E31" s="102"/>
      <c r="F31" s="102"/>
      <c r="G31" s="9"/>
    </row>
    <row r="32" spans="1:17" x14ac:dyDescent="0.2">
      <c r="B32" s="55"/>
      <c r="C32" s="55"/>
      <c r="D32" s="120"/>
      <c r="E32" s="55"/>
      <c r="F32" s="55"/>
      <c r="J32" s="2"/>
      <c r="K32" s="2"/>
      <c r="P32" s="2"/>
      <c r="Q32" s="2"/>
    </row>
    <row r="33" spans="1:13" ht="18.75" customHeight="1" x14ac:dyDescent="0.2">
      <c r="C33" s="121" t="s">
        <v>38</v>
      </c>
      <c r="D33" s="121" t="s">
        <v>39</v>
      </c>
      <c r="E33" s="121" t="s">
        <v>12</v>
      </c>
      <c r="F33" s="121" t="s">
        <v>43</v>
      </c>
      <c r="G33" s="121" t="s">
        <v>41</v>
      </c>
      <c r="L33" s="4"/>
      <c r="M33" s="122"/>
    </row>
    <row r="34" spans="1:13" ht="18.75" customHeight="1" x14ac:dyDescent="0.2">
      <c r="C34" s="123" t="str">
        <f>C30</f>
        <v>1,77%</v>
      </c>
      <c r="D34" s="123" t="str">
        <f>D30</f>
        <v>2,51%</v>
      </c>
      <c r="E34" s="123" t="str">
        <f>E30</f>
        <v>0,7 (0,47-1,05)</v>
      </c>
      <c r="F34" s="123" t="str">
        <f>F30</f>
        <v>0,75% (-0,12% a 1,32%)</v>
      </c>
      <c r="G34" s="123" t="str">
        <f>G30</f>
        <v>134 (76 a -807)</v>
      </c>
      <c r="L34" s="4"/>
      <c r="M34" s="122"/>
    </row>
    <row r="35" spans="1:13" ht="18.75" customHeight="1" x14ac:dyDescent="0.2">
      <c r="C35" s="124"/>
      <c r="D35" s="124"/>
      <c r="E35" s="124"/>
      <c r="F35" s="124"/>
      <c r="G35" s="124"/>
      <c r="L35" s="4"/>
      <c r="M35" s="122"/>
    </row>
    <row r="36" spans="1:13" ht="15" x14ac:dyDescent="0.25">
      <c r="A36" s="1" t="s">
        <v>234</v>
      </c>
      <c r="B36" s="11"/>
      <c r="G36" s="125"/>
      <c r="L36" s="4"/>
      <c r="M36" s="122"/>
    </row>
    <row r="37" spans="1:13" ht="15" x14ac:dyDescent="0.25">
      <c r="A37" s="3" t="s">
        <v>2</v>
      </c>
    </row>
    <row r="38" spans="1:13" ht="15.75" thickBot="1" x14ac:dyDescent="0.3">
      <c r="A38" s="3"/>
    </row>
    <row r="39" spans="1:13" ht="33.75" customHeight="1" thickBot="1" x14ac:dyDescent="0.3">
      <c r="A39" s="3"/>
      <c r="B39" s="486" t="s">
        <v>237</v>
      </c>
      <c r="C39" s="487"/>
      <c r="D39" s="487"/>
      <c r="E39" s="487"/>
      <c r="F39" s="487"/>
      <c r="G39" s="488"/>
    </row>
    <row r="40" spans="1:13" ht="33" customHeight="1" x14ac:dyDescent="0.25">
      <c r="A40" s="3"/>
      <c r="B40" s="481" t="s">
        <v>57</v>
      </c>
      <c r="C40" s="461" t="s">
        <v>58</v>
      </c>
      <c r="D40" s="462" t="s">
        <v>59</v>
      </c>
      <c r="E40" s="483" t="s">
        <v>227</v>
      </c>
      <c r="F40" s="484"/>
      <c r="G40" s="485"/>
    </row>
    <row r="41" spans="1:13" ht="35.25" customHeight="1" thickBot="1" x14ac:dyDescent="0.25">
      <c r="B41" s="482"/>
      <c r="C41" s="446" t="s">
        <v>60</v>
      </c>
      <c r="D41" s="447" t="s">
        <v>61</v>
      </c>
      <c r="E41" s="448" t="s">
        <v>12</v>
      </c>
      <c r="F41" s="449" t="s">
        <v>43</v>
      </c>
      <c r="G41" s="470" t="s">
        <v>44</v>
      </c>
      <c r="I41" s="470" t="s">
        <v>45</v>
      </c>
    </row>
    <row r="42" spans="1:13" ht="7.5" customHeight="1" x14ac:dyDescent="0.25">
      <c r="B42" s="353"/>
      <c r="C42" s="353"/>
      <c r="D42" s="353"/>
      <c r="E42" s="353"/>
      <c r="F42" s="353"/>
      <c r="G42" s="353"/>
      <c r="I42" s="353"/>
    </row>
    <row r="43" spans="1:13" ht="29.25" customHeight="1" x14ac:dyDescent="0.2">
      <c r="B43" s="451" t="s">
        <v>232</v>
      </c>
      <c r="C43" s="452" t="s">
        <v>46</v>
      </c>
      <c r="D43" s="452" t="s">
        <v>47</v>
      </c>
      <c r="E43" s="453" t="s">
        <v>48</v>
      </c>
      <c r="F43" s="453" t="s">
        <v>49</v>
      </c>
      <c r="G43" s="463" t="s">
        <v>50</v>
      </c>
      <c r="I43" s="463" t="s">
        <v>51</v>
      </c>
    </row>
    <row r="44" spans="1:13" ht="33" customHeight="1" x14ac:dyDescent="0.2">
      <c r="B44" s="451" t="s">
        <v>52</v>
      </c>
      <c r="C44" s="452">
        <v>5.3400000000000003E-2</v>
      </c>
      <c r="D44" s="452">
        <v>7.5399999999999995E-2</v>
      </c>
      <c r="E44" s="453" t="s">
        <v>53</v>
      </c>
      <c r="F44" s="453" t="s">
        <v>54</v>
      </c>
      <c r="G44" s="458" t="s">
        <v>55</v>
      </c>
      <c r="I44" s="458" t="s">
        <v>56</v>
      </c>
    </row>
    <row r="45" spans="1:13" ht="3.75" customHeight="1" x14ac:dyDescent="0.2">
      <c r="B45" s="466"/>
      <c r="C45" s="467"/>
      <c r="D45" s="467"/>
      <c r="E45" s="468"/>
      <c r="F45" s="468"/>
      <c r="G45" s="469"/>
      <c r="I45" s="469"/>
    </row>
    <row r="46" spans="1:13" ht="29.25" customHeight="1" x14ac:dyDescent="0.2">
      <c r="B46" s="471" t="s">
        <v>233</v>
      </c>
      <c r="C46" s="472"/>
      <c r="D46" s="472"/>
      <c r="E46" s="472"/>
      <c r="F46" s="472"/>
      <c r="G46" s="473"/>
    </row>
  </sheetData>
  <mergeCells count="7">
    <mergeCell ref="B46:G46"/>
    <mergeCell ref="A2:G2"/>
    <mergeCell ref="A3:G3"/>
    <mergeCell ref="D7:F7"/>
    <mergeCell ref="B40:B41"/>
    <mergeCell ref="E40:G40"/>
    <mergeCell ref="B39:G39"/>
  </mergeCells>
  <pageMargins left="0.7" right="0.7" top="0.75" bottom="0.75" header="0.3" footer="0.3"/>
  <ignoredErrors>
    <ignoredError sqref="C43:D44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workbookViewId="0"/>
  </sheetViews>
  <sheetFormatPr baseColWidth="10" defaultRowHeight="12.75" x14ac:dyDescent="0.2"/>
  <cols>
    <col min="1" max="1" width="42.7109375" style="2" customWidth="1"/>
    <col min="2" max="2" width="19.85546875" style="2" customWidth="1"/>
    <col min="3" max="4" width="20.140625" style="2" customWidth="1"/>
    <col min="5" max="5" width="23.28515625" style="2" customWidth="1"/>
    <col min="6" max="6" width="24.5703125" style="2" customWidth="1"/>
    <col min="7" max="7" width="17" style="2" customWidth="1"/>
    <col min="8" max="8" width="15.42578125" style="2" customWidth="1"/>
    <col min="9" max="9" width="15.5703125" style="2" customWidth="1"/>
    <col min="10" max="10" width="14.85546875" style="2" customWidth="1"/>
    <col min="11" max="11" width="11.28515625" style="2" bestFit="1" customWidth="1"/>
    <col min="12" max="12" width="10.28515625" style="2" bestFit="1" customWidth="1"/>
    <col min="13" max="13" width="12.7109375" style="2" bestFit="1" customWidth="1"/>
    <col min="14" max="14" width="12.42578125" style="7" bestFit="1" customWidth="1"/>
    <col min="15" max="15" width="11.42578125" style="7"/>
    <col min="16" max="16" width="12.140625" style="2" bestFit="1" customWidth="1"/>
    <col min="17" max="17" width="11.42578125" style="2"/>
    <col min="18" max="18" width="12.140625" style="2" bestFit="1" customWidth="1"/>
    <col min="19" max="19" width="11.42578125" style="2"/>
    <col min="20" max="21" width="11.42578125" style="7"/>
    <col min="22" max="22" width="11.42578125" style="2"/>
    <col min="23" max="23" width="11.140625" style="2" customWidth="1"/>
    <col min="24" max="256" width="11.42578125" style="2"/>
    <col min="257" max="257" width="42.7109375" style="2" customWidth="1"/>
    <col min="258" max="258" width="19.85546875" style="2" customWidth="1"/>
    <col min="259" max="260" width="20.140625" style="2" customWidth="1"/>
    <col min="261" max="261" width="23.28515625" style="2" customWidth="1"/>
    <col min="262" max="262" width="24.5703125" style="2" customWidth="1"/>
    <col min="263" max="263" width="17" style="2" customWidth="1"/>
    <col min="264" max="264" width="15.42578125" style="2" customWidth="1"/>
    <col min="265" max="265" width="15.5703125" style="2" customWidth="1"/>
    <col min="266" max="266" width="14.85546875" style="2" customWidth="1"/>
    <col min="267" max="267" width="11.28515625" style="2" bestFit="1" customWidth="1"/>
    <col min="268" max="268" width="10.28515625" style="2" bestFit="1" customWidth="1"/>
    <col min="269" max="269" width="12.7109375" style="2" bestFit="1" customWidth="1"/>
    <col min="270" max="270" width="12.42578125" style="2" bestFit="1" customWidth="1"/>
    <col min="271" max="271" width="11.42578125" style="2"/>
    <col min="272" max="272" width="12.140625" style="2" bestFit="1" customWidth="1"/>
    <col min="273" max="273" width="11.42578125" style="2"/>
    <col min="274" max="274" width="12.140625" style="2" bestFit="1" customWidth="1"/>
    <col min="275" max="278" width="11.42578125" style="2"/>
    <col min="279" max="279" width="11.140625" style="2" customWidth="1"/>
    <col min="280" max="512" width="11.42578125" style="2"/>
    <col min="513" max="513" width="42.7109375" style="2" customWidth="1"/>
    <col min="514" max="514" width="19.85546875" style="2" customWidth="1"/>
    <col min="515" max="516" width="20.140625" style="2" customWidth="1"/>
    <col min="517" max="517" width="23.28515625" style="2" customWidth="1"/>
    <col min="518" max="518" width="24.5703125" style="2" customWidth="1"/>
    <col min="519" max="519" width="17" style="2" customWidth="1"/>
    <col min="520" max="520" width="15.42578125" style="2" customWidth="1"/>
    <col min="521" max="521" width="15.5703125" style="2" customWidth="1"/>
    <col min="522" max="522" width="14.85546875" style="2" customWidth="1"/>
    <col min="523" max="523" width="11.28515625" style="2" bestFit="1" customWidth="1"/>
    <col min="524" max="524" width="10.28515625" style="2" bestFit="1" customWidth="1"/>
    <col min="525" max="525" width="12.7109375" style="2" bestFit="1" customWidth="1"/>
    <col min="526" max="526" width="12.42578125" style="2" bestFit="1" customWidth="1"/>
    <col min="527" max="527" width="11.42578125" style="2"/>
    <col min="528" max="528" width="12.140625" style="2" bestFit="1" customWidth="1"/>
    <col min="529" max="529" width="11.42578125" style="2"/>
    <col min="530" max="530" width="12.140625" style="2" bestFit="1" customWidth="1"/>
    <col min="531" max="534" width="11.42578125" style="2"/>
    <col min="535" max="535" width="11.140625" style="2" customWidth="1"/>
    <col min="536" max="768" width="11.42578125" style="2"/>
    <col min="769" max="769" width="42.7109375" style="2" customWidth="1"/>
    <col min="770" max="770" width="19.85546875" style="2" customWidth="1"/>
    <col min="771" max="772" width="20.140625" style="2" customWidth="1"/>
    <col min="773" max="773" width="23.28515625" style="2" customWidth="1"/>
    <col min="774" max="774" width="24.5703125" style="2" customWidth="1"/>
    <col min="775" max="775" width="17" style="2" customWidth="1"/>
    <col min="776" max="776" width="15.42578125" style="2" customWidth="1"/>
    <col min="777" max="777" width="15.5703125" style="2" customWidth="1"/>
    <col min="778" max="778" width="14.85546875" style="2" customWidth="1"/>
    <col min="779" max="779" width="11.28515625" style="2" bestFit="1" customWidth="1"/>
    <col min="780" max="780" width="10.28515625" style="2" bestFit="1" customWidth="1"/>
    <col min="781" max="781" width="12.7109375" style="2" bestFit="1" customWidth="1"/>
    <col min="782" max="782" width="12.42578125" style="2" bestFit="1" customWidth="1"/>
    <col min="783" max="783" width="11.42578125" style="2"/>
    <col min="784" max="784" width="12.140625" style="2" bestFit="1" customWidth="1"/>
    <col min="785" max="785" width="11.42578125" style="2"/>
    <col min="786" max="786" width="12.140625" style="2" bestFit="1" customWidth="1"/>
    <col min="787" max="790" width="11.42578125" style="2"/>
    <col min="791" max="791" width="11.140625" style="2" customWidth="1"/>
    <col min="792" max="1024" width="11.42578125" style="2"/>
    <col min="1025" max="1025" width="42.7109375" style="2" customWidth="1"/>
    <col min="1026" max="1026" width="19.85546875" style="2" customWidth="1"/>
    <col min="1027" max="1028" width="20.140625" style="2" customWidth="1"/>
    <col min="1029" max="1029" width="23.28515625" style="2" customWidth="1"/>
    <col min="1030" max="1030" width="24.5703125" style="2" customWidth="1"/>
    <col min="1031" max="1031" width="17" style="2" customWidth="1"/>
    <col min="1032" max="1032" width="15.42578125" style="2" customWidth="1"/>
    <col min="1033" max="1033" width="15.5703125" style="2" customWidth="1"/>
    <col min="1034" max="1034" width="14.85546875" style="2" customWidth="1"/>
    <col min="1035" max="1035" width="11.28515625" style="2" bestFit="1" customWidth="1"/>
    <col min="1036" max="1036" width="10.28515625" style="2" bestFit="1" customWidth="1"/>
    <col min="1037" max="1037" width="12.7109375" style="2" bestFit="1" customWidth="1"/>
    <col min="1038" max="1038" width="12.42578125" style="2" bestFit="1" customWidth="1"/>
    <col min="1039" max="1039" width="11.42578125" style="2"/>
    <col min="1040" max="1040" width="12.140625" style="2" bestFit="1" customWidth="1"/>
    <col min="1041" max="1041" width="11.42578125" style="2"/>
    <col min="1042" max="1042" width="12.140625" style="2" bestFit="1" customWidth="1"/>
    <col min="1043" max="1046" width="11.42578125" style="2"/>
    <col min="1047" max="1047" width="11.140625" style="2" customWidth="1"/>
    <col min="1048" max="1280" width="11.42578125" style="2"/>
    <col min="1281" max="1281" width="42.7109375" style="2" customWidth="1"/>
    <col min="1282" max="1282" width="19.85546875" style="2" customWidth="1"/>
    <col min="1283" max="1284" width="20.140625" style="2" customWidth="1"/>
    <col min="1285" max="1285" width="23.28515625" style="2" customWidth="1"/>
    <col min="1286" max="1286" width="24.5703125" style="2" customWidth="1"/>
    <col min="1287" max="1287" width="17" style="2" customWidth="1"/>
    <col min="1288" max="1288" width="15.42578125" style="2" customWidth="1"/>
    <col min="1289" max="1289" width="15.5703125" style="2" customWidth="1"/>
    <col min="1290" max="1290" width="14.85546875" style="2" customWidth="1"/>
    <col min="1291" max="1291" width="11.28515625" style="2" bestFit="1" customWidth="1"/>
    <col min="1292" max="1292" width="10.28515625" style="2" bestFit="1" customWidth="1"/>
    <col min="1293" max="1293" width="12.7109375" style="2" bestFit="1" customWidth="1"/>
    <col min="1294" max="1294" width="12.42578125" style="2" bestFit="1" customWidth="1"/>
    <col min="1295" max="1295" width="11.42578125" style="2"/>
    <col min="1296" max="1296" width="12.140625" style="2" bestFit="1" customWidth="1"/>
    <col min="1297" max="1297" width="11.42578125" style="2"/>
    <col min="1298" max="1298" width="12.140625" style="2" bestFit="1" customWidth="1"/>
    <col min="1299" max="1302" width="11.42578125" style="2"/>
    <col min="1303" max="1303" width="11.140625" style="2" customWidth="1"/>
    <col min="1304" max="1536" width="11.42578125" style="2"/>
    <col min="1537" max="1537" width="42.7109375" style="2" customWidth="1"/>
    <col min="1538" max="1538" width="19.85546875" style="2" customWidth="1"/>
    <col min="1539" max="1540" width="20.140625" style="2" customWidth="1"/>
    <col min="1541" max="1541" width="23.28515625" style="2" customWidth="1"/>
    <col min="1542" max="1542" width="24.5703125" style="2" customWidth="1"/>
    <col min="1543" max="1543" width="17" style="2" customWidth="1"/>
    <col min="1544" max="1544" width="15.42578125" style="2" customWidth="1"/>
    <col min="1545" max="1545" width="15.5703125" style="2" customWidth="1"/>
    <col min="1546" max="1546" width="14.85546875" style="2" customWidth="1"/>
    <col min="1547" max="1547" width="11.28515625" style="2" bestFit="1" customWidth="1"/>
    <col min="1548" max="1548" width="10.28515625" style="2" bestFit="1" customWidth="1"/>
    <col min="1549" max="1549" width="12.7109375" style="2" bestFit="1" customWidth="1"/>
    <col min="1550" max="1550" width="12.42578125" style="2" bestFit="1" customWidth="1"/>
    <col min="1551" max="1551" width="11.42578125" style="2"/>
    <col min="1552" max="1552" width="12.140625" style="2" bestFit="1" customWidth="1"/>
    <col min="1553" max="1553" width="11.42578125" style="2"/>
    <col min="1554" max="1554" width="12.140625" style="2" bestFit="1" customWidth="1"/>
    <col min="1555" max="1558" width="11.42578125" style="2"/>
    <col min="1559" max="1559" width="11.140625" style="2" customWidth="1"/>
    <col min="1560" max="1792" width="11.42578125" style="2"/>
    <col min="1793" max="1793" width="42.7109375" style="2" customWidth="1"/>
    <col min="1794" max="1794" width="19.85546875" style="2" customWidth="1"/>
    <col min="1795" max="1796" width="20.140625" style="2" customWidth="1"/>
    <col min="1797" max="1797" width="23.28515625" style="2" customWidth="1"/>
    <col min="1798" max="1798" width="24.5703125" style="2" customWidth="1"/>
    <col min="1799" max="1799" width="17" style="2" customWidth="1"/>
    <col min="1800" max="1800" width="15.42578125" style="2" customWidth="1"/>
    <col min="1801" max="1801" width="15.5703125" style="2" customWidth="1"/>
    <col min="1802" max="1802" width="14.85546875" style="2" customWidth="1"/>
    <col min="1803" max="1803" width="11.28515625" style="2" bestFit="1" customWidth="1"/>
    <col min="1804" max="1804" width="10.28515625" style="2" bestFit="1" customWidth="1"/>
    <col min="1805" max="1805" width="12.7109375" style="2" bestFit="1" customWidth="1"/>
    <col min="1806" max="1806" width="12.42578125" style="2" bestFit="1" customWidth="1"/>
    <col min="1807" max="1807" width="11.42578125" style="2"/>
    <col min="1808" max="1808" width="12.140625" style="2" bestFit="1" customWidth="1"/>
    <col min="1809" max="1809" width="11.42578125" style="2"/>
    <col min="1810" max="1810" width="12.140625" style="2" bestFit="1" customWidth="1"/>
    <col min="1811" max="1814" width="11.42578125" style="2"/>
    <col min="1815" max="1815" width="11.140625" style="2" customWidth="1"/>
    <col min="1816" max="2048" width="11.42578125" style="2"/>
    <col min="2049" max="2049" width="42.7109375" style="2" customWidth="1"/>
    <col min="2050" max="2050" width="19.85546875" style="2" customWidth="1"/>
    <col min="2051" max="2052" width="20.140625" style="2" customWidth="1"/>
    <col min="2053" max="2053" width="23.28515625" style="2" customWidth="1"/>
    <col min="2054" max="2054" width="24.5703125" style="2" customWidth="1"/>
    <col min="2055" max="2055" width="17" style="2" customWidth="1"/>
    <col min="2056" max="2056" width="15.42578125" style="2" customWidth="1"/>
    <col min="2057" max="2057" width="15.5703125" style="2" customWidth="1"/>
    <col min="2058" max="2058" width="14.85546875" style="2" customWidth="1"/>
    <col min="2059" max="2059" width="11.28515625" style="2" bestFit="1" customWidth="1"/>
    <col min="2060" max="2060" width="10.28515625" style="2" bestFit="1" customWidth="1"/>
    <col min="2061" max="2061" width="12.7109375" style="2" bestFit="1" customWidth="1"/>
    <col min="2062" max="2062" width="12.42578125" style="2" bestFit="1" customWidth="1"/>
    <col min="2063" max="2063" width="11.42578125" style="2"/>
    <col min="2064" max="2064" width="12.140625" style="2" bestFit="1" customWidth="1"/>
    <col min="2065" max="2065" width="11.42578125" style="2"/>
    <col min="2066" max="2066" width="12.140625" style="2" bestFit="1" customWidth="1"/>
    <col min="2067" max="2070" width="11.42578125" style="2"/>
    <col min="2071" max="2071" width="11.140625" style="2" customWidth="1"/>
    <col min="2072" max="2304" width="11.42578125" style="2"/>
    <col min="2305" max="2305" width="42.7109375" style="2" customWidth="1"/>
    <col min="2306" max="2306" width="19.85546875" style="2" customWidth="1"/>
    <col min="2307" max="2308" width="20.140625" style="2" customWidth="1"/>
    <col min="2309" max="2309" width="23.28515625" style="2" customWidth="1"/>
    <col min="2310" max="2310" width="24.5703125" style="2" customWidth="1"/>
    <col min="2311" max="2311" width="17" style="2" customWidth="1"/>
    <col min="2312" max="2312" width="15.42578125" style="2" customWidth="1"/>
    <col min="2313" max="2313" width="15.5703125" style="2" customWidth="1"/>
    <col min="2314" max="2314" width="14.85546875" style="2" customWidth="1"/>
    <col min="2315" max="2315" width="11.28515625" style="2" bestFit="1" customWidth="1"/>
    <col min="2316" max="2316" width="10.28515625" style="2" bestFit="1" customWidth="1"/>
    <col min="2317" max="2317" width="12.7109375" style="2" bestFit="1" customWidth="1"/>
    <col min="2318" max="2318" width="12.42578125" style="2" bestFit="1" customWidth="1"/>
    <col min="2319" max="2319" width="11.42578125" style="2"/>
    <col min="2320" max="2320" width="12.140625" style="2" bestFit="1" customWidth="1"/>
    <col min="2321" max="2321" width="11.42578125" style="2"/>
    <col min="2322" max="2322" width="12.140625" style="2" bestFit="1" customWidth="1"/>
    <col min="2323" max="2326" width="11.42578125" style="2"/>
    <col min="2327" max="2327" width="11.140625" style="2" customWidth="1"/>
    <col min="2328" max="2560" width="11.42578125" style="2"/>
    <col min="2561" max="2561" width="42.7109375" style="2" customWidth="1"/>
    <col min="2562" max="2562" width="19.85546875" style="2" customWidth="1"/>
    <col min="2563" max="2564" width="20.140625" style="2" customWidth="1"/>
    <col min="2565" max="2565" width="23.28515625" style="2" customWidth="1"/>
    <col min="2566" max="2566" width="24.5703125" style="2" customWidth="1"/>
    <col min="2567" max="2567" width="17" style="2" customWidth="1"/>
    <col min="2568" max="2568" width="15.42578125" style="2" customWidth="1"/>
    <col min="2569" max="2569" width="15.5703125" style="2" customWidth="1"/>
    <col min="2570" max="2570" width="14.85546875" style="2" customWidth="1"/>
    <col min="2571" max="2571" width="11.28515625" style="2" bestFit="1" customWidth="1"/>
    <col min="2572" max="2572" width="10.28515625" style="2" bestFit="1" customWidth="1"/>
    <col min="2573" max="2573" width="12.7109375" style="2" bestFit="1" customWidth="1"/>
    <col min="2574" max="2574" width="12.42578125" style="2" bestFit="1" customWidth="1"/>
    <col min="2575" max="2575" width="11.42578125" style="2"/>
    <col min="2576" max="2576" width="12.140625" style="2" bestFit="1" customWidth="1"/>
    <col min="2577" max="2577" width="11.42578125" style="2"/>
    <col min="2578" max="2578" width="12.140625" style="2" bestFit="1" customWidth="1"/>
    <col min="2579" max="2582" width="11.42578125" style="2"/>
    <col min="2583" max="2583" width="11.140625" style="2" customWidth="1"/>
    <col min="2584" max="2816" width="11.42578125" style="2"/>
    <col min="2817" max="2817" width="42.7109375" style="2" customWidth="1"/>
    <col min="2818" max="2818" width="19.85546875" style="2" customWidth="1"/>
    <col min="2819" max="2820" width="20.140625" style="2" customWidth="1"/>
    <col min="2821" max="2821" width="23.28515625" style="2" customWidth="1"/>
    <col min="2822" max="2822" width="24.5703125" style="2" customWidth="1"/>
    <col min="2823" max="2823" width="17" style="2" customWidth="1"/>
    <col min="2824" max="2824" width="15.42578125" style="2" customWidth="1"/>
    <col min="2825" max="2825" width="15.5703125" style="2" customWidth="1"/>
    <col min="2826" max="2826" width="14.85546875" style="2" customWidth="1"/>
    <col min="2827" max="2827" width="11.28515625" style="2" bestFit="1" customWidth="1"/>
    <col min="2828" max="2828" width="10.28515625" style="2" bestFit="1" customWidth="1"/>
    <col min="2829" max="2829" width="12.7109375" style="2" bestFit="1" customWidth="1"/>
    <col min="2830" max="2830" width="12.42578125" style="2" bestFit="1" customWidth="1"/>
    <col min="2831" max="2831" width="11.42578125" style="2"/>
    <col min="2832" max="2832" width="12.140625" style="2" bestFit="1" customWidth="1"/>
    <col min="2833" max="2833" width="11.42578125" style="2"/>
    <col min="2834" max="2834" width="12.140625" style="2" bestFit="1" customWidth="1"/>
    <col min="2835" max="2838" width="11.42578125" style="2"/>
    <col min="2839" max="2839" width="11.140625" style="2" customWidth="1"/>
    <col min="2840" max="3072" width="11.42578125" style="2"/>
    <col min="3073" max="3073" width="42.7109375" style="2" customWidth="1"/>
    <col min="3074" max="3074" width="19.85546875" style="2" customWidth="1"/>
    <col min="3075" max="3076" width="20.140625" style="2" customWidth="1"/>
    <col min="3077" max="3077" width="23.28515625" style="2" customWidth="1"/>
    <col min="3078" max="3078" width="24.5703125" style="2" customWidth="1"/>
    <col min="3079" max="3079" width="17" style="2" customWidth="1"/>
    <col min="3080" max="3080" width="15.42578125" style="2" customWidth="1"/>
    <col min="3081" max="3081" width="15.5703125" style="2" customWidth="1"/>
    <col min="3082" max="3082" width="14.85546875" style="2" customWidth="1"/>
    <col min="3083" max="3083" width="11.28515625" style="2" bestFit="1" customWidth="1"/>
    <col min="3084" max="3084" width="10.28515625" style="2" bestFit="1" customWidth="1"/>
    <col min="3085" max="3085" width="12.7109375" style="2" bestFit="1" customWidth="1"/>
    <col min="3086" max="3086" width="12.42578125" style="2" bestFit="1" customWidth="1"/>
    <col min="3087" max="3087" width="11.42578125" style="2"/>
    <col min="3088" max="3088" width="12.140625" style="2" bestFit="1" customWidth="1"/>
    <col min="3089" max="3089" width="11.42578125" style="2"/>
    <col min="3090" max="3090" width="12.140625" style="2" bestFit="1" customWidth="1"/>
    <col min="3091" max="3094" width="11.42578125" style="2"/>
    <col min="3095" max="3095" width="11.140625" style="2" customWidth="1"/>
    <col min="3096" max="3328" width="11.42578125" style="2"/>
    <col min="3329" max="3329" width="42.7109375" style="2" customWidth="1"/>
    <col min="3330" max="3330" width="19.85546875" style="2" customWidth="1"/>
    <col min="3331" max="3332" width="20.140625" style="2" customWidth="1"/>
    <col min="3333" max="3333" width="23.28515625" style="2" customWidth="1"/>
    <col min="3334" max="3334" width="24.5703125" style="2" customWidth="1"/>
    <col min="3335" max="3335" width="17" style="2" customWidth="1"/>
    <col min="3336" max="3336" width="15.42578125" style="2" customWidth="1"/>
    <col min="3337" max="3337" width="15.5703125" style="2" customWidth="1"/>
    <col min="3338" max="3338" width="14.85546875" style="2" customWidth="1"/>
    <col min="3339" max="3339" width="11.28515625" style="2" bestFit="1" customWidth="1"/>
    <col min="3340" max="3340" width="10.28515625" style="2" bestFit="1" customWidth="1"/>
    <col min="3341" max="3341" width="12.7109375" style="2" bestFit="1" customWidth="1"/>
    <col min="3342" max="3342" width="12.42578125" style="2" bestFit="1" customWidth="1"/>
    <col min="3343" max="3343" width="11.42578125" style="2"/>
    <col min="3344" max="3344" width="12.140625" style="2" bestFit="1" customWidth="1"/>
    <col min="3345" max="3345" width="11.42578125" style="2"/>
    <col min="3346" max="3346" width="12.140625" style="2" bestFit="1" customWidth="1"/>
    <col min="3347" max="3350" width="11.42578125" style="2"/>
    <col min="3351" max="3351" width="11.140625" style="2" customWidth="1"/>
    <col min="3352" max="3584" width="11.42578125" style="2"/>
    <col min="3585" max="3585" width="42.7109375" style="2" customWidth="1"/>
    <col min="3586" max="3586" width="19.85546875" style="2" customWidth="1"/>
    <col min="3587" max="3588" width="20.140625" style="2" customWidth="1"/>
    <col min="3589" max="3589" width="23.28515625" style="2" customWidth="1"/>
    <col min="3590" max="3590" width="24.5703125" style="2" customWidth="1"/>
    <col min="3591" max="3591" width="17" style="2" customWidth="1"/>
    <col min="3592" max="3592" width="15.42578125" style="2" customWidth="1"/>
    <col min="3593" max="3593" width="15.5703125" style="2" customWidth="1"/>
    <col min="3594" max="3594" width="14.85546875" style="2" customWidth="1"/>
    <col min="3595" max="3595" width="11.28515625" style="2" bestFit="1" customWidth="1"/>
    <col min="3596" max="3596" width="10.28515625" style="2" bestFit="1" customWidth="1"/>
    <col min="3597" max="3597" width="12.7109375" style="2" bestFit="1" customWidth="1"/>
    <col min="3598" max="3598" width="12.42578125" style="2" bestFit="1" customWidth="1"/>
    <col min="3599" max="3599" width="11.42578125" style="2"/>
    <col min="3600" max="3600" width="12.140625" style="2" bestFit="1" customWidth="1"/>
    <col min="3601" max="3601" width="11.42578125" style="2"/>
    <col min="3602" max="3602" width="12.140625" style="2" bestFit="1" customWidth="1"/>
    <col min="3603" max="3606" width="11.42578125" style="2"/>
    <col min="3607" max="3607" width="11.140625" style="2" customWidth="1"/>
    <col min="3608" max="3840" width="11.42578125" style="2"/>
    <col min="3841" max="3841" width="42.7109375" style="2" customWidth="1"/>
    <col min="3842" max="3842" width="19.85546875" style="2" customWidth="1"/>
    <col min="3843" max="3844" width="20.140625" style="2" customWidth="1"/>
    <col min="3845" max="3845" width="23.28515625" style="2" customWidth="1"/>
    <col min="3846" max="3846" width="24.5703125" style="2" customWidth="1"/>
    <col min="3847" max="3847" width="17" style="2" customWidth="1"/>
    <col min="3848" max="3848" width="15.42578125" style="2" customWidth="1"/>
    <col min="3849" max="3849" width="15.5703125" style="2" customWidth="1"/>
    <col min="3850" max="3850" width="14.85546875" style="2" customWidth="1"/>
    <col min="3851" max="3851" width="11.28515625" style="2" bestFit="1" customWidth="1"/>
    <col min="3852" max="3852" width="10.28515625" style="2" bestFit="1" customWidth="1"/>
    <col min="3853" max="3853" width="12.7109375" style="2" bestFit="1" customWidth="1"/>
    <col min="3854" max="3854" width="12.42578125" style="2" bestFit="1" customWidth="1"/>
    <col min="3855" max="3855" width="11.42578125" style="2"/>
    <col min="3856" max="3856" width="12.140625" style="2" bestFit="1" customWidth="1"/>
    <col min="3857" max="3857" width="11.42578125" style="2"/>
    <col min="3858" max="3858" width="12.140625" style="2" bestFit="1" customWidth="1"/>
    <col min="3859" max="3862" width="11.42578125" style="2"/>
    <col min="3863" max="3863" width="11.140625" style="2" customWidth="1"/>
    <col min="3864" max="4096" width="11.42578125" style="2"/>
    <col min="4097" max="4097" width="42.7109375" style="2" customWidth="1"/>
    <col min="4098" max="4098" width="19.85546875" style="2" customWidth="1"/>
    <col min="4099" max="4100" width="20.140625" style="2" customWidth="1"/>
    <col min="4101" max="4101" width="23.28515625" style="2" customWidth="1"/>
    <col min="4102" max="4102" width="24.5703125" style="2" customWidth="1"/>
    <col min="4103" max="4103" width="17" style="2" customWidth="1"/>
    <col min="4104" max="4104" width="15.42578125" style="2" customWidth="1"/>
    <col min="4105" max="4105" width="15.5703125" style="2" customWidth="1"/>
    <col min="4106" max="4106" width="14.85546875" style="2" customWidth="1"/>
    <col min="4107" max="4107" width="11.28515625" style="2" bestFit="1" customWidth="1"/>
    <col min="4108" max="4108" width="10.28515625" style="2" bestFit="1" customWidth="1"/>
    <col min="4109" max="4109" width="12.7109375" style="2" bestFit="1" customWidth="1"/>
    <col min="4110" max="4110" width="12.42578125" style="2" bestFit="1" customWidth="1"/>
    <col min="4111" max="4111" width="11.42578125" style="2"/>
    <col min="4112" max="4112" width="12.140625" style="2" bestFit="1" customWidth="1"/>
    <col min="4113" max="4113" width="11.42578125" style="2"/>
    <col min="4114" max="4114" width="12.140625" style="2" bestFit="1" customWidth="1"/>
    <col min="4115" max="4118" width="11.42578125" style="2"/>
    <col min="4119" max="4119" width="11.140625" style="2" customWidth="1"/>
    <col min="4120" max="4352" width="11.42578125" style="2"/>
    <col min="4353" max="4353" width="42.7109375" style="2" customWidth="1"/>
    <col min="4354" max="4354" width="19.85546875" style="2" customWidth="1"/>
    <col min="4355" max="4356" width="20.140625" style="2" customWidth="1"/>
    <col min="4357" max="4357" width="23.28515625" style="2" customWidth="1"/>
    <col min="4358" max="4358" width="24.5703125" style="2" customWidth="1"/>
    <col min="4359" max="4359" width="17" style="2" customWidth="1"/>
    <col min="4360" max="4360" width="15.42578125" style="2" customWidth="1"/>
    <col min="4361" max="4361" width="15.5703125" style="2" customWidth="1"/>
    <col min="4362" max="4362" width="14.85546875" style="2" customWidth="1"/>
    <col min="4363" max="4363" width="11.28515625" style="2" bestFit="1" customWidth="1"/>
    <col min="4364" max="4364" width="10.28515625" style="2" bestFit="1" customWidth="1"/>
    <col min="4365" max="4365" width="12.7109375" style="2" bestFit="1" customWidth="1"/>
    <col min="4366" max="4366" width="12.42578125" style="2" bestFit="1" customWidth="1"/>
    <col min="4367" max="4367" width="11.42578125" style="2"/>
    <col min="4368" max="4368" width="12.140625" style="2" bestFit="1" customWidth="1"/>
    <col min="4369" max="4369" width="11.42578125" style="2"/>
    <col min="4370" max="4370" width="12.140625" style="2" bestFit="1" customWidth="1"/>
    <col min="4371" max="4374" width="11.42578125" style="2"/>
    <col min="4375" max="4375" width="11.140625" style="2" customWidth="1"/>
    <col min="4376" max="4608" width="11.42578125" style="2"/>
    <col min="4609" max="4609" width="42.7109375" style="2" customWidth="1"/>
    <col min="4610" max="4610" width="19.85546875" style="2" customWidth="1"/>
    <col min="4611" max="4612" width="20.140625" style="2" customWidth="1"/>
    <col min="4613" max="4613" width="23.28515625" style="2" customWidth="1"/>
    <col min="4614" max="4614" width="24.5703125" style="2" customWidth="1"/>
    <col min="4615" max="4615" width="17" style="2" customWidth="1"/>
    <col min="4616" max="4616" width="15.42578125" style="2" customWidth="1"/>
    <col min="4617" max="4617" width="15.5703125" style="2" customWidth="1"/>
    <col min="4618" max="4618" width="14.85546875" style="2" customWidth="1"/>
    <col min="4619" max="4619" width="11.28515625" style="2" bestFit="1" customWidth="1"/>
    <col min="4620" max="4620" width="10.28515625" style="2" bestFit="1" customWidth="1"/>
    <col min="4621" max="4621" width="12.7109375" style="2" bestFit="1" customWidth="1"/>
    <col min="4622" max="4622" width="12.42578125" style="2" bestFit="1" customWidth="1"/>
    <col min="4623" max="4623" width="11.42578125" style="2"/>
    <col min="4624" max="4624" width="12.140625" style="2" bestFit="1" customWidth="1"/>
    <col min="4625" max="4625" width="11.42578125" style="2"/>
    <col min="4626" max="4626" width="12.140625" style="2" bestFit="1" customWidth="1"/>
    <col min="4627" max="4630" width="11.42578125" style="2"/>
    <col min="4631" max="4631" width="11.140625" style="2" customWidth="1"/>
    <col min="4632" max="4864" width="11.42578125" style="2"/>
    <col min="4865" max="4865" width="42.7109375" style="2" customWidth="1"/>
    <col min="4866" max="4866" width="19.85546875" style="2" customWidth="1"/>
    <col min="4867" max="4868" width="20.140625" style="2" customWidth="1"/>
    <col min="4869" max="4869" width="23.28515625" style="2" customWidth="1"/>
    <col min="4870" max="4870" width="24.5703125" style="2" customWidth="1"/>
    <col min="4871" max="4871" width="17" style="2" customWidth="1"/>
    <col min="4872" max="4872" width="15.42578125" style="2" customWidth="1"/>
    <col min="4873" max="4873" width="15.5703125" style="2" customWidth="1"/>
    <col min="4874" max="4874" width="14.85546875" style="2" customWidth="1"/>
    <col min="4875" max="4875" width="11.28515625" style="2" bestFit="1" customWidth="1"/>
    <col min="4876" max="4876" width="10.28515625" style="2" bestFit="1" customWidth="1"/>
    <col min="4877" max="4877" width="12.7109375" style="2" bestFit="1" customWidth="1"/>
    <col min="4878" max="4878" width="12.42578125" style="2" bestFit="1" customWidth="1"/>
    <col min="4879" max="4879" width="11.42578125" style="2"/>
    <col min="4880" max="4880" width="12.140625" style="2" bestFit="1" customWidth="1"/>
    <col min="4881" max="4881" width="11.42578125" style="2"/>
    <col min="4882" max="4882" width="12.140625" style="2" bestFit="1" customWidth="1"/>
    <col min="4883" max="4886" width="11.42578125" style="2"/>
    <col min="4887" max="4887" width="11.140625" style="2" customWidth="1"/>
    <col min="4888" max="5120" width="11.42578125" style="2"/>
    <col min="5121" max="5121" width="42.7109375" style="2" customWidth="1"/>
    <col min="5122" max="5122" width="19.85546875" style="2" customWidth="1"/>
    <col min="5123" max="5124" width="20.140625" style="2" customWidth="1"/>
    <col min="5125" max="5125" width="23.28515625" style="2" customWidth="1"/>
    <col min="5126" max="5126" width="24.5703125" style="2" customWidth="1"/>
    <col min="5127" max="5127" width="17" style="2" customWidth="1"/>
    <col min="5128" max="5128" width="15.42578125" style="2" customWidth="1"/>
    <col min="5129" max="5129" width="15.5703125" style="2" customWidth="1"/>
    <col min="5130" max="5130" width="14.85546875" style="2" customWidth="1"/>
    <col min="5131" max="5131" width="11.28515625" style="2" bestFit="1" customWidth="1"/>
    <col min="5132" max="5132" width="10.28515625" style="2" bestFit="1" customWidth="1"/>
    <col min="5133" max="5133" width="12.7109375" style="2" bestFit="1" customWidth="1"/>
    <col min="5134" max="5134" width="12.42578125" style="2" bestFit="1" customWidth="1"/>
    <col min="5135" max="5135" width="11.42578125" style="2"/>
    <col min="5136" max="5136" width="12.140625" style="2" bestFit="1" customWidth="1"/>
    <col min="5137" max="5137" width="11.42578125" style="2"/>
    <col min="5138" max="5138" width="12.140625" style="2" bestFit="1" customWidth="1"/>
    <col min="5139" max="5142" width="11.42578125" style="2"/>
    <col min="5143" max="5143" width="11.140625" style="2" customWidth="1"/>
    <col min="5144" max="5376" width="11.42578125" style="2"/>
    <col min="5377" max="5377" width="42.7109375" style="2" customWidth="1"/>
    <col min="5378" max="5378" width="19.85546875" style="2" customWidth="1"/>
    <col min="5379" max="5380" width="20.140625" style="2" customWidth="1"/>
    <col min="5381" max="5381" width="23.28515625" style="2" customWidth="1"/>
    <col min="5382" max="5382" width="24.5703125" style="2" customWidth="1"/>
    <col min="5383" max="5383" width="17" style="2" customWidth="1"/>
    <col min="5384" max="5384" width="15.42578125" style="2" customWidth="1"/>
    <col min="5385" max="5385" width="15.5703125" style="2" customWidth="1"/>
    <col min="5386" max="5386" width="14.85546875" style="2" customWidth="1"/>
    <col min="5387" max="5387" width="11.28515625" style="2" bestFit="1" customWidth="1"/>
    <col min="5388" max="5388" width="10.28515625" style="2" bestFit="1" customWidth="1"/>
    <col min="5389" max="5389" width="12.7109375" style="2" bestFit="1" customWidth="1"/>
    <col min="5390" max="5390" width="12.42578125" style="2" bestFit="1" customWidth="1"/>
    <col min="5391" max="5391" width="11.42578125" style="2"/>
    <col min="5392" max="5392" width="12.140625" style="2" bestFit="1" customWidth="1"/>
    <col min="5393" max="5393" width="11.42578125" style="2"/>
    <col min="5394" max="5394" width="12.140625" style="2" bestFit="1" customWidth="1"/>
    <col min="5395" max="5398" width="11.42578125" style="2"/>
    <col min="5399" max="5399" width="11.140625" style="2" customWidth="1"/>
    <col min="5400" max="5632" width="11.42578125" style="2"/>
    <col min="5633" max="5633" width="42.7109375" style="2" customWidth="1"/>
    <col min="5634" max="5634" width="19.85546875" style="2" customWidth="1"/>
    <col min="5635" max="5636" width="20.140625" style="2" customWidth="1"/>
    <col min="5637" max="5637" width="23.28515625" style="2" customWidth="1"/>
    <col min="5638" max="5638" width="24.5703125" style="2" customWidth="1"/>
    <col min="5639" max="5639" width="17" style="2" customWidth="1"/>
    <col min="5640" max="5640" width="15.42578125" style="2" customWidth="1"/>
    <col min="5641" max="5641" width="15.5703125" style="2" customWidth="1"/>
    <col min="5642" max="5642" width="14.85546875" style="2" customWidth="1"/>
    <col min="5643" max="5643" width="11.28515625" style="2" bestFit="1" customWidth="1"/>
    <col min="5644" max="5644" width="10.28515625" style="2" bestFit="1" customWidth="1"/>
    <col min="5645" max="5645" width="12.7109375" style="2" bestFit="1" customWidth="1"/>
    <col min="5646" max="5646" width="12.42578125" style="2" bestFit="1" customWidth="1"/>
    <col min="5647" max="5647" width="11.42578125" style="2"/>
    <col min="5648" max="5648" width="12.140625" style="2" bestFit="1" customWidth="1"/>
    <col min="5649" max="5649" width="11.42578125" style="2"/>
    <col min="5650" max="5650" width="12.140625" style="2" bestFit="1" customWidth="1"/>
    <col min="5651" max="5654" width="11.42578125" style="2"/>
    <col min="5655" max="5655" width="11.140625" style="2" customWidth="1"/>
    <col min="5656" max="5888" width="11.42578125" style="2"/>
    <col min="5889" max="5889" width="42.7109375" style="2" customWidth="1"/>
    <col min="5890" max="5890" width="19.85546875" style="2" customWidth="1"/>
    <col min="5891" max="5892" width="20.140625" style="2" customWidth="1"/>
    <col min="5893" max="5893" width="23.28515625" style="2" customWidth="1"/>
    <col min="5894" max="5894" width="24.5703125" style="2" customWidth="1"/>
    <col min="5895" max="5895" width="17" style="2" customWidth="1"/>
    <col min="5896" max="5896" width="15.42578125" style="2" customWidth="1"/>
    <col min="5897" max="5897" width="15.5703125" style="2" customWidth="1"/>
    <col min="5898" max="5898" width="14.85546875" style="2" customWidth="1"/>
    <col min="5899" max="5899" width="11.28515625" style="2" bestFit="1" customWidth="1"/>
    <col min="5900" max="5900" width="10.28515625" style="2" bestFit="1" customWidth="1"/>
    <col min="5901" max="5901" width="12.7109375" style="2" bestFit="1" customWidth="1"/>
    <col min="5902" max="5902" width="12.42578125" style="2" bestFit="1" customWidth="1"/>
    <col min="5903" max="5903" width="11.42578125" style="2"/>
    <col min="5904" max="5904" width="12.140625" style="2" bestFit="1" customWidth="1"/>
    <col min="5905" max="5905" width="11.42578125" style="2"/>
    <col min="5906" max="5906" width="12.140625" style="2" bestFit="1" customWidth="1"/>
    <col min="5907" max="5910" width="11.42578125" style="2"/>
    <col min="5911" max="5911" width="11.140625" style="2" customWidth="1"/>
    <col min="5912" max="6144" width="11.42578125" style="2"/>
    <col min="6145" max="6145" width="42.7109375" style="2" customWidth="1"/>
    <col min="6146" max="6146" width="19.85546875" style="2" customWidth="1"/>
    <col min="6147" max="6148" width="20.140625" style="2" customWidth="1"/>
    <col min="6149" max="6149" width="23.28515625" style="2" customWidth="1"/>
    <col min="6150" max="6150" width="24.5703125" style="2" customWidth="1"/>
    <col min="6151" max="6151" width="17" style="2" customWidth="1"/>
    <col min="6152" max="6152" width="15.42578125" style="2" customWidth="1"/>
    <col min="6153" max="6153" width="15.5703125" style="2" customWidth="1"/>
    <col min="6154" max="6154" width="14.85546875" style="2" customWidth="1"/>
    <col min="6155" max="6155" width="11.28515625" style="2" bestFit="1" customWidth="1"/>
    <col min="6156" max="6156" width="10.28515625" style="2" bestFit="1" customWidth="1"/>
    <col min="6157" max="6157" width="12.7109375" style="2" bestFit="1" customWidth="1"/>
    <col min="6158" max="6158" width="12.42578125" style="2" bestFit="1" customWidth="1"/>
    <col min="6159" max="6159" width="11.42578125" style="2"/>
    <col min="6160" max="6160" width="12.140625" style="2" bestFit="1" customWidth="1"/>
    <col min="6161" max="6161" width="11.42578125" style="2"/>
    <col min="6162" max="6162" width="12.140625" style="2" bestFit="1" customWidth="1"/>
    <col min="6163" max="6166" width="11.42578125" style="2"/>
    <col min="6167" max="6167" width="11.140625" style="2" customWidth="1"/>
    <col min="6168" max="6400" width="11.42578125" style="2"/>
    <col min="6401" max="6401" width="42.7109375" style="2" customWidth="1"/>
    <col min="6402" max="6402" width="19.85546875" style="2" customWidth="1"/>
    <col min="6403" max="6404" width="20.140625" style="2" customWidth="1"/>
    <col min="6405" max="6405" width="23.28515625" style="2" customWidth="1"/>
    <col min="6406" max="6406" width="24.5703125" style="2" customWidth="1"/>
    <col min="6407" max="6407" width="17" style="2" customWidth="1"/>
    <col min="6408" max="6408" width="15.42578125" style="2" customWidth="1"/>
    <col min="6409" max="6409" width="15.5703125" style="2" customWidth="1"/>
    <col min="6410" max="6410" width="14.85546875" style="2" customWidth="1"/>
    <col min="6411" max="6411" width="11.28515625" style="2" bestFit="1" customWidth="1"/>
    <col min="6412" max="6412" width="10.28515625" style="2" bestFit="1" customWidth="1"/>
    <col min="6413" max="6413" width="12.7109375" style="2" bestFit="1" customWidth="1"/>
    <col min="6414" max="6414" width="12.42578125" style="2" bestFit="1" customWidth="1"/>
    <col min="6415" max="6415" width="11.42578125" style="2"/>
    <col min="6416" max="6416" width="12.140625" style="2" bestFit="1" customWidth="1"/>
    <col min="6417" max="6417" width="11.42578125" style="2"/>
    <col min="6418" max="6418" width="12.140625" style="2" bestFit="1" customWidth="1"/>
    <col min="6419" max="6422" width="11.42578125" style="2"/>
    <col min="6423" max="6423" width="11.140625" style="2" customWidth="1"/>
    <col min="6424" max="6656" width="11.42578125" style="2"/>
    <col min="6657" max="6657" width="42.7109375" style="2" customWidth="1"/>
    <col min="6658" max="6658" width="19.85546875" style="2" customWidth="1"/>
    <col min="6659" max="6660" width="20.140625" style="2" customWidth="1"/>
    <col min="6661" max="6661" width="23.28515625" style="2" customWidth="1"/>
    <col min="6662" max="6662" width="24.5703125" style="2" customWidth="1"/>
    <col min="6663" max="6663" width="17" style="2" customWidth="1"/>
    <col min="6664" max="6664" width="15.42578125" style="2" customWidth="1"/>
    <col min="6665" max="6665" width="15.5703125" style="2" customWidth="1"/>
    <col min="6666" max="6666" width="14.85546875" style="2" customWidth="1"/>
    <col min="6667" max="6667" width="11.28515625" style="2" bestFit="1" customWidth="1"/>
    <col min="6668" max="6668" width="10.28515625" style="2" bestFit="1" customWidth="1"/>
    <col min="6669" max="6669" width="12.7109375" style="2" bestFit="1" customWidth="1"/>
    <col min="6670" max="6670" width="12.42578125" style="2" bestFit="1" customWidth="1"/>
    <col min="6671" max="6671" width="11.42578125" style="2"/>
    <col min="6672" max="6672" width="12.140625" style="2" bestFit="1" customWidth="1"/>
    <col min="6673" max="6673" width="11.42578125" style="2"/>
    <col min="6674" max="6674" width="12.140625" style="2" bestFit="1" customWidth="1"/>
    <col min="6675" max="6678" width="11.42578125" style="2"/>
    <col min="6679" max="6679" width="11.140625" style="2" customWidth="1"/>
    <col min="6680" max="6912" width="11.42578125" style="2"/>
    <col min="6913" max="6913" width="42.7109375" style="2" customWidth="1"/>
    <col min="6914" max="6914" width="19.85546875" style="2" customWidth="1"/>
    <col min="6915" max="6916" width="20.140625" style="2" customWidth="1"/>
    <col min="6917" max="6917" width="23.28515625" style="2" customWidth="1"/>
    <col min="6918" max="6918" width="24.5703125" style="2" customWidth="1"/>
    <col min="6919" max="6919" width="17" style="2" customWidth="1"/>
    <col min="6920" max="6920" width="15.42578125" style="2" customWidth="1"/>
    <col min="6921" max="6921" width="15.5703125" style="2" customWidth="1"/>
    <col min="6922" max="6922" width="14.85546875" style="2" customWidth="1"/>
    <col min="6923" max="6923" width="11.28515625" style="2" bestFit="1" customWidth="1"/>
    <col min="6924" max="6924" width="10.28515625" style="2" bestFit="1" customWidth="1"/>
    <col min="6925" max="6925" width="12.7109375" style="2" bestFit="1" customWidth="1"/>
    <col min="6926" max="6926" width="12.42578125" style="2" bestFit="1" customWidth="1"/>
    <col min="6927" max="6927" width="11.42578125" style="2"/>
    <col min="6928" max="6928" width="12.140625" style="2" bestFit="1" customWidth="1"/>
    <col min="6929" max="6929" width="11.42578125" style="2"/>
    <col min="6930" max="6930" width="12.140625" style="2" bestFit="1" customWidth="1"/>
    <col min="6931" max="6934" width="11.42578125" style="2"/>
    <col min="6935" max="6935" width="11.140625" style="2" customWidth="1"/>
    <col min="6936" max="7168" width="11.42578125" style="2"/>
    <col min="7169" max="7169" width="42.7109375" style="2" customWidth="1"/>
    <col min="7170" max="7170" width="19.85546875" style="2" customWidth="1"/>
    <col min="7171" max="7172" width="20.140625" style="2" customWidth="1"/>
    <col min="7173" max="7173" width="23.28515625" style="2" customWidth="1"/>
    <col min="7174" max="7174" width="24.5703125" style="2" customWidth="1"/>
    <col min="7175" max="7175" width="17" style="2" customWidth="1"/>
    <col min="7176" max="7176" width="15.42578125" style="2" customWidth="1"/>
    <col min="7177" max="7177" width="15.5703125" style="2" customWidth="1"/>
    <col min="7178" max="7178" width="14.85546875" style="2" customWidth="1"/>
    <col min="7179" max="7179" width="11.28515625" style="2" bestFit="1" customWidth="1"/>
    <col min="7180" max="7180" width="10.28515625" style="2" bestFit="1" customWidth="1"/>
    <col min="7181" max="7181" width="12.7109375" style="2" bestFit="1" customWidth="1"/>
    <col min="7182" max="7182" width="12.42578125" style="2" bestFit="1" customWidth="1"/>
    <col min="7183" max="7183" width="11.42578125" style="2"/>
    <col min="7184" max="7184" width="12.140625" style="2" bestFit="1" customWidth="1"/>
    <col min="7185" max="7185" width="11.42578125" style="2"/>
    <col min="7186" max="7186" width="12.140625" style="2" bestFit="1" customWidth="1"/>
    <col min="7187" max="7190" width="11.42578125" style="2"/>
    <col min="7191" max="7191" width="11.140625" style="2" customWidth="1"/>
    <col min="7192" max="7424" width="11.42578125" style="2"/>
    <col min="7425" max="7425" width="42.7109375" style="2" customWidth="1"/>
    <col min="7426" max="7426" width="19.85546875" style="2" customWidth="1"/>
    <col min="7427" max="7428" width="20.140625" style="2" customWidth="1"/>
    <col min="7429" max="7429" width="23.28515625" style="2" customWidth="1"/>
    <col min="7430" max="7430" width="24.5703125" style="2" customWidth="1"/>
    <col min="7431" max="7431" width="17" style="2" customWidth="1"/>
    <col min="7432" max="7432" width="15.42578125" style="2" customWidth="1"/>
    <col min="7433" max="7433" width="15.5703125" style="2" customWidth="1"/>
    <col min="7434" max="7434" width="14.85546875" style="2" customWidth="1"/>
    <col min="7435" max="7435" width="11.28515625" style="2" bestFit="1" customWidth="1"/>
    <col min="7436" max="7436" width="10.28515625" style="2" bestFit="1" customWidth="1"/>
    <col min="7437" max="7437" width="12.7109375" style="2" bestFit="1" customWidth="1"/>
    <col min="7438" max="7438" width="12.42578125" style="2" bestFit="1" customWidth="1"/>
    <col min="7439" max="7439" width="11.42578125" style="2"/>
    <col min="7440" max="7440" width="12.140625" style="2" bestFit="1" customWidth="1"/>
    <col min="7441" max="7441" width="11.42578125" style="2"/>
    <col min="7442" max="7442" width="12.140625" style="2" bestFit="1" customWidth="1"/>
    <col min="7443" max="7446" width="11.42578125" style="2"/>
    <col min="7447" max="7447" width="11.140625" style="2" customWidth="1"/>
    <col min="7448" max="7680" width="11.42578125" style="2"/>
    <col min="7681" max="7681" width="42.7109375" style="2" customWidth="1"/>
    <col min="7682" max="7682" width="19.85546875" style="2" customWidth="1"/>
    <col min="7683" max="7684" width="20.140625" style="2" customWidth="1"/>
    <col min="7685" max="7685" width="23.28515625" style="2" customWidth="1"/>
    <col min="7686" max="7686" width="24.5703125" style="2" customWidth="1"/>
    <col min="7687" max="7687" width="17" style="2" customWidth="1"/>
    <col min="7688" max="7688" width="15.42578125" style="2" customWidth="1"/>
    <col min="7689" max="7689" width="15.5703125" style="2" customWidth="1"/>
    <col min="7690" max="7690" width="14.85546875" style="2" customWidth="1"/>
    <col min="7691" max="7691" width="11.28515625" style="2" bestFit="1" customWidth="1"/>
    <col min="7692" max="7692" width="10.28515625" style="2" bestFit="1" customWidth="1"/>
    <col min="7693" max="7693" width="12.7109375" style="2" bestFit="1" customWidth="1"/>
    <col min="7694" max="7694" width="12.42578125" style="2" bestFit="1" customWidth="1"/>
    <col min="7695" max="7695" width="11.42578125" style="2"/>
    <col min="7696" max="7696" width="12.140625" style="2" bestFit="1" customWidth="1"/>
    <col min="7697" max="7697" width="11.42578125" style="2"/>
    <col min="7698" max="7698" width="12.140625" style="2" bestFit="1" customWidth="1"/>
    <col min="7699" max="7702" width="11.42578125" style="2"/>
    <col min="7703" max="7703" width="11.140625" style="2" customWidth="1"/>
    <col min="7704" max="7936" width="11.42578125" style="2"/>
    <col min="7937" max="7937" width="42.7109375" style="2" customWidth="1"/>
    <col min="7938" max="7938" width="19.85546875" style="2" customWidth="1"/>
    <col min="7939" max="7940" width="20.140625" style="2" customWidth="1"/>
    <col min="7941" max="7941" width="23.28515625" style="2" customWidth="1"/>
    <col min="7942" max="7942" width="24.5703125" style="2" customWidth="1"/>
    <col min="7943" max="7943" width="17" style="2" customWidth="1"/>
    <col min="7944" max="7944" width="15.42578125" style="2" customWidth="1"/>
    <col min="7945" max="7945" width="15.5703125" style="2" customWidth="1"/>
    <col min="7946" max="7946" width="14.85546875" style="2" customWidth="1"/>
    <col min="7947" max="7947" width="11.28515625" style="2" bestFit="1" customWidth="1"/>
    <col min="7948" max="7948" width="10.28515625" style="2" bestFit="1" customWidth="1"/>
    <col min="7949" max="7949" width="12.7109375" style="2" bestFit="1" customWidth="1"/>
    <col min="7950" max="7950" width="12.42578125" style="2" bestFit="1" customWidth="1"/>
    <col min="7951" max="7951" width="11.42578125" style="2"/>
    <col min="7952" max="7952" width="12.140625" style="2" bestFit="1" customWidth="1"/>
    <col min="7953" max="7953" width="11.42578125" style="2"/>
    <col min="7954" max="7954" width="12.140625" style="2" bestFit="1" customWidth="1"/>
    <col min="7955" max="7958" width="11.42578125" style="2"/>
    <col min="7959" max="7959" width="11.140625" style="2" customWidth="1"/>
    <col min="7960" max="8192" width="11.42578125" style="2"/>
    <col min="8193" max="8193" width="42.7109375" style="2" customWidth="1"/>
    <col min="8194" max="8194" width="19.85546875" style="2" customWidth="1"/>
    <col min="8195" max="8196" width="20.140625" style="2" customWidth="1"/>
    <col min="8197" max="8197" width="23.28515625" style="2" customWidth="1"/>
    <col min="8198" max="8198" width="24.5703125" style="2" customWidth="1"/>
    <col min="8199" max="8199" width="17" style="2" customWidth="1"/>
    <col min="8200" max="8200" width="15.42578125" style="2" customWidth="1"/>
    <col min="8201" max="8201" width="15.5703125" style="2" customWidth="1"/>
    <col min="8202" max="8202" width="14.85546875" style="2" customWidth="1"/>
    <col min="8203" max="8203" width="11.28515625" style="2" bestFit="1" customWidth="1"/>
    <col min="8204" max="8204" width="10.28515625" style="2" bestFit="1" customWidth="1"/>
    <col min="8205" max="8205" width="12.7109375" style="2" bestFit="1" customWidth="1"/>
    <col min="8206" max="8206" width="12.42578125" style="2" bestFit="1" customWidth="1"/>
    <col min="8207" max="8207" width="11.42578125" style="2"/>
    <col min="8208" max="8208" width="12.140625" style="2" bestFit="1" customWidth="1"/>
    <col min="8209" max="8209" width="11.42578125" style="2"/>
    <col min="8210" max="8210" width="12.140625" style="2" bestFit="1" customWidth="1"/>
    <col min="8211" max="8214" width="11.42578125" style="2"/>
    <col min="8215" max="8215" width="11.140625" style="2" customWidth="1"/>
    <col min="8216" max="8448" width="11.42578125" style="2"/>
    <col min="8449" max="8449" width="42.7109375" style="2" customWidth="1"/>
    <col min="8450" max="8450" width="19.85546875" style="2" customWidth="1"/>
    <col min="8451" max="8452" width="20.140625" style="2" customWidth="1"/>
    <col min="8453" max="8453" width="23.28515625" style="2" customWidth="1"/>
    <col min="8454" max="8454" width="24.5703125" style="2" customWidth="1"/>
    <col min="8455" max="8455" width="17" style="2" customWidth="1"/>
    <col min="8456" max="8456" width="15.42578125" style="2" customWidth="1"/>
    <col min="8457" max="8457" width="15.5703125" style="2" customWidth="1"/>
    <col min="8458" max="8458" width="14.85546875" style="2" customWidth="1"/>
    <col min="8459" max="8459" width="11.28515625" style="2" bestFit="1" customWidth="1"/>
    <col min="8460" max="8460" width="10.28515625" style="2" bestFit="1" customWidth="1"/>
    <col min="8461" max="8461" width="12.7109375" style="2" bestFit="1" customWidth="1"/>
    <col min="8462" max="8462" width="12.42578125" style="2" bestFit="1" customWidth="1"/>
    <col min="8463" max="8463" width="11.42578125" style="2"/>
    <col min="8464" max="8464" width="12.140625" style="2" bestFit="1" customWidth="1"/>
    <col min="8465" max="8465" width="11.42578125" style="2"/>
    <col min="8466" max="8466" width="12.140625" style="2" bestFit="1" customWidth="1"/>
    <col min="8467" max="8470" width="11.42578125" style="2"/>
    <col min="8471" max="8471" width="11.140625" style="2" customWidth="1"/>
    <col min="8472" max="8704" width="11.42578125" style="2"/>
    <col min="8705" max="8705" width="42.7109375" style="2" customWidth="1"/>
    <col min="8706" max="8706" width="19.85546875" style="2" customWidth="1"/>
    <col min="8707" max="8708" width="20.140625" style="2" customWidth="1"/>
    <col min="8709" max="8709" width="23.28515625" style="2" customWidth="1"/>
    <col min="8710" max="8710" width="24.5703125" style="2" customWidth="1"/>
    <col min="8711" max="8711" width="17" style="2" customWidth="1"/>
    <col min="8712" max="8712" width="15.42578125" style="2" customWidth="1"/>
    <col min="8713" max="8713" width="15.5703125" style="2" customWidth="1"/>
    <col min="8714" max="8714" width="14.85546875" style="2" customWidth="1"/>
    <col min="8715" max="8715" width="11.28515625" style="2" bestFit="1" customWidth="1"/>
    <col min="8716" max="8716" width="10.28515625" style="2" bestFit="1" customWidth="1"/>
    <col min="8717" max="8717" width="12.7109375" style="2" bestFit="1" customWidth="1"/>
    <col min="8718" max="8718" width="12.42578125" style="2" bestFit="1" customWidth="1"/>
    <col min="8719" max="8719" width="11.42578125" style="2"/>
    <col min="8720" max="8720" width="12.140625" style="2" bestFit="1" customWidth="1"/>
    <col min="8721" max="8721" width="11.42578125" style="2"/>
    <col min="8722" max="8722" width="12.140625" style="2" bestFit="1" customWidth="1"/>
    <col min="8723" max="8726" width="11.42578125" style="2"/>
    <col min="8727" max="8727" width="11.140625" style="2" customWidth="1"/>
    <col min="8728" max="8960" width="11.42578125" style="2"/>
    <col min="8961" max="8961" width="42.7109375" style="2" customWidth="1"/>
    <col min="8962" max="8962" width="19.85546875" style="2" customWidth="1"/>
    <col min="8963" max="8964" width="20.140625" style="2" customWidth="1"/>
    <col min="8965" max="8965" width="23.28515625" style="2" customWidth="1"/>
    <col min="8966" max="8966" width="24.5703125" style="2" customWidth="1"/>
    <col min="8967" max="8967" width="17" style="2" customWidth="1"/>
    <col min="8968" max="8968" width="15.42578125" style="2" customWidth="1"/>
    <col min="8969" max="8969" width="15.5703125" style="2" customWidth="1"/>
    <col min="8970" max="8970" width="14.85546875" style="2" customWidth="1"/>
    <col min="8971" max="8971" width="11.28515625" style="2" bestFit="1" customWidth="1"/>
    <col min="8972" max="8972" width="10.28515625" style="2" bestFit="1" customWidth="1"/>
    <col min="8973" max="8973" width="12.7109375" style="2" bestFit="1" customWidth="1"/>
    <col min="8974" max="8974" width="12.42578125" style="2" bestFit="1" customWidth="1"/>
    <col min="8975" max="8975" width="11.42578125" style="2"/>
    <col min="8976" max="8976" width="12.140625" style="2" bestFit="1" customWidth="1"/>
    <col min="8977" max="8977" width="11.42578125" style="2"/>
    <col min="8978" max="8978" width="12.140625" style="2" bestFit="1" customWidth="1"/>
    <col min="8979" max="8982" width="11.42578125" style="2"/>
    <col min="8983" max="8983" width="11.140625" style="2" customWidth="1"/>
    <col min="8984" max="9216" width="11.42578125" style="2"/>
    <col min="9217" max="9217" width="42.7109375" style="2" customWidth="1"/>
    <col min="9218" max="9218" width="19.85546875" style="2" customWidth="1"/>
    <col min="9219" max="9220" width="20.140625" style="2" customWidth="1"/>
    <col min="9221" max="9221" width="23.28515625" style="2" customWidth="1"/>
    <col min="9222" max="9222" width="24.5703125" style="2" customWidth="1"/>
    <col min="9223" max="9223" width="17" style="2" customWidth="1"/>
    <col min="9224" max="9224" width="15.42578125" style="2" customWidth="1"/>
    <col min="9225" max="9225" width="15.5703125" style="2" customWidth="1"/>
    <col min="9226" max="9226" width="14.85546875" style="2" customWidth="1"/>
    <col min="9227" max="9227" width="11.28515625" style="2" bestFit="1" customWidth="1"/>
    <col min="9228" max="9228" width="10.28515625" style="2" bestFit="1" customWidth="1"/>
    <col min="9229" max="9229" width="12.7109375" style="2" bestFit="1" customWidth="1"/>
    <col min="9230" max="9230" width="12.42578125" style="2" bestFit="1" customWidth="1"/>
    <col min="9231" max="9231" width="11.42578125" style="2"/>
    <col min="9232" max="9232" width="12.140625" style="2" bestFit="1" customWidth="1"/>
    <col min="9233" max="9233" width="11.42578125" style="2"/>
    <col min="9234" max="9234" width="12.140625" style="2" bestFit="1" customWidth="1"/>
    <col min="9235" max="9238" width="11.42578125" style="2"/>
    <col min="9239" max="9239" width="11.140625" style="2" customWidth="1"/>
    <col min="9240" max="9472" width="11.42578125" style="2"/>
    <col min="9473" max="9473" width="42.7109375" style="2" customWidth="1"/>
    <col min="9474" max="9474" width="19.85546875" style="2" customWidth="1"/>
    <col min="9475" max="9476" width="20.140625" style="2" customWidth="1"/>
    <col min="9477" max="9477" width="23.28515625" style="2" customWidth="1"/>
    <col min="9478" max="9478" width="24.5703125" style="2" customWidth="1"/>
    <col min="9479" max="9479" width="17" style="2" customWidth="1"/>
    <col min="9480" max="9480" width="15.42578125" style="2" customWidth="1"/>
    <col min="9481" max="9481" width="15.5703125" style="2" customWidth="1"/>
    <col min="9482" max="9482" width="14.85546875" style="2" customWidth="1"/>
    <col min="9483" max="9483" width="11.28515625" style="2" bestFit="1" customWidth="1"/>
    <col min="9484" max="9484" width="10.28515625" style="2" bestFit="1" customWidth="1"/>
    <col min="9485" max="9485" width="12.7109375" style="2" bestFit="1" customWidth="1"/>
    <col min="9486" max="9486" width="12.42578125" style="2" bestFit="1" customWidth="1"/>
    <col min="9487" max="9487" width="11.42578125" style="2"/>
    <col min="9488" max="9488" width="12.140625" style="2" bestFit="1" customWidth="1"/>
    <col min="9489" max="9489" width="11.42578125" style="2"/>
    <col min="9490" max="9490" width="12.140625" style="2" bestFit="1" customWidth="1"/>
    <col min="9491" max="9494" width="11.42578125" style="2"/>
    <col min="9495" max="9495" width="11.140625" style="2" customWidth="1"/>
    <col min="9496" max="9728" width="11.42578125" style="2"/>
    <col min="9729" max="9729" width="42.7109375" style="2" customWidth="1"/>
    <col min="9730" max="9730" width="19.85546875" style="2" customWidth="1"/>
    <col min="9731" max="9732" width="20.140625" style="2" customWidth="1"/>
    <col min="9733" max="9733" width="23.28515625" style="2" customWidth="1"/>
    <col min="9734" max="9734" width="24.5703125" style="2" customWidth="1"/>
    <col min="9735" max="9735" width="17" style="2" customWidth="1"/>
    <col min="9736" max="9736" width="15.42578125" style="2" customWidth="1"/>
    <col min="9737" max="9737" width="15.5703125" style="2" customWidth="1"/>
    <col min="9738" max="9738" width="14.85546875" style="2" customWidth="1"/>
    <col min="9739" max="9739" width="11.28515625" style="2" bestFit="1" customWidth="1"/>
    <col min="9740" max="9740" width="10.28515625" style="2" bestFit="1" customWidth="1"/>
    <col min="9741" max="9741" width="12.7109375" style="2" bestFit="1" customWidth="1"/>
    <col min="9742" max="9742" width="12.42578125" style="2" bestFit="1" customWidth="1"/>
    <col min="9743" max="9743" width="11.42578125" style="2"/>
    <col min="9744" max="9744" width="12.140625" style="2" bestFit="1" customWidth="1"/>
    <col min="9745" max="9745" width="11.42578125" style="2"/>
    <col min="9746" max="9746" width="12.140625" style="2" bestFit="1" customWidth="1"/>
    <col min="9747" max="9750" width="11.42578125" style="2"/>
    <col min="9751" max="9751" width="11.140625" style="2" customWidth="1"/>
    <col min="9752" max="9984" width="11.42578125" style="2"/>
    <col min="9985" max="9985" width="42.7109375" style="2" customWidth="1"/>
    <col min="9986" max="9986" width="19.85546875" style="2" customWidth="1"/>
    <col min="9987" max="9988" width="20.140625" style="2" customWidth="1"/>
    <col min="9989" max="9989" width="23.28515625" style="2" customWidth="1"/>
    <col min="9990" max="9990" width="24.5703125" style="2" customWidth="1"/>
    <col min="9991" max="9991" width="17" style="2" customWidth="1"/>
    <col min="9992" max="9992" width="15.42578125" style="2" customWidth="1"/>
    <col min="9993" max="9993" width="15.5703125" style="2" customWidth="1"/>
    <col min="9994" max="9994" width="14.85546875" style="2" customWidth="1"/>
    <col min="9995" max="9995" width="11.28515625" style="2" bestFit="1" customWidth="1"/>
    <col min="9996" max="9996" width="10.28515625" style="2" bestFit="1" customWidth="1"/>
    <col min="9997" max="9997" width="12.7109375" style="2" bestFit="1" customWidth="1"/>
    <col min="9998" max="9998" width="12.42578125" style="2" bestFit="1" customWidth="1"/>
    <col min="9999" max="9999" width="11.42578125" style="2"/>
    <col min="10000" max="10000" width="12.140625" style="2" bestFit="1" customWidth="1"/>
    <col min="10001" max="10001" width="11.42578125" style="2"/>
    <col min="10002" max="10002" width="12.140625" style="2" bestFit="1" customWidth="1"/>
    <col min="10003" max="10006" width="11.42578125" style="2"/>
    <col min="10007" max="10007" width="11.140625" style="2" customWidth="1"/>
    <col min="10008" max="10240" width="11.42578125" style="2"/>
    <col min="10241" max="10241" width="42.7109375" style="2" customWidth="1"/>
    <col min="10242" max="10242" width="19.85546875" style="2" customWidth="1"/>
    <col min="10243" max="10244" width="20.140625" style="2" customWidth="1"/>
    <col min="10245" max="10245" width="23.28515625" style="2" customWidth="1"/>
    <col min="10246" max="10246" width="24.5703125" style="2" customWidth="1"/>
    <col min="10247" max="10247" width="17" style="2" customWidth="1"/>
    <col min="10248" max="10248" width="15.42578125" style="2" customWidth="1"/>
    <col min="10249" max="10249" width="15.5703125" style="2" customWidth="1"/>
    <col min="10250" max="10250" width="14.85546875" style="2" customWidth="1"/>
    <col min="10251" max="10251" width="11.28515625" style="2" bestFit="1" customWidth="1"/>
    <col min="10252" max="10252" width="10.28515625" style="2" bestFit="1" customWidth="1"/>
    <col min="10253" max="10253" width="12.7109375" style="2" bestFit="1" customWidth="1"/>
    <col min="10254" max="10254" width="12.42578125" style="2" bestFit="1" customWidth="1"/>
    <col min="10255" max="10255" width="11.42578125" style="2"/>
    <col min="10256" max="10256" width="12.140625" style="2" bestFit="1" customWidth="1"/>
    <col min="10257" max="10257" width="11.42578125" style="2"/>
    <col min="10258" max="10258" width="12.140625" style="2" bestFit="1" customWidth="1"/>
    <col min="10259" max="10262" width="11.42578125" style="2"/>
    <col min="10263" max="10263" width="11.140625" style="2" customWidth="1"/>
    <col min="10264" max="10496" width="11.42578125" style="2"/>
    <col min="10497" max="10497" width="42.7109375" style="2" customWidth="1"/>
    <col min="10498" max="10498" width="19.85546875" style="2" customWidth="1"/>
    <col min="10499" max="10500" width="20.140625" style="2" customWidth="1"/>
    <col min="10501" max="10501" width="23.28515625" style="2" customWidth="1"/>
    <col min="10502" max="10502" width="24.5703125" style="2" customWidth="1"/>
    <col min="10503" max="10503" width="17" style="2" customWidth="1"/>
    <col min="10504" max="10504" width="15.42578125" style="2" customWidth="1"/>
    <col min="10505" max="10505" width="15.5703125" style="2" customWidth="1"/>
    <col min="10506" max="10506" width="14.85546875" style="2" customWidth="1"/>
    <col min="10507" max="10507" width="11.28515625" style="2" bestFit="1" customWidth="1"/>
    <col min="10508" max="10508" width="10.28515625" style="2" bestFit="1" customWidth="1"/>
    <col min="10509" max="10509" width="12.7109375" style="2" bestFit="1" customWidth="1"/>
    <col min="10510" max="10510" width="12.42578125" style="2" bestFit="1" customWidth="1"/>
    <col min="10511" max="10511" width="11.42578125" style="2"/>
    <col min="10512" max="10512" width="12.140625" style="2" bestFit="1" customWidth="1"/>
    <col min="10513" max="10513" width="11.42578125" style="2"/>
    <col min="10514" max="10514" width="12.140625" style="2" bestFit="1" customWidth="1"/>
    <col min="10515" max="10518" width="11.42578125" style="2"/>
    <col min="10519" max="10519" width="11.140625" style="2" customWidth="1"/>
    <col min="10520" max="10752" width="11.42578125" style="2"/>
    <col min="10753" max="10753" width="42.7109375" style="2" customWidth="1"/>
    <col min="10754" max="10754" width="19.85546875" style="2" customWidth="1"/>
    <col min="10755" max="10756" width="20.140625" style="2" customWidth="1"/>
    <col min="10757" max="10757" width="23.28515625" style="2" customWidth="1"/>
    <col min="10758" max="10758" width="24.5703125" style="2" customWidth="1"/>
    <col min="10759" max="10759" width="17" style="2" customWidth="1"/>
    <col min="10760" max="10760" width="15.42578125" style="2" customWidth="1"/>
    <col min="10761" max="10761" width="15.5703125" style="2" customWidth="1"/>
    <col min="10762" max="10762" width="14.85546875" style="2" customWidth="1"/>
    <col min="10763" max="10763" width="11.28515625" style="2" bestFit="1" customWidth="1"/>
    <col min="10764" max="10764" width="10.28515625" style="2" bestFit="1" customWidth="1"/>
    <col min="10765" max="10765" width="12.7109375" style="2" bestFit="1" customWidth="1"/>
    <col min="10766" max="10766" width="12.42578125" style="2" bestFit="1" customWidth="1"/>
    <col min="10767" max="10767" width="11.42578125" style="2"/>
    <col min="10768" max="10768" width="12.140625" style="2" bestFit="1" customWidth="1"/>
    <col min="10769" max="10769" width="11.42578125" style="2"/>
    <col min="10770" max="10770" width="12.140625" style="2" bestFit="1" customWidth="1"/>
    <col min="10771" max="10774" width="11.42578125" style="2"/>
    <col min="10775" max="10775" width="11.140625" style="2" customWidth="1"/>
    <col min="10776" max="11008" width="11.42578125" style="2"/>
    <col min="11009" max="11009" width="42.7109375" style="2" customWidth="1"/>
    <col min="11010" max="11010" width="19.85546875" style="2" customWidth="1"/>
    <col min="11011" max="11012" width="20.140625" style="2" customWidth="1"/>
    <col min="11013" max="11013" width="23.28515625" style="2" customWidth="1"/>
    <col min="11014" max="11014" width="24.5703125" style="2" customWidth="1"/>
    <col min="11015" max="11015" width="17" style="2" customWidth="1"/>
    <col min="11016" max="11016" width="15.42578125" style="2" customWidth="1"/>
    <col min="11017" max="11017" width="15.5703125" style="2" customWidth="1"/>
    <col min="11018" max="11018" width="14.85546875" style="2" customWidth="1"/>
    <col min="11019" max="11019" width="11.28515625" style="2" bestFit="1" customWidth="1"/>
    <col min="11020" max="11020" width="10.28515625" style="2" bestFit="1" customWidth="1"/>
    <col min="11021" max="11021" width="12.7109375" style="2" bestFit="1" customWidth="1"/>
    <col min="11022" max="11022" width="12.42578125" style="2" bestFit="1" customWidth="1"/>
    <col min="11023" max="11023" width="11.42578125" style="2"/>
    <col min="11024" max="11024" width="12.140625" style="2" bestFit="1" customWidth="1"/>
    <col min="11025" max="11025" width="11.42578125" style="2"/>
    <col min="11026" max="11026" width="12.140625" style="2" bestFit="1" customWidth="1"/>
    <col min="11027" max="11030" width="11.42578125" style="2"/>
    <col min="11031" max="11031" width="11.140625" style="2" customWidth="1"/>
    <col min="11032" max="11264" width="11.42578125" style="2"/>
    <col min="11265" max="11265" width="42.7109375" style="2" customWidth="1"/>
    <col min="11266" max="11266" width="19.85546875" style="2" customWidth="1"/>
    <col min="11267" max="11268" width="20.140625" style="2" customWidth="1"/>
    <col min="11269" max="11269" width="23.28515625" style="2" customWidth="1"/>
    <col min="11270" max="11270" width="24.5703125" style="2" customWidth="1"/>
    <col min="11271" max="11271" width="17" style="2" customWidth="1"/>
    <col min="11272" max="11272" width="15.42578125" style="2" customWidth="1"/>
    <col min="11273" max="11273" width="15.5703125" style="2" customWidth="1"/>
    <col min="11274" max="11274" width="14.85546875" style="2" customWidth="1"/>
    <col min="11275" max="11275" width="11.28515625" style="2" bestFit="1" customWidth="1"/>
    <col min="11276" max="11276" width="10.28515625" style="2" bestFit="1" customWidth="1"/>
    <col min="11277" max="11277" width="12.7109375" style="2" bestFit="1" customWidth="1"/>
    <col min="11278" max="11278" width="12.42578125" style="2" bestFit="1" customWidth="1"/>
    <col min="11279" max="11279" width="11.42578125" style="2"/>
    <col min="11280" max="11280" width="12.140625" style="2" bestFit="1" customWidth="1"/>
    <col min="11281" max="11281" width="11.42578125" style="2"/>
    <col min="11282" max="11282" width="12.140625" style="2" bestFit="1" customWidth="1"/>
    <col min="11283" max="11286" width="11.42578125" style="2"/>
    <col min="11287" max="11287" width="11.140625" style="2" customWidth="1"/>
    <col min="11288" max="11520" width="11.42578125" style="2"/>
    <col min="11521" max="11521" width="42.7109375" style="2" customWidth="1"/>
    <col min="11522" max="11522" width="19.85546875" style="2" customWidth="1"/>
    <col min="11523" max="11524" width="20.140625" style="2" customWidth="1"/>
    <col min="11525" max="11525" width="23.28515625" style="2" customWidth="1"/>
    <col min="11526" max="11526" width="24.5703125" style="2" customWidth="1"/>
    <col min="11527" max="11527" width="17" style="2" customWidth="1"/>
    <col min="11528" max="11528" width="15.42578125" style="2" customWidth="1"/>
    <col min="11529" max="11529" width="15.5703125" style="2" customWidth="1"/>
    <col min="11530" max="11530" width="14.85546875" style="2" customWidth="1"/>
    <col min="11531" max="11531" width="11.28515625" style="2" bestFit="1" customWidth="1"/>
    <col min="11532" max="11532" width="10.28515625" style="2" bestFit="1" customWidth="1"/>
    <col min="11533" max="11533" width="12.7109375" style="2" bestFit="1" customWidth="1"/>
    <col min="11534" max="11534" width="12.42578125" style="2" bestFit="1" customWidth="1"/>
    <col min="11535" max="11535" width="11.42578125" style="2"/>
    <col min="11536" max="11536" width="12.140625" style="2" bestFit="1" customWidth="1"/>
    <col min="11537" max="11537" width="11.42578125" style="2"/>
    <col min="11538" max="11538" width="12.140625" style="2" bestFit="1" customWidth="1"/>
    <col min="11539" max="11542" width="11.42578125" style="2"/>
    <col min="11543" max="11543" width="11.140625" style="2" customWidth="1"/>
    <col min="11544" max="11776" width="11.42578125" style="2"/>
    <col min="11777" max="11777" width="42.7109375" style="2" customWidth="1"/>
    <col min="11778" max="11778" width="19.85546875" style="2" customWidth="1"/>
    <col min="11779" max="11780" width="20.140625" style="2" customWidth="1"/>
    <col min="11781" max="11781" width="23.28515625" style="2" customWidth="1"/>
    <col min="11782" max="11782" width="24.5703125" style="2" customWidth="1"/>
    <col min="11783" max="11783" width="17" style="2" customWidth="1"/>
    <col min="11784" max="11784" width="15.42578125" style="2" customWidth="1"/>
    <col min="11785" max="11785" width="15.5703125" style="2" customWidth="1"/>
    <col min="11786" max="11786" width="14.85546875" style="2" customWidth="1"/>
    <col min="11787" max="11787" width="11.28515625" style="2" bestFit="1" customWidth="1"/>
    <col min="11788" max="11788" width="10.28515625" style="2" bestFit="1" customWidth="1"/>
    <col min="11789" max="11789" width="12.7109375" style="2" bestFit="1" customWidth="1"/>
    <col min="11790" max="11790" width="12.42578125" style="2" bestFit="1" customWidth="1"/>
    <col min="11791" max="11791" width="11.42578125" style="2"/>
    <col min="11792" max="11792" width="12.140625" style="2" bestFit="1" customWidth="1"/>
    <col min="11793" max="11793" width="11.42578125" style="2"/>
    <col min="11794" max="11794" width="12.140625" style="2" bestFit="1" customWidth="1"/>
    <col min="11795" max="11798" width="11.42578125" style="2"/>
    <col min="11799" max="11799" width="11.140625" style="2" customWidth="1"/>
    <col min="11800" max="12032" width="11.42578125" style="2"/>
    <col min="12033" max="12033" width="42.7109375" style="2" customWidth="1"/>
    <col min="12034" max="12034" width="19.85546875" style="2" customWidth="1"/>
    <col min="12035" max="12036" width="20.140625" style="2" customWidth="1"/>
    <col min="12037" max="12037" width="23.28515625" style="2" customWidth="1"/>
    <col min="12038" max="12038" width="24.5703125" style="2" customWidth="1"/>
    <col min="12039" max="12039" width="17" style="2" customWidth="1"/>
    <col min="12040" max="12040" width="15.42578125" style="2" customWidth="1"/>
    <col min="12041" max="12041" width="15.5703125" style="2" customWidth="1"/>
    <col min="12042" max="12042" width="14.85546875" style="2" customWidth="1"/>
    <col min="12043" max="12043" width="11.28515625" style="2" bestFit="1" customWidth="1"/>
    <col min="12044" max="12044" width="10.28515625" style="2" bestFit="1" customWidth="1"/>
    <col min="12045" max="12045" width="12.7109375" style="2" bestFit="1" customWidth="1"/>
    <col min="12046" max="12046" width="12.42578125" style="2" bestFit="1" customWidth="1"/>
    <col min="12047" max="12047" width="11.42578125" style="2"/>
    <col min="12048" max="12048" width="12.140625" style="2" bestFit="1" customWidth="1"/>
    <col min="12049" max="12049" width="11.42578125" style="2"/>
    <col min="12050" max="12050" width="12.140625" style="2" bestFit="1" customWidth="1"/>
    <col min="12051" max="12054" width="11.42578125" style="2"/>
    <col min="12055" max="12055" width="11.140625" style="2" customWidth="1"/>
    <col min="12056" max="12288" width="11.42578125" style="2"/>
    <col min="12289" max="12289" width="42.7109375" style="2" customWidth="1"/>
    <col min="12290" max="12290" width="19.85546875" style="2" customWidth="1"/>
    <col min="12291" max="12292" width="20.140625" style="2" customWidth="1"/>
    <col min="12293" max="12293" width="23.28515625" style="2" customWidth="1"/>
    <col min="12294" max="12294" width="24.5703125" style="2" customWidth="1"/>
    <col min="12295" max="12295" width="17" style="2" customWidth="1"/>
    <col min="12296" max="12296" width="15.42578125" style="2" customWidth="1"/>
    <col min="12297" max="12297" width="15.5703125" style="2" customWidth="1"/>
    <col min="12298" max="12298" width="14.85546875" style="2" customWidth="1"/>
    <col min="12299" max="12299" width="11.28515625" style="2" bestFit="1" customWidth="1"/>
    <col min="12300" max="12300" width="10.28515625" style="2" bestFit="1" customWidth="1"/>
    <col min="12301" max="12301" width="12.7109375" style="2" bestFit="1" customWidth="1"/>
    <col min="12302" max="12302" width="12.42578125" style="2" bestFit="1" customWidth="1"/>
    <col min="12303" max="12303" width="11.42578125" style="2"/>
    <col min="12304" max="12304" width="12.140625" style="2" bestFit="1" customWidth="1"/>
    <col min="12305" max="12305" width="11.42578125" style="2"/>
    <col min="12306" max="12306" width="12.140625" style="2" bestFit="1" customWidth="1"/>
    <col min="12307" max="12310" width="11.42578125" style="2"/>
    <col min="12311" max="12311" width="11.140625" style="2" customWidth="1"/>
    <col min="12312" max="12544" width="11.42578125" style="2"/>
    <col min="12545" max="12545" width="42.7109375" style="2" customWidth="1"/>
    <col min="12546" max="12546" width="19.85546875" style="2" customWidth="1"/>
    <col min="12547" max="12548" width="20.140625" style="2" customWidth="1"/>
    <col min="12549" max="12549" width="23.28515625" style="2" customWidth="1"/>
    <col min="12550" max="12550" width="24.5703125" style="2" customWidth="1"/>
    <col min="12551" max="12551" width="17" style="2" customWidth="1"/>
    <col min="12552" max="12552" width="15.42578125" style="2" customWidth="1"/>
    <col min="12553" max="12553" width="15.5703125" style="2" customWidth="1"/>
    <col min="12554" max="12554" width="14.85546875" style="2" customWidth="1"/>
    <col min="12555" max="12555" width="11.28515625" style="2" bestFit="1" customWidth="1"/>
    <col min="12556" max="12556" width="10.28515625" style="2" bestFit="1" customWidth="1"/>
    <col min="12557" max="12557" width="12.7109375" style="2" bestFit="1" customWidth="1"/>
    <col min="12558" max="12558" width="12.42578125" style="2" bestFit="1" customWidth="1"/>
    <col min="12559" max="12559" width="11.42578125" style="2"/>
    <col min="12560" max="12560" width="12.140625" style="2" bestFit="1" customWidth="1"/>
    <col min="12561" max="12561" width="11.42578125" style="2"/>
    <col min="12562" max="12562" width="12.140625" style="2" bestFit="1" customWidth="1"/>
    <col min="12563" max="12566" width="11.42578125" style="2"/>
    <col min="12567" max="12567" width="11.140625" style="2" customWidth="1"/>
    <col min="12568" max="12800" width="11.42578125" style="2"/>
    <col min="12801" max="12801" width="42.7109375" style="2" customWidth="1"/>
    <col min="12802" max="12802" width="19.85546875" style="2" customWidth="1"/>
    <col min="12803" max="12804" width="20.140625" style="2" customWidth="1"/>
    <col min="12805" max="12805" width="23.28515625" style="2" customWidth="1"/>
    <col min="12806" max="12806" width="24.5703125" style="2" customWidth="1"/>
    <col min="12807" max="12807" width="17" style="2" customWidth="1"/>
    <col min="12808" max="12808" width="15.42578125" style="2" customWidth="1"/>
    <col min="12809" max="12809" width="15.5703125" style="2" customWidth="1"/>
    <col min="12810" max="12810" width="14.85546875" style="2" customWidth="1"/>
    <col min="12811" max="12811" width="11.28515625" style="2" bestFit="1" customWidth="1"/>
    <col min="12812" max="12812" width="10.28515625" style="2" bestFit="1" customWidth="1"/>
    <col min="12813" max="12813" width="12.7109375" style="2" bestFit="1" customWidth="1"/>
    <col min="12814" max="12814" width="12.42578125" style="2" bestFit="1" customWidth="1"/>
    <col min="12815" max="12815" width="11.42578125" style="2"/>
    <col min="12816" max="12816" width="12.140625" style="2" bestFit="1" customWidth="1"/>
    <col min="12817" max="12817" width="11.42578125" style="2"/>
    <col min="12818" max="12818" width="12.140625" style="2" bestFit="1" customWidth="1"/>
    <col min="12819" max="12822" width="11.42578125" style="2"/>
    <col min="12823" max="12823" width="11.140625" style="2" customWidth="1"/>
    <col min="12824" max="13056" width="11.42578125" style="2"/>
    <col min="13057" max="13057" width="42.7109375" style="2" customWidth="1"/>
    <col min="13058" max="13058" width="19.85546875" style="2" customWidth="1"/>
    <col min="13059" max="13060" width="20.140625" style="2" customWidth="1"/>
    <col min="13061" max="13061" width="23.28515625" style="2" customWidth="1"/>
    <col min="13062" max="13062" width="24.5703125" style="2" customWidth="1"/>
    <col min="13063" max="13063" width="17" style="2" customWidth="1"/>
    <col min="13064" max="13064" width="15.42578125" style="2" customWidth="1"/>
    <col min="13065" max="13065" width="15.5703125" style="2" customWidth="1"/>
    <col min="13066" max="13066" width="14.85546875" style="2" customWidth="1"/>
    <col min="13067" max="13067" width="11.28515625" style="2" bestFit="1" customWidth="1"/>
    <col min="13068" max="13068" width="10.28515625" style="2" bestFit="1" customWidth="1"/>
    <col min="13069" max="13069" width="12.7109375" style="2" bestFit="1" customWidth="1"/>
    <col min="13070" max="13070" width="12.42578125" style="2" bestFit="1" customWidth="1"/>
    <col min="13071" max="13071" width="11.42578125" style="2"/>
    <col min="13072" max="13072" width="12.140625" style="2" bestFit="1" customWidth="1"/>
    <col min="13073" max="13073" width="11.42578125" style="2"/>
    <col min="13074" max="13074" width="12.140625" style="2" bestFit="1" customWidth="1"/>
    <col min="13075" max="13078" width="11.42578125" style="2"/>
    <col min="13079" max="13079" width="11.140625" style="2" customWidth="1"/>
    <col min="13080" max="13312" width="11.42578125" style="2"/>
    <col min="13313" max="13313" width="42.7109375" style="2" customWidth="1"/>
    <col min="13314" max="13314" width="19.85546875" style="2" customWidth="1"/>
    <col min="13315" max="13316" width="20.140625" style="2" customWidth="1"/>
    <col min="13317" max="13317" width="23.28515625" style="2" customWidth="1"/>
    <col min="13318" max="13318" width="24.5703125" style="2" customWidth="1"/>
    <col min="13319" max="13319" width="17" style="2" customWidth="1"/>
    <col min="13320" max="13320" width="15.42578125" style="2" customWidth="1"/>
    <col min="13321" max="13321" width="15.5703125" style="2" customWidth="1"/>
    <col min="13322" max="13322" width="14.85546875" style="2" customWidth="1"/>
    <col min="13323" max="13323" width="11.28515625" style="2" bestFit="1" customWidth="1"/>
    <col min="13324" max="13324" width="10.28515625" style="2" bestFit="1" customWidth="1"/>
    <col min="13325" max="13325" width="12.7109375" style="2" bestFit="1" customWidth="1"/>
    <col min="13326" max="13326" width="12.42578125" style="2" bestFit="1" customWidth="1"/>
    <col min="13327" max="13327" width="11.42578125" style="2"/>
    <col min="13328" max="13328" width="12.140625" style="2" bestFit="1" customWidth="1"/>
    <col min="13329" max="13329" width="11.42578125" style="2"/>
    <col min="13330" max="13330" width="12.140625" style="2" bestFit="1" customWidth="1"/>
    <col min="13331" max="13334" width="11.42578125" style="2"/>
    <col min="13335" max="13335" width="11.140625" style="2" customWidth="1"/>
    <col min="13336" max="13568" width="11.42578125" style="2"/>
    <col min="13569" max="13569" width="42.7109375" style="2" customWidth="1"/>
    <col min="13570" max="13570" width="19.85546875" style="2" customWidth="1"/>
    <col min="13571" max="13572" width="20.140625" style="2" customWidth="1"/>
    <col min="13573" max="13573" width="23.28515625" style="2" customWidth="1"/>
    <col min="13574" max="13574" width="24.5703125" style="2" customWidth="1"/>
    <col min="13575" max="13575" width="17" style="2" customWidth="1"/>
    <col min="13576" max="13576" width="15.42578125" style="2" customWidth="1"/>
    <col min="13577" max="13577" width="15.5703125" style="2" customWidth="1"/>
    <col min="13578" max="13578" width="14.85546875" style="2" customWidth="1"/>
    <col min="13579" max="13579" width="11.28515625" style="2" bestFit="1" customWidth="1"/>
    <col min="13580" max="13580" width="10.28515625" style="2" bestFit="1" customWidth="1"/>
    <col min="13581" max="13581" width="12.7109375" style="2" bestFit="1" customWidth="1"/>
    <col min="13582" max="13582" width="12.42578125" style="2" bestFit="1" customWidth="1"/>
    <col min="13583" max="13583" width="11.42578125" style="2"/>
    <col min="13584" max="13584" width="12.140625" style="2" bestFit="1" customWidth="1"/>
    <col min="13585" max="13585" width="11.42578125" style="2"/>
    <col min="13586" max="13586" width="12.140625" style="2" bestFit="1" customWidth="1"/>
    <col min="13587" max="13590" width="11.42578125" style="2"/>
    <col min="13591" max="13591" width="11.140625" style="2" customWidth="1"/>
    <col min="13592" max="13824" width="11.42578125" style="2"/>
    <col min="13825" max="13825" width="42.7109375" style="2" customWidth="1"/>
    <col min="13826" max="13826" width="19.85546875" style="2" customWidth="1"/>
    <col min="13827" max="13828" width="20.140625" style="2" customWidth="1"/>
    <col min="13829" max="13829" width="23.28515625" style="2" customWidth="1"/>
    <col min="13830" max="13830" width="24.5703125" style="2" customWidth="1"/>
    <col min="13831" max="13831" width="17" style="2" customWidth="1"/>
    <col min="13832" max="13832" width="15.42578125" style="2" customWidth="1"/>
    <col min="13833" max="13833" width="15.5703125" style="2" customWidth="1"/>
    <col min="13834" max="13834" width="14.85546875" style="2" customWidth="1"/>
    <col min="13835" max="13835" width="11.28515625" style="2" bestFit="1" customWidth="1"/>
    <col min="13836" max="13836" width="10.28515625" style="2" bestFit="1" customWidth="1"/>
    <col min="13837" max="13837" width="12.7109375" style="2" bestFit="1" customWidth="1"/>
    <col min="13838" max="13838" width="12.42578125" style="2" bestFit="1" customWidth="1"/>
    <col min="13839" max="13839" width="11.42578125" style="2"/>
    <col min="13840" max="13840" width="12.140625" style="2" bestFit="1" customWidth="1"/>
    <col min="13841" max="13841" width="11.42578125" style="2"/>
    <col min="13842" max="13842" width="12.140625" style="2" bestFit="1" customWidth="1"/>
    <col min="13843" max="13846" width="11.42578125" style="2"/>
    <col min="13847" max="13847" width="11.140625" style="2" customWidth="1"/>
    <col min="13848" max="14080" width="11.42578125" style="2"/>
    <col min="14081" max="14081" width="42.7109375" style="2" customWidth="1"/>
    <col min="14082" max="14082" width="19.85546875" style="2" customWidth="1"/>
    <col min="14083" max="14084" width="20.140625" style="2" customWidth="1"/>
    <col min="14085" max="14085" width="23.28515625" style="2" customWidth="1"/>
    <col min="14086" max="14086" width="24.5703125" style="2" customWidth="1"/>
    <col min="14087" max="14087" width="17" style="2" customWidth="1"/>
    <col min="14088" max="14088" width="15.42578125" style="2" customWidth="1"/>
    <col min="14089" max="14089" width="15.5703125" style="2" customWidth="1"/>
    <col min="14090" max="14090" width="14.85546875" style="2" customWidth="1"/>
    <col min="14091" max="14091" width="11.28515625" style="2" bestFit="1" customWidth="1"/>
    <col min="14092" max="14092" width="10.28515625" style="2" bestFit="1" customWidth="1"/>
    <col min="14093" max="14093" width="12.7109375" style="2" bestFit="1" customWidth="1"/>
    <col min="14094" max="14094" width="12.42578125" style="2" bestFit="1" customWidth="1"/>
    <col min="14095" max="14095" width="11.42578125" style="2"/>
    <col min="14096" max="14096" width="12.140625" style="2" bestFit="1" customWidth="1"/>
    <col min="14097" max="14097" width="11.42578125" style="2"/>
    <col min="14098" max="14098" width="12.140625" style="2" bestFit="1" customWidth="1"/>
    <col min="14099" max="14102" width="11.42578125" style="2"/>
    <col min="14103" max="14103" width="11.140625" style="2" customWidth="1"/>
    <col min="14104" max="14336" width="11.42578125" style="2"/>
    <col min="14337" max="14337" width="42.7109375" style="2" customWidth="1"/>
    <col min="14338" max="14338" width="19.85546875" style="2" customWidth="1"/>
    <col min="14339" max="14340" width="20.140625" style="2" customWidth="1"/>
    <col min="14341" max="14341" width="23.28515625" style="2" customWidth="1"/>
    <col min="14342" max="14342" width="24.5703125" style="2" customWidth="1"/>
    <col min="14343" max="14343" width="17" style="2" customWidth="1"/>
    <col min="14344" max="14344" width="15.42578125" style="2" customWidth="1"/>
    <col min="14345" max="14345" width="15.5703125" style="2" customWidth="1"/>
    <col min="14346" max="14346" width="14.85546875" style="2" customWidth="1"/>
    <col min="14347" max="14347" width="11.28515625" style="2" bestFit="1" customWidth="1"/>
    <col min="14348" max="14348" width="10.28515625" style="2" bestFit="1" customWidth="1"/>
    <col min="14349" max="14349" width="12.7109375" style="2" bestFit="1" customWidth="1"/>
    <col min="14350" max="14350" width="12.42578125" style="2" bestFit="1" customWidth="1"/>
    <col min="14351" max="14351" width="11.42578125" style="2"/>
    <col min="14352" max="14352" width="12.140625" style="2" bestFit="1" customWidth="1"/>
    <col min="14353" max="14353" width="11.42578125" style="2"/>
    <col min="14354" max="14354" width="12.140625" style="2" bestFit="1" customWidth="1"/>
    <col min="14355" max="14358" width="11.42578125" style="2"/>
    <col min="14359" max="14359" width="11.140625" style="2" customWidth="1"/>
    <col min="14360" max="14592" width="11.42578125" style="2"/>
    <col min="14593" max="14593" width="42.7109375" style="2" customWidth="1"/>
    <col min="14594" max="14594" width="19.85546875" style="2" customWidth="1"/>
    <col min="14595" max="14596" width="20.140625" style="2" customWidth="1"/>
    <col min="14597" max="14597" width="23.28515625" style="2" customWidth="1"/>
    <col min="14598" max="14598" width="24.5703125" style="2" customWidth="1"/>
    <col min="14599" max="14599" width="17" style="2" customWidth="1"/>
    <col min="14600" max="14600" width="15.42578125" style="2" customWidth="1"/>
    <col min="14601" max="14601" width="15.5703125" style="2" customWidth="1"/>
    <col min="14602" max="14602" width="14.85546875" style="2" customWidth="1"/>
    <col min="14603" max="14603" width="11.28515625" style="2" bestFit="1" customWidth="1"/>
    <col min="14604" max="14604" width="10.28515625" style="2" bestFit="1" customWidth="1"/>
    <col min="14605" max="14605" width="12.7109375" style="2" bestFit="1" customWidth="1"/>
    <col min="14606" max="14606" width="12.42578125" style="2" bestFit="1" customWidth="1"/>
    <col min="14607" max="14607" width="11.42578125" style="2"/>
    <col min="14608" max="14608" width="12.140625" style="2" bestFit="1" customWidth="1"/>
    <col min="14609" max="14609" width="11.42578125" style="2"/>
    <col min="14610" max="14610" width="12.140625" style="2" bestFit="1" customWidth="1"/>
    <col min="14611" max="14614" width="11.42578125" style="2"/>
    <col min="14615" max="14615" width="11.140625" style="2" customWidth="1"/>
    <col min="14616" max="14848" width="11.42578125" style="2"/>
    <col min="14849" max="14849" width="42.7109375" style="2" customWidth="1"/>
    <col min="14850" max="14850" width="19.85546875" style="2" customWidth="1"/>
    <col min="14851" max="14852" width="20.140625" style="2" customWidth="1"/>
    <col min="14853" max="14853" width="23.28515625" style="2" customWidth="1"/>
    <col min="14854" max="14854" width="24.5703125" style="2" customWidth="1"/>
    <col min="14855" max="14855" width="17" style="2" customWidth="1"/>
    <col min="14856" max="14856" width="15.42578125" style="2" customWidth="1"/>
    <col min="14857" max="14857" width="15.5703125" style="2" customWidth="1"/>
    <col min="14858" max="14858" width="14.85546875" style="2" customWidth="1"/>
    <col min="14859" max="14859" width="11.28515625" style="2" bestFit="1" customWidth="1"/>
    <col min="14860" max="14860" width="10.28515625" style="2" bestFit="1" customWidth="1"/>
    <col min="14861" max="14861" width="12.7109375" style="2" bestFit="1" customWidth="1"/>
    <col min="14862" max="14862" width="12.42578125" style="2" bestFit="1" customWidth="1"/>
    <col min="14863" max="14863" width="11.42578125" style="2"/>
    <col min="14864" max="14864" width="12.140625" style="2" bestFit="1" customWidth="1"/>
    <col min="14865" max="14865" width="11.42578125" style="2"/>
    <col min="14866" max="14866" width="12.140625" style="2" bestFit="1" customWidth="1"/>
    <col min="14867" max="14870" width="11.42578125" style="2"/>
    <col min="14871" max="14871" width="11.140625" style="2" customWidth="1"/>
    <col min="14872" max="15104" width="11.42578125" style="2"/>
    <col min="15105" max="15105" width="42.7109375" style="2" customWidth="1"/>
    <col min="15106" max="15106" width="19.85546875" style="2" customWidth="1"/>
    <col min="15107" max="15108" width="20.140625" style="2" customWidth="1"/>
    <col min="15109" max="15109" width="23.28515625" style="2" customWidth="1"/>
    <col min="15110" max="15110" width="24.5703125" style="2" customWidth="1"/>
    <col min="15111" max="15111" width="17" style="2" customWidth="1"/>
    <col min="15112" max="15112" width="15.42578125" style="2" customWidth="1"/>
    <col min="15113" max="15113" width="15.5703125" style="2" customWidth="1"/>
    <col min="15114" max="15114" width="14.85546875" style="2" customWidth="1"/>
    <col min="15115" max="15115" width="11.28515625" style="2" bestFit="1" customWidth="1"/>
    <col min="15116" max="15116" width="10.28515625" style="2" bestFit="1" customWidth="1"/>
    <col min="15117" max="15117" width="12.7109375" style="2" bestFit="1" customWidth="1"/>
    <col min="15118" max="15118" width="12.42578125" style="2" bestFit="1" customWidth="1"/>
    <col min="15119" max="15119" width="11.42578125" style="2"/>
    <col min="15120" max="15120" width="12.140625" style="2" bestFit="1" customWidth="1"/>
    <col min="15121" max="15121" width="11.42578125" style="2"/>
    <col min="15122" max="15122" width="12.140625" style="2" bestFit="1" customWidth="1"/>
    <col min="15123" max="15126" width="11.42578125" style="2"/>
    <col min="15127" max="15127" width="11.140625" style="2" customWidth="1"/>
    <col min="15128" max="15360" width="11.42578125" style="2"/>
    <col min="15361" max="15361" width="42.7109375" style="2" customWidth="1"/>
    <col min="15362" max="15362" width="19.85546875" style="2" customWidth="1"/>
    <col min="15363" max="15364" width="20.140625" style="2" customWidth="1"/>
    <col min="15365" max="15365" width="23.28515625" style="2" customWidth="1"/>
    <col min="15366" max="15366" width="24.5703125" style="2" customWidth="1"/>
    <col min="15367" max="15367" width="17" style="2" customWidth="1"/>
    <col min="15368" max="15368" width="15.42578125" style="2" customWidth="1"/>
    <col min="15369" max="15369" width="15.5703125" style="2" customWidth="1"/>
    <col min="15370" max="15370" width="14.85546875" style="2" customWidth="1"/>
    <col min="15371" max="15371" width="11.28515625" style="2" bestFit="1" customWidth="1"/>
    <col min="15372" max="15372" width="10.28515625" style="2" bestFit="1" customWidth="1"/>
    <col min="15373" max="15373" width="12.7109375" style="2" bestFit="1" customWidth="1"/>
    <col min="15374" max="15374" width="12.42578125" style="2" bestFit="1" customWidth="1"/>
    <col min="15375" max="15375" width="11.42578125" style="2"/>
    <col min="15376" max="15376" width="12.140625" style="2" bestFit="1" customWidth="1"/>
    <col min="15377" max="15377" width="11.42578125" style="2"/>
    <col min="15378" max="15378" width="12.140625" style="2" bestFit="1" customWidth="1"/>
    <col min="15379" max="15382" width="11.42578125" style="2"/>
    <col min="15383" max="15383" width="11.140625" style="2" customWidth="1"/>
    <col min="15384" max="15616" width="11.42578125" style="2"/>
    <col min="15617" max="15617" width="42.7109375" style="2" customWidth="1"/>
    <col min="15618" max="15618" width="19.85546875" style="2" customWidth="1"/>
    <col min="15619" max="15620" width="20.140625" style="2" customWidth="1"/>
    <col min="15621" max="15621" width="23.28515625" style="2" customWidth="1"/>
    <col min="15622" max="15622" width="24.5703125" style="2" customWidth="1"/>
    <col min="15623" max="15623" width="17" style="2" customWidth="1"/>
    <col min="15624" max="15624" width="15.42578125" style="2" customWidth="1"/>
    <col min="15625" max="15625" width="15.5703125" style="2" customWidth="1"/>
    <col min="15626" max="15626" width="14.85546875" style="2" customWidth="1"/>
    <col min="15627" max="15627" width="11.28515625" style="2" bestFit="1" customWidth="1"/>
    <col min="15628" max="15628" width="10.28515625" style="2" bestFit="1" customWidth="1"/>
    <col min="15629" max="15629" width="12.7109375" style="2" bestFit="1" customWidth="1"/>
    <col min="15630" max="15630" width="12.42578125" style="2" bestFit="1" customWidth="1"/>
    <col min="15631" max="15631" width="11.42578125" style="2"/>
    <col min="15632" max="15632" width="12.140625" style="2" bestFit="1" customWidth="1"/>
    <col min="15633" max="15633" width="11.42578125" style="2"/>
    <col min="15634" max="15634" width="12.140625" style="2" bestFit="1" customWidth="1"/>
    <col min="15635" max="15638" width="11.42578125" style="2"/>
    <col min="15639" max="15639" width="11.140625" style="2" customWidth="1"/>
    <col min="15640" max="15872" width="11.42578125" style="2"/>
    <col min="15873" max="15873" width="42.7109375" style="2" customWidth="1"/>
    <col min="15874" max="15874" width="19.85546875" style="2" customWidth="1"/>
    <col min="15875" max="15876" width="20.140625" style="2" customWidth="1"/>
    <col min="15877" max="15877" width="23.28515625" style="2" customWidth="1"/>
    <col min="15878" max="15878" width="24.5703125" style="2" customWidth="1"/>
    <col min="15879" max="15879" width="17" style="2" customWidth="1"/>
    <col min="15880" max="15880" width="15.42578125" style="2" customWidth="1"/>
    <col min="15881" max="15881" width="15.5703125" style="2" customWidth="1"/>
    <col min="15882" max="15882" width="14.85546875" style="2" customWidth="1"/>
    <col min="15883" max="15883" width="11.28515625" style="2" bestFit="1" customWidth="1"/>
    <col min="15884" max="15884" width="10.28515625" style="2" bestFit="1" customWidth="1"/>
    <col min="15885" max="15885" width="12.7109375" style="2" bestFit="1" customWidth="1"/>
    <col min="15886" max="15886" width="12.42578125" style="2" bestFit="1" customWidth="1"/>
    <col min="15887" max="15887" width="11.42578125" style="2"/>
    <col min="15888" max="15888" width="12.140625" style="2" bestFit="1" customWidth="1"/>
    <col min="15889" max="15889" width="11.42578125" style="2"/>
    <col min="15890" max="15890" width="12.140625" style="2" bestFit="1" customWidth="1"/>
    <col min="15891" max="15894" width="11.42578125" style="2"/>
    <col min="15895" max="15895" width="11.140625" style="2" customWidth="1"/>
    <col min="15896" max="16128" width="11.42578125" style="2"/>
    <col min="16129" max="16129" width="42.7109375" style="2" customWidth="1"/>
    <col min="16130" max="16130" width="19.85546875" style="2" customWidth="1"/>
    <col min="16131" max="16132" width="20.140625" style="2" customWidth="1"/>
    <col min="16133" max="16133" width="23.28515625" style="2" customWidth="1"/>
    <col min="16134" max="16134" width="24.5703125" style="2" customWidth="1"/>
    <col min="16135" max="16135" width="17" style="2" customWidth="1"/>
    <col min="16136" max="16136" width="15.42578125" style="2" customWidth="1"/>
    <col min="16137" max="16137" width="15.5703125" style="2" customWidth="1"/>
    <col min="16138" max="16138" width="14.85546875" style="2" customWidth="1"/>
    <col min="16139" max="16139" width="11.28515625" style="2" bestFit="1" customWidth="1"/>
    <col min="16140" max="16140" width="10.28515625" style="2" bestFit="1" customWidth="1"/>
    <col min="16141" max="16141" width="12.7109375" style="2" bestFit="1" customWidth="1"/>
    <col min="16142" max="16142" width="12.42578125" style="2" bestFit="1" customWidth="1"/>
    <col min="16143" max="16143" width="11.42578125" style="2"/>
    <col min="16144" max="16144" width="12.140625" style="2" bestFit="1" customWidth="1"/>
    <col min="16145" max="16145" width="11.42578125" style="2"/>
    <col min="16146" max="16146" width="12.140625" style="2" bestFit="1" customWidth="1"/>
    <col min="16147" max="16150" width="11.42578125" style="2"/>
    <col min="16151" max="16151" width="11.140625" style="2" customWidth="1"/>
    <col min="16152" max="16384" width="11.42578125" style="2"/>
  </cols>
  <sheetData>
    <row r="1" spans="1:256" ht="13.5" thickBot="1" x14ac:dyDescent="0.25"/>
    <row r="2" spans="1:256" ht="26.25" customHeight="1" thickBot="1" x14ac:dyDescent="0.25">
      <c r="A2" s="520" t="s">
        <v>238</v>
      </c>
      <c r="B2" s="521"/>
      <c r="C2" s="521"/>
      <c r="D2" s="521"/>
      <c r="E2" s="521"/>
      <c r="F2" s="522"/>
      <c r="G2" s="129"/>
      <c r="H2" s="130"/>
      <c r="I2" s="131"/>
      <c r="J2" s="53"/>
      <c r="K2" s="132"/>
      <c r="L2" s="132"/>
      <c r="M2" s="133"/>
      <c r="N2" s="134"/>
      <c r="O2" s="134"/>
      <c r="P2" s="135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ht="32.25" customHeight="1" x14ac:dyDescent="0.2">
      <c r="A3" s="477" t="s">
        <v>64</v>
      </c>
      <c r="B3" s="477"/>
      <c r="C3" s="477"/>
      <c r="D3" s="477"/>
      <c r="E3" s="477"/>
      <c r="F3" s="477"/>
      <c r="G3" s="136"/>
      <c r="H3" s="136"/>
      <c r="I3" s="129"/>
      <c r="J3" s="53"/>
      <c r="K3" s="132"/>
      <c r="L3" s="132"/>
      <c r="M3" s="133"/>
      <c r="O3" s="137"/>
      <c r="P3" s="138"/>
      <c r="Q3" s="137"/>
      <c r="R3" s="137"/>
      <c r="S3" s="137"/>
      <c r="T3" s="137"/>
      <c r="U3" s="137"/>
      <c r="V3" s="137"/>
      <c r="W3" s="7"/>
      <c r="X3" s="7"/>
      <c r="Y3" s="7"/>
      <c r="Z3" s="7"/>
      <c r="AA3" s="7"/>
      <c r="AB3" s="7"/>
      <c r="AC3" s="7"/>
    </row>
    <row r="4" spans="1:256" x14ac:dyDescent="0.2">
      <c r="A4" s="139"/>
      <c r="B4" s="140"/>
      <c r="C4" s="140"/>
      <c r="D4" s="140"/>
      <c r="E4" s="140"/>
      <c r="F4" s="140"/>
      <c r="G4" s="141"/>
      <c r="H4" s="142"/>
      <c r="I4" s="142">
        <v>289</v>
      </c>
      <c r="J4" s="143">
        <v>276</v>
      </c>
      <c r="K4" s="12">
        <f>SUM(I4:J4)</f>
        <v>565</v>
      </c>
      <c r="L4" s="144"/>
      <c r="O4" s="144"/>
      <c r="P4" s="144"/>
      <c r="Q4" s="7"/>
      <c r="R4" s="7"/>
      <c r="S4" s="145"/>
      <c r="U4" s="145"/>
      <c r="V4" s="145"/>
      <c r="W4" s="7"/>
      <c r="X4" s="145"/>
      <c r="Y4" s="146"/>
      <c r="Z4" s="7"/>
      <c r="AA4" s="7"/>
      <c r="AB4" s="7"/>
      <c r="AC4" s="7"/>
    </row>
    <row r="5" spans="1:256" ht="25.5" x14ac:dyDescent="0.2">
      <c r="A5" s="147"/>
      <c r="B5" s="148"/>
      <c r="C5" s="149" t="s">
        <v>65</v>
      </c>
      <c r="D5" s="149" t="s">
        <v>66</v>
      </c>
      <c r="E5" s="149" t="s">
        <v>67</v>
      </c>
      <c r="F5" s="150"/>
      <c r="G5" s="150"/>
      <c r="H5" s="143"/>
      <c r="I5" s="143">
        <v>216</v>
      </c>
      <c r="J5" s="143">
        <v>194</v>
      </c>
      <c r="K5" s="143">
        <f>SUM(I5:J5)</f>
        <v>410</v>
      </c>
      <c r="L5" s="151"/>
      <c r="M5" s="151"/>
      <c r="N5" s="152"/>
      <c r="O5" s="152"/>
      <c r="P5" s="152"/>
      <c r="Q5" s="152"/>
      <c r="R5" s="152"/>
      <c r="S5" s="153"/>
      <c r="T5" s="154"/>
      <c r="U5" s="153"/>
      <c r="V5" s="153"/>
      <c r="W5" s="154"/>
      <c r="X5" s="153"/>
      <c r="Y5" s="155"/>
      <c r="Z5" s="154"/>
      <c r="AA5" s="154"/>
      <c r="AB5" s="154"/>
      <c r="AC5" s="7"/>
    </row>
    <row r="6" spans="1:256" x14ac:dyDescent="0.2">
      <c r="B6" s="156" t="s">
        <v>0</v>
      </c>
      <c r="C6" s="157">
        <v>15</v>
      </c>
      <c r="D6" s="158">
        <f>E6-C6</f>
        <v>725</v>
      </c>
      <c r="E6" s="159">
        <v>740</v>
      </c>
      <c r="F6" s="150"/>
      <c r="G6" s="150"/>
      <c r="H6" s="143"/>
      <c r="I6" s="143"/>
      <c r="J6" s="143"/>
      <c r="K6" s="143"/>
      <c r="L6" s="143"/>
      <c r="M6" s="152"/>
      <c r="N6" s="152"/>
      <c r="O6" s="152"/>
      <c r="P6" s="152"/>
      <c r="Q6" s="152"/>
      <c r="R6" s="152"/>
      <c r="S6" s="153"/>
      <c r="T6" s="154"/>
      <c r="U6" s="153"/>
      <c r="V6" s="153"/>
      <c r="W6" s="154"/>
      <c r="X6" s="153"/>
      <c r="Y6" s="154"/>
      <c r="Z6" s="154"/>
      <c r="AA6" s="154"/>
      <c r="AB6" s="154"/>
      <c r="AC6" s="7"/>
    </row>
    <row r="7" spans="1:256" x14ac:dyDescent="0.2">
      <c r="A7" s="160"/>
      <c r="B7" s="156" t="s">
        <v>1</v>
      </c>
      <c r="C7" s="157">
        <v>9</v>
      </c>
      <c r="D7" s="158">
        <f>E7-C7</f>
        <v>711</v>
      </c>
      <c r="E7" s="159">
        <v>720</v>
      </c>
      <c r="F7" s="150"/>
      <c r="G7" s="150"/>
      <c r="H7" s="143"/>
      <c r="I7" s="143"/>
      <c r="J7" s="143"/>
      <c r="K7" s="143"/>
      <c r="L7" s="143"/>
      <c r="M7" s="152"/>
      <c r="N7" s="152"/>
      <c r="O7" s="152"/>
      <c r="P7" s="152"/>
      <c r="Q7" s="152"/>
      <c r="R7" s="152"/>
      <c r="S7" s="153"/>
      <c r="T7" s="154"/>
      <c r="U7" s="153"/>
      <c r="V7" s="153"/>
      <c r="W7" s="154"/>
      <c r="X7" s="153"/>
      <c r="Y7" s="154"/>
      <c r="Z7" s="154"/>
      <c r="AA7" s="154"/>
      <c r="AB7" s="154"/>
      <c r="AC7" s="7"/>
    </row>
    <row r="8" spans="1:256" x14ac:dyDescent="0.2">
      <c r="B8" s="161" t="s">
        <v>67</v>
      </c>
      <c r="C8" s="162">
        <f>SUM(C6:C7)</f>
        <v>24</v>
      </c>
      <c r="D8" s="162">
        <f>SUM(D6:D7)</f>
        <v>1436</v>
      </c>
      <c r="E8" s="162">
        <f>SUM(E6:E7)</f>
        <v>1460</v>
      </c>
      <c r="F8" s="151"/>
      <c r="G8" s="143"/>
      <c r="H8" s="143"/>
      <c r="I8" s="143"/>
      <c r="J8" s="143"/>
      <c r="K8" s="143"/>
      <c r="L8" s="143"/>
      <c r="M8" s="151"/>
      <c r="N8" s="152"/>
      <c r="O8" s="152"/>
      <c r="P8" s="152"/>
      <c r="Q8" s="152"/>
      <c r="R8" s="152"/>
      <c r="S8" s="153"/>
      <c r="T8" s="154"/>
      <c r="U8" s="153"/>
      <c r="V8" s="153"/>
      <c r="W8" s="154"/>
      <c r="X8" s="153"/>
      <c r="Y8" s="154"/>
      <c r="Z8" s="154"/>
      <c r="AA8" s="154"/>
      <c r="AB8" s="154"/>
      <c r="AC8" s="7"/>
    </row>
    <row r="9" spans="1:256" x14ac:dyDescent="0.2">
      <c r="B9" s="163"/>
      <c r="C9" s="164"/>
      <c r="D9" s="165"/>
      <c r="E9" s="165"/>
      <c r="G9" s="4"/>
      <c r="H9" s="166"/>
      <c r="I9" s="166"/>
      <c r="J9" s="166"/>
      <c r="L9" s="144"/>
      <c r="O9" s="167"/>
      <c r="P9" s="168"/>
      <c r="Q9" s="168"/>
      <c r="R9" s="168"/>
      <c r="S9" s="145"/>
      <c r="U9" s="145"/>
      <c r="V9" s="145"/>
      <c r="W9" s="7"/>
      <c r="X9" s="145"/>
      <c r="Y9" s="7"/>
      <c r="Z9" s="7"/>
      <c r="AA9" s="7"/>
      <c r="AB9" s="7"/>
      <c r="AC9" s="7"/>
    </row>
    <row r="10" spans="1:256" hidden="1" x14ac:dyDescent="0.2">
      <c r="A10" s="169" t="s">
        <v>68</v>
      </c>
      <c r="B10" s="170"/>
      <c r="C10" s="171"/>
      <c r="D10" s="5"/>
      <c r="E10" s="144"/>
      <c r="F10" s="12"/>
      <c r="G10" s="144"/>
      <c r="H10" s="172"/>
      <c r="I10" s="144"/>
      <c r="J10" s="9"/>
      <c r="K10" s="9"/>
      <c r="L10" s="12"/>
      <c r="M10" s="9"/>
      <c r="N10" s="9"/>
      <c r="O10" s="5"/>
      <c r="P10" s="141"/>
      <c r="Q10" s="141"/>
      <c r="R10" s="141"/>
      <c r="S10" s="5"/>
      <c r="T10" s="5"/>
      <c r="U10" s="5"/>
      <c r="V10" s="5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hidden="1" x14ac:dyDescent="0.2">
      <c r="A11" s="2" t="s">
        <v>69</v>
      </c>
      <c r="B11" s="170"/>
      <c r="C11" s="171"/>
      <c r="D11" s="5"/>
      <c r="E11" s="144"/>
      <c r="F11" s="12"/>
      <c r="G11" s="144"/>
      <c r="H11" s="172"/>
      <c r="I11" s="144"/>
      <c r="J11" s="173"/>
      <c r="K11" s="9"/>
      <c r="L11" s="9"/>
      <c r="M11" s="9"/>
      <c r="N11" s="9"/>
      <c r="O11" s="5"/>
      <c r="P11" s="174"/>
      <c r="Q11" s="174"/>
      <c r="R11" s="174"/>
      <c r="S11" s="5"/>
      <c r="T11" s="5"/>
      <c r="U11" s="5"/>
      <c r="V11" s="5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ht="51" hidden="1" x14ac:dyDescent="0.2">
      <c r="A12" s="175" t="s">
        <v>70</v>
      </c>
      <c r="B12" s="175" t="s">
        <v>71</v>
      </c>
      <c r="C12" s="175" t="s">
        <v>72</v>
      </c>
      <c r="D12" s="175" t="s">
        <v>73</v>
      </c>
      <c r="E12" s="175" t="s">
        <v>74</v>
      </c>
      <c r="F12" s="175" t="s">
        <v>75</v>
      </c>
      <c r="G12" s="175" t="s">
        <v>76</v>
      </c>
      <c r="H12" s="175" t="s">
        <v>77</v>
      </c>
      <c r="I12" s="144"/>
      <c r="J12" s="176" t="s">
        <v>78</v>
      </c>
      <c r="K12" s="177" t="s">
        <v>76</v>
      </c>
      <c r="L12" s="177" t="s">
        <v>77</v>
      </c>
      <c r="M12" s="9"/>
      <c r="N12" s="9"/>
      <c r="O12" s="5"/>
      <c r="P12" s="5"/>
      <c r="Q12" s="5"/>
      <c r="R12" s="5"/>
      <c r="S12" s="5"/>
      <c r="T12" s="5"/>
      <c r="U12" s="5"/>
      <c r="V12" s="5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idden="1" x14ac:dyDescent="0.2">
      <c r="A13" s="178">
        <f>LN((C6/E6)/(C7/E7))</f>
        <v>0.48342664957787629</v>
      </c>
      <c r="B13" s="178">
        <f>SQRT((D6/(C6*E6)+(D7/(C7*E7))))</f>
        <v>0.41837487680014623</v>
      </c>
      <c r="C13" s="179">
        <f>-NORMSINV(2.5/100)</f>
        <v>1.9599639845400538</v>
      </c>
      <c r="D13" s="179">
        <f>A13-(C13*B13)</f>
        <v>-0.33657304098679242</v>
      </c>
      <c r="E13" s="180">
        <f>A13+(C13*B13)</f>
        <v>1.303426340142545</v>
      </c>
      <c r="F13" s="181">
        <f>(C6/E6)/(C7/E7)</f>
        <v>1.6216216216216217</v>
      </c>
      <c r="G13" s="182">
        <f>EXP(D13)</f>
        <v>0.71421371479643558</v>
      </c>
      <c r="H13" s="183">
        <f>EXP(E13)</f>
        <v>3.6818904891237487</v>
      </c>
      <c r="I13" s="144"/>
      <c r="J13" s="184">
        <f>1-F13</f>
        <v>-0.62162162162162171</v>
      </c>
      <c r="K13" s="184">
        <f>1-G13</f>
        <v>0.28578628520356442</v>
      </c>
      <c r="L13" s="184">
        <f>1-H13</f>
        <v>-2.6818904891237487</v>
      </c>
      <c r="M13" s="185"/>
      <c r="N13" s="9"/>
      <c r="O13" s="5"/>
      <c r="P13" s="5"/>
      <c r="Q13" s="5"/>
      <c r="R13" s="5"/>
      <c r="S13" s="5"/>
      <c r="T13" s="5"/>
      <c r="U13" s="5"/>
      <c r="V13" s="5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idden="1" x14ac:dyDescent="0.2">
      <c r="A14" s="9"/>
      <c r="B14" s="170"/>
      <c r="C14" s="186"/>
      <c r="D14" s="187"/>
      <c r="E14" s="188"/>
      <c r="F14" s="189"/>
      <c r="G14" s="188"/>
      <c r="H14" s="190"/>
      <c r="I14" s="144"/>
      <c r="J14" s="12"/>
      <c r="K14" s="12"/>
      <c r="L14" s="12"/>
      <c r="M14" s="9"/>
      <c r="N14" s="9"/>
      <c r="O14" s="5"/>
      <c r="P14" s="5"/>
      <c r="Q14" s="5"/>
      <c r="R14" s="5"/>
      <c r="S14" s="5"/>
      <c r="T14" s="5"/>
      <c r="U14" s="5"/>
      <c r="V14" s="5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idden="1" x14ac:dyDescent="0.2">
      <c r="A15" s="7"/>
      <c r="B15" s="191"/>
      <c r="C15" s="192"/>
      <c r="D15" s="193"/>
      <c r="E15" s="194"/>
      <c r="F15" s="195"/>
      <c r="G15" s="196"/>
      <c r="H15" s="197"/>
      <c r="I15" s="198"/>
      <c r="J15" s="7"/>
      <c r="K15" s="7"/>
      <c r="L15" s="13"/>
      <c r="M15" s="13"/>
      <c r="P15" s="7"/>
      <c r="Q15" s="7"/>
      <c r="R15" s="7"/>
      <c r="S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hidden="1" x14ac:dyDescent="0.2">
      <c r="A16" s="199" t="s">
        <v>79</v>
      </c>
      <c r="B16" s="200"/>
      <c r="C16" s="201"/>
      <c r="D16" s="202"/>
      <c r="E16" s="198"/>
      <c r="F16" s="198"/>
      <c r="G16" s="198"/>
      <c r="H16" s="203"/>
      <c r="I16" s="198"/>
      <c r="J16" s="7"/>
      <c r="K16" s="54"/>
      <c r="L16" s="5"/>
      <c r="M16" s="27"/>
      <c r="N16" s="27"/>
      <c r="O16" s="5"/>
      <c r="P16" s="5"/>
      <c r="Q16" s="40"/>
      <c r="R16" s="27"/>
      <c r="S16" s="24"/>
      <c r="T16" s="24"/>
      <c r="U16" s="24"/>
      <c r="V16" s="7"/>
      <c r="W16" s="7"/>
      <c r="X16" s="7"/>
      <c r="Y16" s="7"/>
      <c r="Z16" s="7"/>
      <c r="AA16" s="7"/>
      <c r="AB16" s="7"/>
    </row>
    <row r="17" spans="1:256" hidden="1" x14ac:dyDescent="0.2">
      <c r="A17" s="204" t="s">
        <v>80</v>
      </c>
      <c r="B17" s="205" t="s">
        <v>81</v>
      </c>
      <c r="C17" s="56"/>
      <c r="D17" s="206"/>
      <c r="E17" s="207"/>
      <c r="F17" s="207"/>
      <c r="G17" s="207"/>
      <c r="H17" s="208"/>
      <c r="I17" s="207"/>
      <c r="J17" s="209"/>
      <c r="K17" s="26"/>
      <c r="L17" s="210"/>
      <c r="M17" s="27"/>
      <c r="N17" s="27"/>
      <c r="O17" s="5"/>
      <c r="P17" s="5"/>
      <c r="Q17" s="40"/>
      <c r="R17" s="27"/>
      <c r="S17" s="24"/>
      <c r="T17" s="24"/>
      <c r="U17" s="24"/>
      <c r="V17" s="7"/>
      <c r="W17" s="7" t="s">
        <v>82</v>
      </c>
      <c r="X17" s="7"/>
      <c r="Y17" s="7"/>
      <c r="Z17" s="7"/>
      <c r="AA17" s="7"/>
      <c r="AB17" s="7"/>
    </row>
    <row r="18" spans="1:256" hidden="1" x14ac:dyDescent="0.2">
      <c r="A18" s="211" t="s">
        <v>83</v>
      </c>
      <c r="B18" s="212" t="s">
        <v>84</v>
      </c>
      <c r="C18" s="213"/>
      <c r="D18" s="212" t="s">
        <v>85</v>
      </c>
      <c r="E18" s="212"/>
      <c r="F18" s="212" t="s">
        <v>86</v>
      </c>
      <c r="G18" s="212"/>
      <c r="H18" s="212" t="s">
        <v>87</v>
      </c>
      <c r="I18" s="214"/>
      <c r="J18" s="214"/>
      <c r="K18" s="214"/>
      <c r="L18" s="210"/>
      <c r="M18" s="27"/>
      <c r="W18" s="2" t="s">
        <v>88</v>
      </c>
      <c r="Y18" s="28"/>
      <c r="Z18" s="28"/>
      <c r="AA18" s="28"/>
      <c r="AB18" s="28"/>
      <c r="AC18" s="28"/>
      <c r="AD18" s="28"/>
    </row>
    <row r="19" spans="1:256" ht="27.75" hidden="1" customHeight="1" x14ac:dyDescent="0.2">
      <c r="A19" s="215" t="s">
        <v>89</v>
      </c>
      <c r="B19" s="215" t="s">
        <v>90</v>
      </c>
      <c r="C19" s="216" t="s">
        <v>91</v>
      </c>
      <c r="D19" s="216" t="s">
        <v>84</v>
      </c>
      <c r="E19" s="216" t="s">
        <v>85</v>
      </c>
      <c r="F19" s="216" t="s">
        <v>86</v>
      </c>
      <c r="G19" s="216" t="s">
        <v>87</v>
      </c>
      <c r="H19" s="217" t="s">
        <v>72</v>
      </c>
      <c r="I19" s="218" t="s">
        <v>92</v>
      </c>
      <c r="J19" s="218" t="s">
        <v>76</v>
      </c>
      <c r="K19" s="219" t="s">
        <v>77</v>
      </c>
      <c r="L19" s="507" t="s">
        <v>93</v>
      </c>
      <c r="M19" s="27"/>
      <c r="N19" s="220" t="s">
        <v>94</v>
      </c>
      <c r="O19" s="221"/>
      <c r="P19" s="221"/>
      <c r="Q19" s="221"/>
      <c r="R19" s="221"/>
      <c r="S19" s="221"/>
      <c r="T19" s="221"/>
      <c r="U19" s="222"/>
      <c r="V19" s="7"/>
      <c r="W19" s="223" t="s">
        <v>95</v>
      </c>
      <c r="X19" s="224"/>
      <c r="Y19" s="225"/>
      <c r="Z19" s="226"/>
      <c r="AA19" s="226"/>
      <c r="AB19" s="226"/>
      <c r="AC19" s="226"/>
      <c r="AD19" s="227"/>
    </row>
    <row r="20" spans="1:256" ht="21" hidden="1" customHeight="1" x14ac:dyDescent="0.2">
      <c r="A20" s="228">
        <f>C6</f>
        <v>15</v>
      </c>
      <c r="B20" s="228">
        <f>E6</f>
        <v>740</v>
      </c>
      <c r="C20" s="229">
        <f>A20/B20</f>
        <v>2.0270270270270271E-2</v>
      </c>
      <c r="D20" s="230">
        <f>2*A20+H20^2</f>
        <v>33.841458820694122</v>
      </c>
      <c r="E20" s="230">
        <f>H20*SQRT((H20^2)+(4*A20*(1-C20)))</f>
        <v>15.510392986674487</v>
      </c>
      <c r="F20" s="231">
        <f>2*(B20+H20^2)</f>
        <v>1487.6829176413883</v>
      </c>
      <c r="G20" s="232" t="s">
        <v>96</v>
      </c>
      <c r="H20" s="233">
        <f>-NORMSINV(2.5/100)</f>
        <v>1.9599639845400538</v>
      </c>
      <c r="I20" s="234">
        <f>C20</f>
        <v>2.0270270270270271E-2</v>
      </c>
      <c r="J20" s="235">
        <f>(D20-E20)/F20</f>
        <v>1.2321890381777178E-2</v>
      </c>
      <c r="K20" s="236">
        <f>(D20+E20)/F20</f>
        <v>3.3173636143925309E-2</v>
      </c>
      <c r="L20" s="508"/>
      <c r="M20" s="27"/>
      <c r="N20" s="237">
        <f>B20</f>
        <v>740</v>
      </c>
      <c r="O20" s="10" t="s">
        <v>97</v>
      </c>
      <c r="P20" s="5"/>
      <c r="Q20" s="40"/>
      <c r="R20" s="27"/>
      <c r="S20" s="24"/>
      <c r="T20" s="24"/>
      <c r="U20" s="238"/>
      <c r="V20" s="7"/>
      <c r="W20" s="239">
        <f>ABS(C20-C21)</f>
        <v>7.7702702702702707E-3</v>
      </c>
      <c r="X20" s="10" t="s">
        <v>98</v>
      </c>
      <c r="Y20" s="5"/>
      <c r="Z20" s="10"/>
      <c r="AA20" s="10"/>
      <c r="AB20" s="10"/>
      <c r="AC20" s="10"/>
      <c r="AD20" s="240"/>
    </row>
    <row r="21" spans="1:256" hidden="1" x14ac:dyDescent="0.2">
      <c r="A21" s="228">
        <f>C7</f>
        <v>9</v>
      </c>
      <c r="B21" s="228">
        <f>E7</f>
        <v>720</v>
      </c>
      <c r="C21" s="229">
        <f>A21/B21</f>
        <v>1.2500000000000001E-2</v>
      </c>
      <c r="D21" s="230">
        <f>2*A21+H21^2</f>
        <v>21.841458820694125</v>
      </c>
      <c r="E21" s="230">
        <f>H21*SQRT((H21^2)+(4*A21*(1-C21)))</f>
        <v>12.301246560685012</v>
      </c>
      <c r="F21" s="231">
        <f>2*(B21+H21^2)</f>
        <v>1447.6829176413883</v>
      </c>
      <c r="G21" s="232" t="s">
        <v>96</v>
      </c>
      <c r="H21" s="233">
        <f>-NORMSINV(2.5/100)</f>
        <v>1.9599639845400538</v>
      </c>
      <c r="I21" s="234">
        <f>C21</f>
        <v>1.2500000000000001E-2</v>
      </c>
      <c r="J21" s="235">
        <f>(D21-E21)/F21</f>
        <v>6.589987450810247E-3</v>
      </c>
      <c r="K21" s="236">
        <f>(D21+E21)/F21</f>
        <v>2.3584380920240143E-2</v>
      </c>
      <c r="L21" s="508"/>
      <c r="N21" s="241">
        <f>I25</f>
        <v>-7.7702702702702707E-3</v>
      </c>
      <c r="O21" s="10" t="s">
        <v>99</v>
      </c>
      <c r="P21" s="10"/>
      <c r="Q21" s="10"/>
      <c r="R21" s="10"/>
      <c r="S21" s="10"/>
      <c r="T21" s="10"/>
      <c r="U21" s="242"/>
      <c r="V21" s="7"/>
      <c r="W21" s="243">
        <f>SQRT((C22*(1-C22)/B20)+(C22*(1-C22)/B21))</f>
        <v>6.6561684587421533E-3</v>
      </c>
      <c r="X21" s="34" t="s">
        <v>100</v>
      </c>
      <c r="Y21" s="10"/>
      <c r="Z21" s="10"/>
      <c r="AA21" s="10"/>
      <c r="AB21" s="10"/>
      <c r="AC21" s="10"/>
      <c r="AD21" s="240"/>
    </row>
    <row r="22" spans="1:256" hidden="1" x14ac:dyDescent="0.2">
      <c r="A22" s="244">
        <f>A20+A21</f>
        <v>24</v>
      </c>
      <c r="B22" s="244">
        <f>B20+B21</f>
        <v>1460</v>
      </c>
      <c r="C22" s="245">
        <f>A22/B22</f>
        <v>1.643835616438356E-2</v>
      </c>
      <c r="D22" s="246"/>
      <c r="E22" s="246"/>
      <c r="F22" s="247"/>
      <c r="G22" s="248"/>
      <c r="H22" s="249"/>
      <c r="I22" s="250"/>
      <c r="J22" s="250"/>
      <c r="K22" s="250"/>
      <c r="L22" s="508"/>
      <c r="N22" s="251">
        <f>(A20+A21)/(B20+B21)</f>
        <v>1.643835616438356E-2</v>
      </c>
      <c r="O22" s="10" t="s">
        <v>101</v>
      </c>
      <c r="P22" s="5"/>
      <c r="Q22" s="40"/>
      <c r="R22" s="27"/>
      <c r="S22" s="24"/>
      <c r="T22" s="24"/>
      <c r="U22" s="240"/>
      <c r="V22" s="7"/>
      <c r="W22" s="252">
        <f>W20/W21</f>
        <v>1.1673788484221528</v>
      </c>
      <c r="X22" s="10" t="s">
        <v>102</v>
      </c>
      <c r="Y22" s="5"/>
      <c r="Z22" s="10"/>
      <c r="AA22" s="10"/>
      <c r="AB22" s="10"/>
      <c r="AC22" s="10"/>
      <c r="AD22" s="240"/>
    </row>
    <row r="23" spans="1:256" hidden="1" x14ac:dyDescent="0.2">
      <c r="A23" s="212"/>
      <c r="B23" s="205" t="s">
        <v>103</v>
      </c>
      <c r="C23" s="212"/>
      <c r="D23" s="212"/>
      <c r="E23" s="207"/>
      <c r="F23" s="207"/>
      <c r="G23" s="207"/>
      <c r="H23" s="208"/>
      <c r="I23" s="207"/>
      <c r="J23" s="209"/>
      <c r="K23" s="212"/>
      <c r="L23" s="508"/>
      <c r="N23" s="253">
        <f>SQRT(N20*N21^2/(2*N22*(1-N22)))-H20</f>
        <v>-0.78450629336615707</v>
      </c>
      <c r="O23" s="10" t="s">
        <v>104</v>
      </c>
      <c r="P23" s="10"/>
      <c r="Q23" s="10"/>
      <c r="R23" s="10"/>
      <c r="S23" s="10"/>
      <c r="T23" s="9"/>
      <c r="U23" s="238"/>
      <c r="V23" s="7"/>
      <c r="W23" s="254">
        <f>NORMSDIST(-W22)</f>
        <v>0.12152870455651579</v>
      </c>
      <c r="X23" s="54" t="s">
        <v>105</v>
      </c>
      <c r="Y23" s="10"/>
      <c r="Z23" s="9"/>
      <c r="AA23" s="9"/>
      <c r="AB23" s="9"/>
      <c r="AC23" s="9"/>
      <c r="AD23" s="242"/>
    </row>
    <row r="24" spans="1:256" hidden="1" x14ac:dyDescent="0.2">
      <c r="A24" s="212"/>
      <c r="B24" s="205" t="s">
        <v>106</v>
      </c>
      <c r="C24" s="56"/>
      <c r="D24" s="206"/>
      <c r="E24" s="207"/>
      <c r="F24" s="207"/>
      <c r="I24" s="35"/>
      <c r="J24" s="35"/>
      <c r="K24" s="35"/>
      <c r="L24" s="508"/>
      <c r="N24" s="255">
        <f>NORMSDIST(N23)</f>
        <v>0.21637154531028388</v>
      </c>
      <c r="O24" s="54" t="s">
        <v>107</v>
      </c>
      <c r="P24" s="256"/>
      <c r="Q24" s="10"/>
      <c r="R24" s="10"/>
      <c r="S24" s="10"/>
      <c r="T24" s="10"/>
      <c r="U24" s="240"/>
      <c r="V24" s="7"/>
      <c r="W24" s="257">
        <f>1-W23</f>
        <v>0.87847129544348423</v>
      </c>
      <c r="X24" s="258" t="s">
        <v>108</v>
      </c>
      <c r="Y24" s="256"/>
      <c r="Z24" s="9"/>
      <c r="AA24" s="9"/>
      <c r="AB24" s="9"/>
      <c r="AC24" s="9"/>
      <c r="AD24" s="242"/>
    </row>
    <row r="25" spans="1:256" ht="13.5" hidden="1" thickBot="1" x14ac:dyDescent="0.25">
      <c r="A25" s="199" t="s">
        <v>109</v>
      </c>
      <c r="B25" s="259"/>
      <c r="D25" s="56"/>
      <c r="E25" s="260" t="s">
        <v>110</v>
      </c>
      <c r="F25" s="212"/>
      <c r="G25" s="56"/>
      <c r="H25" s="261" t="s">
        <v>22</v>
      </c>
      <c r="I25" s="262">
        <f>C21-C20</f>
        <v>-7.7702702702702707E-3</v>
      </c>
      <c r="J25" s="263">
        <f>I25+SQRT((C21-J21)^2+(K20-C20)^2)</f>
        <v>6.4221607829702473E-3</v>
      </c>
      <c r="K25" s="264">
        <f>I25-SQRT((C20-J20)^2+(K21-C21)^2)</f>
        <v>-2.1409927276103857E-2</v>
      </c>
      <c r="L25" s="508"/>
      <c r="N25" s="265">
        <f>1-N24</f>
        <v>0.78362845468971609</v>
      </c>
      <c r="O25" s="266" t="s">
        <v>111</v>
      </c>
      <c r="P25" s="267"/>
      <c r="Q25" s="268"/>
      <c r="R25" s="267"/>
      <c r="S25" s="267"/>
      <c r="T25" s="267"/>
      <c r="U25" s="269"/>
      <c r="V25" s="7"/>
      <c r="W25" s="270"/>
      <c r="X25" s="271"/>
      <c r="Y25" s="267"/>
      <c r="Z25" s="271"/>
      <c r="AA25" s="271"/>
      <c r="AB25" s="271"/>
      <c r="AC25" s="271"/>
      <c r="AD25" s="272"/>
    </row>
    <row r="26" spans="1:256" ht="13.5" hidden="1" thickBot="1" x14ac:dyDescent="0.25">
      <c r="C26" s="33"/>
      <c r="E26" s="273"/>
      <c r="H26" s="274" t="s">
        <v>24</v>
      </c>
      <c r="I26" s="275">
        <f>1/I25</f>
        <v>-128.69565217391303</v>
      </c>
      <c r="J26" s="276">
        <f>1/J25</f>
        <v>155.71083219400501</v>
      </c>
      <c r="K26" s="277">
        <f>1/K25</f>
        <v>-46.707304845267942</v>
      </c>
      <c r="L26" s="509"/>
      <c r="N26" s="2"/>
      <c r="O26" s="2"/>
      <c r="T26" s="2"/>
      <c r="U26" s="2"/>
      <c r="V26" s="7"/>
      <c r="W26" s="7"/>
      <c r="X26" s="7"/>
      <c r="Y26" s="7"/>
      <c r="Z26" s="7"/>
      <c r="AA26" s="7"/>
      <c r="AB26" s="7"/>
    </row>
    <row r="27" spans="1:256" hidden="1" x14ac:dyDescent="0.2">
      <c r="A27" s="9"/>
      <c r="B27" s="82"/>
      <c r="C27" s="33"/>
      <c r="D27" s="278"/>
      <c r="E27" s="273"/>
      <c r="I27" s="11"/>
      <c r="J27" s="279"/>
      <c r="K27" s="279"/>
      <c r="N27" s="2"/>
      <c r="O27" s="2"/>
      <c r="T27" s="2"/>
      <c r="U27" s="2"/>
    </row>
    <row r="28" spans="1:256" hidden="1" x14ac:dyDescent="0.2">
      <c r="A28" s="173"/>
      <c r="B28" s="173"/>
      <c r="C28" s="82"/>
      <c r="D28" s="278"/>
      <c r="E28" s="273"/>
      <c r="F28" s="8"/>
      <c r="G28" s="76" t="s">
        <v>25</v>
      </c>
      <c r="H28" s="280" t="s">
        <v>26</v>
      </c>
      <c r="I28" s="281">
        <f>I26</f>
        <v>-128.69565217391303</v>
      </c>
      <c r="J28" s="281">
        <f>J26</f>
        <v>155.71083219400501</v>
      </c>
      <c r="K28" s="281">
        <f>K26</f>
        <v>-46.707304845267942</v>
      </c>
      <c r="N28" s="2"/>
      <c r="O28" s="2"/>
      <c r="T28" s="2"/>
      <c r="U28" s="2"/>
    </row>
    <row r="29" spans="1:256" hidden="1" x14ac:dyDescent="0.2">
      <c r="A29" s="144"/>
      <c r="B29" s="278"/>
      <c r="C29" s="278"/>
      <c r="D29" s="282"/>
      <c r="E29" s="273"/>
      <c r="F29" s="494" t="s">
        <v>112</v>
      </c>
      <c r="G29" s="494"/>
      <c r="H29" s="494"/>
      <c r="I29" s="283">
        <f>(1-C21)*I26</f>
        <v>-127.08695652173913</v>
      </c>
      <c r="J29" s="283">
        <f>(1-C21)*J26</f>
        <v>153.76444679157996</v>
      </c>
      <c r="K29" s="283">
        <f>(1-C21)*K26</f>
        <v>-46.123463534702097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hidden="1" x14ac:dyDescent="0.2">
      <c r="A30" s="9"/>
      <c r="B30" s="82"/>
      <c r="C30" s="82"/>
      <c r="D30" s="82"/>
      <c r="E30" s="273"/>
      <c r="F30" s="510" t="s">
        <v>113</v>
      </c>
      <c r="G30" s="511"/>
      <c r="H30" s="512"/>
      <c r="I30" s="284">
        <f>I26*I25</f>
        <v>1</v>
      </c>
      <c r="J30" s="284">
        <f>J26*J25</f>
        <v>1</v>
      </c>
      <c r="K30" s="284">
        <f>K26*K25</f>
        <v>1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1:256" hidden="1" x14ac:dyDescent="0.2">
      <c r="A31" s="12"/>
      <c r="B31" s="285"/>
      <c r="C31" s="9"/>
      <c r="D31" s="12"/>
      <c r="E31" s="273"/>
      <c r="F31" s="498" t="s">
        <v>114</v>
      </c>
      <c r="G31" s="499"/>
      <c r="H31" s="500"/>
      <c r="I31" s="286">
        <f>(C21-I25)*I26</f>
        <v>-2.6086956521739131</v>
      </c>
      <c r="J31" s="286">
        <f>(C21-J25)*J26</f>
        <v>0.94638540242506275</v>
      </c>
      <c r="K31" s="286">
        <f>(C21-K25)*K26</f>
        <v>-1.5838413105658491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pans="1:256" hidden="1" x14ac:dyDescent="0.2">
      <c r="A32" s="12"/>
      <c r="B32" s="9"/>
      <c r="C32" s="9"/>
      <c r="D32" s="9"/>
      <c r="E32" s="273"/>
      <c r="F32" s="287"/>
      <c r="G32" s="287"/>
      <c r="H32" s="287"/>
      <c r="I32" s="288"/>
      <c r="J32" s="288"/>
      <c r="K32" s="288"/>
      <c r="L32" s="9"/>
      <c r="M32" s="91"/>
      <c r="N32" s="91"/>
      <c r="O32" s="91"/>
      <c r="P32" s="92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hidden="1" x14ac:dyDescent="0.2">
      <c r="A33" s="9"/>
      <c r="B33" s="9"/>
      <c r="C33" s="9"/>
      <c r="D33" s="9"/>
      <c r="E33" s="273"/>
      <c r="F33" s="289"/>
      <c r="G33" s="76" t="s">
        <v>30</v>
      </c>
      <c r="H33" s="280" t="s">
        <v>31</v>
      </c>
      <c r="I33" s="281">
        <f>ABS(I26)</f>
        <v>128.69565217391303</v>
      </c>
      <c r="J33" s="281">
        <f>ABS(K26)</f>
        <v>46.707304845267942</v>
      </c>
      <c r="K33" s="281">
        <f>ABS(J26)</f>
        <v>155.71083219400501</v>
      </c>
      <c r="L33" s="9"/>
      <c r="M33" s="91"/>
      <c r="N33" s="91"/>
      <c r="O33" s="93"/>
      <c r="P33" s="92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hidden="1" x14ac:dyDescent="0.2">
      <c r="A34" s="9"/>
      <c r="B34" s="9"/>
      <c r="C34" s="9"/>
      <c r="D34" s="9"/>
      <c r="E34" s="273"/>
      <c r="F34" s="494" t="s">
        <v>112</v>
      </c>
      <c r="G34" s="494"/>
      <c r="H34" s="494"/>
      <c r="I34" s="283">
        <f>ABS((1-(C21-I25))*I26)</f>
        <v>126.08695652173911</v>
      </c>
      <c r="J34" s="283">
        <f>ABS((1-(C21-K25))*K26)</f>
        <v>45.12346353470209</v>
      </c>
      <c r="K34" s="283">
        <f>ABS((1-(C21-J25))*J26)</f>
        <v>154.76444679157996</v>
      </c>
      <c r="L34" s="9"/>
      <c r="M34" s="91"/>
      <c r="N34" s="91"/>
      <c r="O34" s="91"/>
      <c r="P34" s="92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hidden="1" x14ac:dyDescent="0.2">
      <c r="A35" s="9"/>
      <c r="B35" s="9"/>
      <c r="C35" s="9"/>
      <c r="D35" s="9"/>
      <c r="E35" s="273"/>
      <c r="F35" s="495" t="s">
        <v>115</v>
      </c>
      <c r="G35" s="496"/>
      <c r="H35" s="497"/>
      <c r="I35" s="290">
        <f>I26*I25</f>
        <v>1</v>
      </c>
      <c r="J35" s="290">
        <f>K26*K25</f>
        <v>1</v>
      </c>
      <c r="K35" s="290">
        <f>J26*J25</f>
        <v>1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hidden="1" x14ac:dyDescent="0.2">
      <c r="A36" s="291" t="s">
        <v>116</v>
      </c>
      <c r="B36" s="9"/>
      <c r="C36" s="9"/>
      <c r="D36" s="9"/>
      <c r="E36" s="273"/>
      <c r="F36" s="498" t="s">
        <v>117</v>
      </c>
      <c r="G36" s="499"/>
      <c r="H36" s="500"/>
      <c r="I36" s="286">
        <f>ABS(C21*I26)</f>
        <v>1.6086956521739131</v>
      </c>
      <c r="J36" s="286">
        <f>ABS(C21*K26)</f>
        <v>0.58384131056584931</v>
      </c>
      <c r="K36" s="286">
        <f>ABS(C21*J26)</f>
        <v>1.9463854024250626</v>
      </c>
      <c r="M36" s="9"/>
      <c r="N36" s="9"/>
      <c r="O36" s="9"/>
      <c r="P36" s="9"/>
      <c r="Q36" s="9"/>
      <c r="T36" s="2"/>
      <c r="U36" s="2"/>
    </row>
    <row r="37" spans="1:256" hidden="1" x14ac:dyDescent="0.2">
      <c r="B37" s="292" t="s">
        <v>118</v>
      </c>
      <c r="C37" s="293" t="s">
        <v>119</v>
      </c>
      <c r="D37" s="10"/>
      <c r="E37" s="273"/>
      <c r="F37" s="287"/>
      <c r="G37" s="144"/>
      <c r="H37" s="104"/>
      <c r="I37" s="105"/>
      <c r="J37" s="105"/>
      <c r="K37" s="105"/>
      <c r="L37" s="7"/>
      <c r="M37" s="9"/>
      <c r="N37" s="9"/>
      <c r="O37" s="9"/>
      <c r="P37" s="9"/>
      <c r="Q37" s="9"/>
      <c r="R37" s="7"/>
      <c r="S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pans="1:256" hidden="1" x14ac:dyDescent="0.2">
      <c r="A38" s="294" t="s">
        <v>120</v>
      </c>
      <c r="B38" s="295" t="s">
        <v>121</v>
      </c>
      <c r="C38" s="296" t="s">
        <v>122</v>
      </c>
      <c r="D38" s="128" t="s">
        <v>67</v>
      </c>
      <c r="E38" s="273"/>
      <c r="M38" s="9"/>
      <c r="N38" s="9"/>
      <c r="O38" s="9"/>
      <c r="P38" s="9"/>
      <c r="Q38" s="9"/>
      <c r="T38" s="2"/>
      <c r="U38" s="2"/>
    </row>
    <row r="39" spans="1:256" hidden="1" x14ac:dyDescent="0.2">
      <c r="A39" s="297" t="s">
        <v>123</v>
      </c>
      <c r="B39" s="298">
        <f>E6*C8/E8</f>
        <v>12.164383561643836</v>
      </c>
      <c r="C39" s="298">
        <f>E6*D8/E8</f>
        <v>727.83561643835617</v>
      </c>
      <c r="D39" s="298">
        <f>E6</f>
        <v>740</v>
      </c>
      <c r="F39" s="299"/>
      <c r="G39" s="300" t="s">
        <v>124</v>
      </c>
      <c r="H39" s="301">
        <f>CHIINV(0.05,J40)</f>
        <v>3.8414588206941236</v>
      </c>
      <c r="M39" s="9"/>
      <c r="N39" s="91"/>
      <c r="O39" s="91"/>
      <c r="P39" s="91"/>
      <c r="Q39" s="9"/>
      <c r="T39" s="2"/>
      <c r="U39" s="2"/>
    </row>
    <row r="40" spans="1:256" hidden="1" x14ac:dyDescent="0.2">
      <c r="A40" s="302" t="s">
        <v>125</v>
      </c>
      <c r="B40" s="298">
        <f>E7*C8/E8</f>
        <v>11.835616438356164</v>
      </c>
      <c r="C40" s="298">
        <f>E7*D8/E8</f>
        <v>708.16438356164383</v>
      </c>
      <c r="D40" s="298">
        <f>E7</f>
        <v>720</v>
      </c>
      <c r="E40" s="7"/>
      <c r="F40" s="303"/>
      <c r="G40" s="303"/>
      <c r="H40" s="304"/>
      <c r="I40" s="305" t="s">
        <v>126</v>
      </c>
      <c r="J40" s="306">
        <f>(COUNT(B39:C39)-1)*(COUNT(B39:B40)-1)</f>
        <v>1</v>
      </c>
      <c r="N40" s="91"/>
      <c r="O40" s="91"/>
      <c r="P40" s="91"/>
      <c r="Q40" s="9"/>
      <c r="T40" s="2"/>
      <c r="U40" s="2"/>
    </row>
    <row r="41" spans="1:256" hidden="1" x14ac:dyDescent="0.2">
      <c r="A41" s="56" t="s">
        <v>127</v>
      </c>
      <c r="B41" s="298">
        <f>SUM(B39:B40)</f>
        <v>24</v>
      </c>
      <c r="C41" s="298">
        <f>SUM(C39:C40)</f>
        <v>1436</v>
      </c>
      <c r="D41" s="307">
        <f>SUM(D39:D40)</f>
        <v>1460</v>
      </c>
      <c r="E41" s="7"/>
      <c r="F41" s="7"/>
      <c r="G41" s="308" t="s">
        <v>128</v>
      </c>
      <c r="H41" s="10" t="s">
        <v>129</v>
      </c>
      <c r="N41" s="91"/>
      <c r="O41" s="93"/>
      <c r="P41" s="91"/>
      <c r="Q41" s="9"/>
      <c r="T41" s="2"/>
      <c r="U41" s="2"/>
    </row>
    <row r="42" spans="1:256" hidden="1" x14ac:dyDescent="0.2">
      <c r="A42" s="56"/>
      <c r="B42" s="309"/>
      <c r="C42" s="309"/>
      <c r="D42" s="310"/>
      <c r="E42" s="7"/>
      <c r="F42" s="7"/>
      <c r="G42" s="308" t="s">
        <v>130</v>
      </c>
      <c r="H42" s="10" t="s">
        <v>131</v>
      </c>
      <c r="N42" s="92"/>
      <c r="O42" s="92"/>
      <c r="P42" s="92"/>
      <c r="Q42" s="9"/>
      <c r="T42" s="2"/>
      <c r="U42" s="2"/>
    </row>
    <row r="43" spans="1:256" hidden="1" x14ac:dyDescent="0.2">
      <c r="A43" s="311"/>
      <c r="B43" s="501" t="s">
        <v>132</v>
      </c>
      <c r="C43" s="502"/>
      <c r="F43" s="56"/>
      <c r="G43" s="312"/>
      <c r="H43" s="212"/>
      <c r="N43" s="2"/>
      <c r="O43" s="2"/>
      <c r="T43" s="2"/>
      <c r="U43" s="2"/>
    </row>
    <row r="44" spans="1:256" hidden="1" x14ac:dyDescent="0.2">
      <c r="A44" s="311"/>
      <c r="B44" s="313">
        <f>(C6-B39)^2/B39</f>
        <v>0.66100518326545687</v>
      </c>
      <c r="C44" s="313">
        <f>(D6-C39)^2/C39</f>
        <v>1.1047440388837761E-2</v>
      </c>
      <c r="E44" s="294"/>
      <c r="F44" s="314"/>
      <c r="I44" s="9"/>
      <c r="J44" s="9"/>
      <c r="K44" s="160"/>
      <c r="N44" s="2"/>
      <c r="O44" s="2"/>
      <c r="T44" s="2"/>
      <c r="U44" s="2"/>
    </row>
    <row r="45" spans="1:256" hidden="1" x14ac:dyDescent="0.2">
      <c r="A45" s="311"/>
      <c r="B45" s="313">
        <f>(C7-B40)^2/B40</f>
        <v>0.67936643835616406</v>
      </c>
      <c r="C45" s="313">
        <f>(D7-C40)^2/C40</f>
        <v>1.1354313732972144E-2</v>
      </c>
      <c r="D45" s="315"/>
      <c r="E45" s="316" t="s">
        <v>133</v>
      </c>
      <c r="F45" s="317">
        <f>B47-H39</f>
        <v>-2.4786854449506928</v>
      </c>
      <c r="I45" s="9"/>
      <c r="J45" s="9"/>
      <c r="N45" s="2"/>
      <c r="O45" s="2"/>
      <c r="T45" s="2"/>
      <c r="U45" s="2"/>
    </row>
    <row r="46" spans="1:256" hidden="1" x14ac:dyDescent="0.2">
      <c r="A46" s="10" t="s">
        <v>134</v>
      </c>
      <c r="C46" s="318"/>
      <c r="F46" s="212" t="s">
        <v>135</v>
      </c>
      <c r="I46" s="9"/>
      <c r="J46" s="9"/>
      <c r="N46" s="2"/>
      <c r="O46" s="2"/>
      <c r="T46" s="2"/>
      <c r="U46" s="2"/>
    </row>
    <row r="47" spans="1:256" ht="13.5" hidden="1" thickBot="1" x14ac:dyDescent="0.25">
      <c r="A47" s="319" t="s">
        <v>136</v>
      </c>
      <c r="B47" s="320">
        <f>SUM(B44:C45)</f>
        <v>1.3627733757434308</v>
      </c>
      <c r="C47" s="10"/>
      <c r="F47" s="212" t="s">
        <v>137</v>
      </c>
      <c r="H47" s="321"/>
      <c r="I47" s="9"/>
      <c r="J47" s="9"/>
      <c r="K47" s="322"/>
      <c r="N47" s="2"/>
      <c r="O47" s="2"/>
      <c r="T47" s="2"/>
      <c r="U47" s="2"/>
    </row>
    <row r="48" spans="1:256" ht="13.5" hidden="1" thickBot="1" x14ac:dyDescent="0.25">
      <c r="A48" s="323" t="s">
        <v>138</v>
      </c>
      <c r="B48" s="324">
        <f>CHIDIST(B47,1)</f>
        <v>0.24305740911303164</v>
      </c>
      <c r="D48" s="10"/>
      <c r="E48" s="10"/>
      <c r="F48" s="10"/>
      <c r="G48" s="325"/>
      <c r="H48" s="10"/>
      <c r="I48" s="9"/>
      <c r="J48" s="9"/>
      <c r="K48" s="10"/>
      <c r="N48" s="2"/>
      <c r="O48" s="2"/>
      <c r="T48" s="2"/>
      <c r="U48" s="2"/>
    </row>
    <row r="49" spans="1:256" hidden="1" x14ac:dyDescent="0.2">
      <c r="A49" s="9"/>
      <c r="B49" s="9"/>
      <c r="C49" s="9"/>
      <c r="D49" s="326"/>
      <c r="E49" s="326"/>
      <c r="F49" s="9"/>
      <c r="G49" s="9"/>
      <c r="H49" s="327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</row>
    <row r="50" spans="1:256" hidden="1" x14ac:dyDescent="0.2">
      <c r="I50" s="9"/>
      <c r="J50" s="9"/>
      <c r="N50" s="2"/>
      <c r="O50" s="2"/>
      <c r="T50" s="2"/>
      <c r="U50" s="2"/>
    </row>
    <row r="51" spans="1:256" hidden="1" x14ac:dyDescent="0.2">
      <c r="F51" s="11"/>
      <c r="I51" s="9"/>
      <c r="J51" s="9"/>
      <c r="N51" s="2"/>
      <c r="O51" s="2"/>
      <c r="T51" s="2"/>
      <c r="U51" s="2"/>
    </row>
    <row r="52" spans="1:256" hidden="1" x14ac:dyDescent="0.2">
      <c r="A52" s="328" t="s">
        <v>139</v>
      </c>
      <c r="B52" s="329"/>
      <c r="C52" s="329"/>
      <c r="D52" s="330" t="s">
        <v>140</v>
      </c>
      <c r="E52" s="331"/>
      <c r="F52" s="331"/>
      <c r="G52" s="332"/>
      <c r="I52" s="9"/>
      <c r="J52" s="9"/>
      <c r="N52" s="2"/>
      <c r="O52" s="2"/>
      <c r="T52" s="2"/>
      <c r="U52" s="2"/>
    </row>
    <row r="53" spans="1:256" hidden="1" x14ac:dyDescent="0.2">
      <c r="A53" s="333" t="s">
        <v>34</v>
      </c>
      <c r="B53" s="334">
        <f>ROUND(E6,0)</f>
        <v>740</v>
      </c>
      <c r="C53" s="334">
        <f>ROUND(E7,0)</f>
        <v>720</v>
      </c>
      <c r="D53" s="335">
        <f>ROUND(F13,2)</f>
        <v>1.62</v>
      </c>
      <c r="E53" s="336">
        <f>ROUND(I25,4)</f>
        <v>-7.7999999999999996E-3</v>
      </c>
      <c r="F53" s="337">
        <f>ROUND(I26,0)</f>
        <v>-129</v>
      </c>
      <c r="G53" s="338"/>
      <c r="I53" s="9"/>
      <c r="J53" s="9"/>
      <c r="N53" s="2"/>
      <c r="O53" s="2"/>
      <c r="T53" s="2"/>
      <c r="U53" s="2"/>
    </row>
    <row r="54" spans="1:256" hidden="1" x14ac:dyDescent="0.2">
      <c r="A54" s="333" t="s">
        <v>35</v>
      </c>
      <c r="B54" s="334">
        <f>ROUND(C6,0)</f>
        <v>15</v>
      </c>
      <c r="C54" s="334">
        <f>ROUND(C7,0)</f>
        <v>9</v>
      </c>
      <c r="D54" s="335">
        <f>ROUND(G13,2)</f>
        <v>0.71</v>
      </c>
      <c r="E54" s="336">
        <f>ROUND(K25,4)</f>
        <v>-2.1399999999999999E-2</v>
      </c>
      <c r="F54" s="337">
        <f>ROUND(J26,0)</f>
        <v>156</v>
      </c>
      <c r="G54" s="338"/>
      <c r="I54" s="9"/>
      <c r="J54" s="9"/>
      <c r="N54" s="2"/>
      <c r="O54" s="2"/>
      <c r="T54" s="2"/>
      <c r="U54" s="2"/>
    </row>
    <row r="55" spans="1:256" hidden="1" x14ac:dyDescent="0.2">
      <c r="A55" s="333" t="s">
        <v>36</v>
      </c>
      <c r="B55" s="336">
        <f>ROUND(C20,4)</f>
        <v>2.0299999999999999E-2</v>
      </c>
      <c r="C55" s="336">
        <f>ROUND(C21,4)</f>
        <v>1.2500000000000001E-2</v>
      </c>
      <c r="D55" s="335">
        <f>ROUND(H13,2)</f>
        <v>3.68</v>
      </c>
      <c r="E55" s="336">
        <f>ROUND(J25,4)</f>
        <v>6.4000000000000003E-3</v>
      </c>
      <c r="F55" s="337">
        <f>ROUND(K26,0)</f>
        <v>-47</v>
      </c>
      <c r="G55" s="339">
        <f>ROUND(N24,4)</f>
        <v>0.21640000000000001</v>
      </c>
      <c r="I55" s="340"/>
      <c r="J55" s="9"/>
      <c r="K55" s="7"/>
      <c r="L55" s="7"/>
      <c r="M55" s="7"/>
      <c r="P55" s="7"/>
      <c r="Q55" s="7"/>
      <c r="R55" s="7"/>
      <c r="S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</row>
    <row r="56" spans="1:256" hidden="1" x14ac:dyDescent="0.2">
      <c r="A56" s="333" t="s">
        <v>37</v>
      </c>
      <c r="B56" s="341" t="s">
        <v>141</v>
      </c>
      <c r="C56" s="341" t="s">
        <v>142</v>
      </c>
      <c r="D56" s="341" t="s">
        <v>75</v>
      </c>
      <c r="E56" s="341" t="s">
        <v>143</v>
      </c>
      <c r="F56" s="342" t="s">
        <v>144</v>
      </c>
      <c r="G56" s="118" t="s">
        <v>145</v>
      </c>
      <c r="I56" s="340"/>
      <c r="J56" s="9"/>
    </row>
    <row r="57" spans="1:256" hidden="1" x14ac:dyDescent="0.2">
      <c r="A57" s="343" t="s">
        <v>42</v>
      </c>
      <c r="B57" s="118" t="str">
        <f>CONCATENATE(B54,A58,B53," ",A53,B55*100,A56,A55)</f>
        <v>15/740 (2,03%)</v>
      </c>
      <c r="C57" s="118" t="str">
        <f>CONCATENATE(C54,A58,C53," ",A53,C55*100,A56,A55)</f>
        <v>9/720 (1,25%)</v>
      </c>
      <c r="D57" s="118" t="str">
        <f>CONCATENATE(D53," ",A53,D54,A54,D55,A55)</f>
        <v>1,62 (0,71-3,68)</v>
      </c>
      <c r="E57" s="118" t="str">
        <f>CONCATENATE(E53*100,A56," ",A53,E54*100,A56," ",A57," ",E55*100,A56,A55)</f>
        <v>-0,78% (-2,14% a 0,64%)</v>
      </c>
      <c r="F57" s="118" t="str">
        <f>CONCATENATE(F53," ",A53,F54," ",A57," ",F55,A55)</f>
        <v>-129 (156 a -47)</v>
      </c>
      <c r="G57" s="118" t="str">
        <f>CONCATENATE(G55*100,A56)</f>
        <v>21,64%</v>
      </c>
      <c r="I57" s="9"/>
      <c r="J57" s="9"/>
      <c r="N57" s="2"/>
      <c r="O57" s="2"/>
      <c r="T57" s="2"/>
      <c r="U57" s="2"/>
    </row>
    <row r="58" spans="1:256" hidden="1" x14ac:dyDescent="0.2">
      <c r="A58" s="344" t="s">
        <v>146</v>
      </c>
      <c r="B58" s="345"/>
      <c r="C58" s="345"/>
      <c r="D58" s="345"/>
      <c r="E58" s="345"/>
      <c r="F58" s="345"/>
      <c r="G58" s="346"/>
      <c r="I58" s="9"/>
      <c r="J58" s="9"/>
      <c r="N58" s="2"/>
      <c r="O58" s="2"/>
      <c r="T58" s="2"/>
      <c r="U58" s="2"/>
    </row>
    <row r="59" spans="1:256" hidden="1" x14ac:dyDescent="0.2">
      <c r="N59" s="2"/>
      <c r="O59" s="2"/>
      <c r="T59" s="2"/>
      <c r="U59" s="2"/>
    </row>
    <row r="60" spans="1:256" ht="25.5" x14ac:dyDescent="0.2">
      <c r="B60" s="347" t="s">
        <v>141</v>
      </c>
      <c r="C60" s="347" t="s">
        <v>142</v>
      </c>
      <c r="D60" s="348" t="s">
        <v>147</v>
      </c>
      <c r="E60" s="348" t="s">
        <v>43</v>
      </c>
      <c r="F60" s="348" t="s">
        <v>41</v>
      </c>
      <c r="G60" s="348" t="s">
        <v>148</v>
      </c>
      <c r="I60" s="348" t="s">
        <v>149</v>
      </c>
      <c r="N60" s="2"/>
      <c r="O60" s="2"/>
      <c r="T60" s="2"/>
      <c r="U60" s="2"/>
    </row>
    <row r="61" spans="1:256" ht="19.5" customHeight="1" x14ac:dyDescent="0.2">
      <c r="B61" s="123" t="str">
        <f t="shared" ref="B61:G61" si="0">B57</f>
        <v>15/740 (2,03%)</v>
      </c>
      <c r="C61" s="123" t="str">
        <f t="shared" si="0"/>
        <v>9/720 (1,25%)</v>
      </c>
      <c r="D61" s="123" t="str">
        <f t="shared" si="0"/>
        <v>1,62 (0,71-3,68)</v>
      </c>
      <c r="E61" s="123" t="str">
        <f t="shared" si="0"/>
        <v>-0,78% (-2,14% a 0,64%)</v>
      </c>
      <c r="F61" s="123" t="str">
        <f t="shared" si="0"/>
        <v>-129 (156 a -47)</v>
      </c>
      <c r="G61" s="123" t="str">
        <f t="shared" si="0"/>
        <v>21,64%</v>
      </c>
      <c r="I61" s="349">
        <f>B48</f>
        <v>0.24305740911303164</v>
      </c>
      <c r="N61" s="2"/>
      <c r="O61" s="2"/>
      <c r="T61" s="2"/>
      <c r="U61" s="2"/>
    </row>
    <row r="62" spans="1:256" x14ac:dyDescent="0.2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37"/>
      <c r="O62" s="137"/>
      <c r="P62" s="128"/>
      <c r="Q62" s="128"/>
      <c r="R62" s="128"/>
      <c r="S62" s="128"/>
      <c r="T62" s="137"/>
      <c r="U62" s="137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8"/>
      <c r="FG62" s="128"/>
      <c r="FH62" s="128"/>
      <c r="FI62" s="128"/>
      <c r="FJ62" s="128"/>
      <c r="FK62" s="128"/>
      <c r="FL62" s="128"/>
      <c r="FM62" s="128"/>
      <c r="FN62" s="128"/>
      <c r="FO62" s="128"/>
      <c r="FP62" s="128"/>
      <c r="FQ62" s="128"/>
      <c r="FR62" s="128"/>
      <c r="FS62" s="128"/>
      <c r="FT62" s="128"/>
      <c r="FU62" s="128"/>
      <c r="FV62" s="128"/>
      <c r="FW62" s="128"/>
      <c r="FX62" s="128"/>
      <c r="FY62" s="128"/>
      <c r="FZ62" s="128"/>
      <c r="GA62" s="128"/>
      <c r="GB62" s="128"/>
      <c r="GC62" s="128"/>
      <c r="GD62" s="128"/>
      <c r="GE62" s="128"/>
      <c r="GF62" s="128"/>
      <c r="GG62" s="128"/>
      <c r="GH62" s="128"/>
      <c r="GI62" s="128"/>
      <c r="GJ62" s="128"/>
      <c r="GK62" s="128"/>
      <c r="GL62" s="128"/>
      <c r="GM62" s="128"/>
      <c r="GN62" s="128"/>
      <c r="GO62" s="128"/>
      <c r="GP62" s="128"/>
      <c r="GQ62" s="128"/>
      <c r="GR62" s="128"/>
      <c r="GS62" s="128"/>
      <c r="GT62" s="128"/>
      <c r="GU62" s="128"/>
      <c r="GV62" s="128"/>
      <c r="GW62" s="128"/>
      <c r="GX62" s="128"/>
      <c r="GY62" s="128"/>
      <c r="GZ62" s="128"/>
      <c r="HA62" s="128"/>
      <c r="HB62" s="128"/>
      <c r="HC62" s="128"/>
      <c r="HD62" s="128"/>
      <c r="HE62" s="128"/>
      <c r="HF62" s="128"/>
      <c r="HG62" s="128"/>
      <c r="HH62" s="128"/>
      <c r="HI62" s="128"/>
      <c r="HJ62" s="128"/>
      <c r="HK62" s="128"/>
      <c r="HL62" s="128"/>
      <c r="HM62" s="128"/>
      <c r="HN62" s="128"/>
      <c r="HO62" s="128"/>
      <c r="HP62" s="128"/>
      <c r="HQ62" s="128"/>
      <c r="HR62" s="128"/>
      <c r="HS62" s="128"/>
      <c r="HT62" s="128"/>
      <c r="HU62" s="128"/>
      <c r="HV62" s="128"/>
      <c r="HW62" s="128"/>
      <c r="HX62" s="128"/>
      <c r="HY62" s="128"/>
      <c r="HZ62" s="128"/>
      <c r="IA62" s="128"/>
      <c r="IB62" s="128"/>
      <c r="IC62" s="128"/>
      <c r="ID62" s="128"/>
      <c r="IE62" s="128"/>
      <c r="IF62" s="128"/>
      <c r="IG62" s="128"/>
      <c r="IH62" s="128"/>
      <c r="II62" s="128"/>
      <c r="IJ62" s="128"/>
      <c r="IK62" s="128"/>
      <c r="IL62" s="128"/>
      <c r="IM62" s="128"/>
      <c r="IN62" s="128"/>
      <c r="IO62" s="128"/>
      <c r="IP62" s="128"/>
      <c r="IQ62" s="128"/>
      <c r="IR62" s="128"/>
      <c r="IS62" s="128"/>
      <c r="IT62" s="128"/>
      <c r="IU62" s="128"/>
      <c r="IV62" s="128"/>
    </row>
    <row r="63" spans="1:256" x14ac:dyDescent="0.2">
      <c r="A63" s="350"/>
    </row>
    <row r="64" spans="1:256" ht="13.5" thickBot="1" x14ac:dyDescent="0.25">
      <c r="A64" s="31"/>
      <c r="D64" s="4"/>
    </row>
    <row r="65" spans="1:21" ht="22.5" customHeight="1" thickBot="1" x14ac:dyDescent="0.3">
      <c r="A65" s="464" t="s">
        <v>235</v>
      </c>
      <c r="B65" s="126"/>
      <c r="C65" s="126"/>
      <c r="D65" s="126"/>
      <c r="E65" s="126"/>
      <c r="F65" s="126"/>
      <c r="G65" s="127"/>
    </row>
    <row r="66" spans="1:21" ht="27.75" customHeight="1" x14ac:dyDescent="0.2">
      <c r="A66" s="503" t="s">
        <v>57</v>
      </c>
      <c r="B66" s="444" t="s">
        <v>58</v>
      </c>
      <c r="C66" s="445" t="s">
        <v>59</v>
      </c>
      <c r="D66" s="504" t="s">
        <v>150</v>
      </c>
      <c r="E66" s="505"/>
      <c r="F66" s="505"/>
      <c r="G66" s="506"/>
    </row>
    <row r="67" spans="1:21" ht="27" customHeight="1" thickBot="1" x14ac:dyDescent="0.25">
      <c r="A67" s="482"/>
      <c r="B67" s="446" t="s">
        <v>151</v>
      </c>
      <c r="C67" s="447" t="s">
        <v>151</v>
      </c>
      <c r="D67" s="448" t="s">
        <v>147</v>
      </c>
      <c r="E67" s="449" t="s">
        <v>43</v>
      </c>
      <c r="F67" s="450" t="s">
        <v>44</v>
      </c>
      <c r="G67" s="450" t="s">
        <v>148</v>
      </c>
    </row>
    <row r="68" spans="1:21" ht="21" customHeight="1" x14ac:dyDescent="0.2">
      <c r="A68" s="451" t="s">
        <v>152</v>
      </c>
      <c r="B68" s="452" t="s">
        <v>153</v>
      </c>
      <c r="C68" s="452" t="s">
        <v>154</v>
      </c>
      <c r="D68" s="453" t="s">
        <v>155</v>
      </c>
      <c r="E68" s="453" t="s">
        <v>156</v>
      </c>
      <c r="F68" s="454" t="s">
        <v>157</v>
      </c>
      <c r="G68" s="455">
        <v>0.99950000000000006</v>
      </c>
    </row>
    <row r="69" spans="1:21" ht="21" customHeight="1" x14ac:dyDescent="0.2">
      <c r="A69" s="456" t="s">
        <v>236</v>
      </c>
      <c r="B69" s="452" t="s">
        <v>158</v>
      </c>
      <c r="C69" s="452" t="s">
        <v>159</v>
      </c>
      <c r="D69" s="453" t="s">
        <v>160</v>
      </c>
      <c r="E69" s="453" t="s">
        <v>161</v>
      </c>
      <c r="F69" s="454" t="s">
        <v>162</v>
      </c>
      <c r="G69" s="455">
        <v>0.99819999999999998</v>
      </c>
    </row>
    <row r="70" spans="1:21" ht="21" customHeight="1" x14ac:dyDescent="0.2">
      <c r="A70" s="456" t="s">
        <v>163</v>
      </c>
      <c r="B70" s="452" t="s">
        <v>164</v>
      </c>
      <c r="C70" s="452" t="s">
        <v>165</v>
      </c>
      <c r="D70" s="457" t="s">
        <v>168</v>
      </c>
      <c r="E70" s="453" t="s">
        <v>166</v>
      </c>
      <c r="F70" s="458" t="s">
        <v>167</v>
      </c>
      <c r="G70" s="455">
        <v>0.16689999999999999</v>
      </c>
    </row>
    <row r="71" spans="1:21" ht="21" customHeight="1" x14ac:dyDescent="0.2">
      <c r="A71" s="352" t="s">
        <v>170</v>
      </c>
      <c r="B71" s="452" t="s">
        <v>171</v>
      </c>
      <c r="C71" s="452" t="s">
        <v>172</v>
      </c>
      <c r="D71" s="453" t="s">
        <v>173</v>
      </c>
      <c r="E71" s="453" t="s">
        <v>174</v>
      </c>
      <c r="F71" s="454" t="s">
        <v>175</v>
      </c>
      <c r="G71" s="455">
        <v>0.83320000000000005</v>
      </c>
    </row>
    <row r="72" spans="1:21" ht="30.75" customHeight="1" x14ac:dyDescent="0.2">
      <c r="A72" s="459" t="s">
        <v>176</v>
      </c>
      <c r="B72" s="452" t="s">
        <v>177</v>
      </c>
      <c r="C72" s="452" t="s">
        <v>178</v>
      </c>
      <c r="D72" s="453" t="s">
        <v>179</v>
      </c>
      <c r="E72" s="453" t="s">
        <v>180</v>
      </c>
      <c r="F72" s="454" t="s">
        <v>181</v>
      </c>
      <c r="G72" s="460">
        <v>1</v>
      </c>
    </row>
    <row r="73" spans="1:21" ht="21" customHeight="1" x14ac:dyDescent="0.2">
      <c r="A73" s="456" t="s">
        <v>182</v>
      </c>
      <c r="B73" s="452" t="s">
        <v>183</v>
      </c>
      <c r="C73" s="452" t="s">
        <v>184</v>
      </c>
      <c r="D73" s="453" t="s">
        <v>185</v>
      </c>
      <c r="E73" s="453" t="s">
        <v>186</v>
      </c>
      <c r="F73" s="454" t="s">
        <v>187</v>
      </c>
      <c r="G73" s="460">
        <v>1</v>
      </c>
    </row>
    <row r="74" spans="1:21" ht="21" customHeight="1" x14ac:dyDescent="0.2">
      <c r="A74" s="456" t="s">
        <v>231</v>
      </c>
      <c r="B74" s="465" t="s">
        <v>228</v>
      </c>
      <c r="C74" s="452" t="s">
        <v>165</v>
      </c>
      <c r="D74" s="457" t="s">
        <v>168</v>
      </c>
      <c r="E74" s="453" t="s">
        <v>229</v>
      </c>
      <c r="F74" s="454" t="s">
        <v>230</v>
      </c>
      <c r="G74" s="455">
        <v>0.88329999999999997</v>
      </c>
    </row>
    <row r="75" spans="1:21" ht="21" customHeight="1" x14ac:dyDescent="0.2">
      <c r="A75" s="456" t="s">
        <v>189</v>
      </c>
      <c r="B75" s="492" t="s">
        <v>188</v>
      </c>
      <c r="C75" s="493"/>
      <c r="D75" s="453"/>
      <c r="E75" s="453"/>
      <c r="F75" s="458"/>
      <c r="G75" s="455"/>
    </row>
    <row r="76" spans="1:21" ht="6.75" customHeight="1" x14ac:dyDescent="0.2">
      <c r="A76" s="31"/>
    </row>
    <row r="77" spans="1:21" s="10" customFormat="1" ht="43.5" customHeight="1" x14ac:dyDescent="0.2">
      <c r="A77" s="489" t="s">
        <v>169</v>
      </c>
      <c r="B77" s="490"/>
      <c r="C77" s="490"/>
      <c r="D77" s="490"/>
      <c r="E77" s="490"/>
      <c r="F77" s="490"/>
      <c r="G77" s="491"/>
      <c r="H77" s="351"/>
      <c r="N77" s="9"/>
      <c r="O77" s="9"/>
      <c r="T77" s="9"/>
      <c r="U77" s="9"/>
    </row>
    <row r="78" spans="1:21" x14ac:dyDescent="0.2">
      <c r="A78" s="31"/>
    </row>
    <row r="79" spans="1:21" x14ac:dyDescent="0.2">
      <c r="A79" s="31"/>
    </row>
    <row r="80" spans="1:21" x14ac:dyDescent="0.2">
      <c r="A80" s="31"/>
    </row>
    <row r="81" spans="1:1" x14ac:dyDescent="0.2">
      <c r="A81" s="31"/>
    </row>
    <row r="82" spans="1:1" x14ac:dyDescent="0.2">
      <c r="A82" s="31"/>
    </row>
    <row r="83" spans="1:1" x14ac:dyDescent="0.2">
      <c r="A83" s="31"/>
    </row>
    <row r="84" spans="1:1" x14ac:dyDescent="0.2">
      <c r="A84" s="31"/>
    </row>
    <row r="85" spans="1:1" x14ac:dyDescent="0.2">
      <c r="A85" s="31"/>
    </row>
    <row r="86" spans="1:1" x14ac:dyDescent="0.2">
      <c r="A86" s="31"/>
    </row>
  </sheetData>
  <mergeCells count="14">
    <mergeCell ref="F31:H31"/>
    <mergeCell ref="A2:F2"/>
    <mergeCell ref="A3:F3"/>
    <mergeCell ref="L19:L26"/>
    <mergeCell ref="F29:H29"/>
    <mergeCell ref="F30:H30"/>
    <mergeCell ref="A77:G77"/>
    <mergeCell ref="B75:C75"/>
    <mergeCell ref="F34:H34"/>
    <mergeCell ref="F35:H35"/>
    <mergeCell ref="F36:H36"/>
    <mergeCell ref="B43:C43"/>
    <mergeCell ref="A66:A67"/>
    <mergeCell ref="D66:G6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B1" sqref="B1"/>
    </sheetView>
  </sheetViews>
  <sheetFormatPr baseColWidth="10" defaultColWidth="25.28515625" defaultRowHeight="15" x14ac:dyDescent="0.25"/>
  <cols>
    <col min="1" max="1" width="1.7109375" customWidth="1"/>
    <col min="2" max="2" width="27" customWidth="1"/>
    <col min="3" max="3" width="17.28515625" customWidth="1"/>
    <col min="4" max="4" width="10.7109375" customWidth="1"/>
    <col min="5" max="5" width="10.28515625" customWidth="1"/>
    <col min="6" max="6" width="3.140625" customWidth="1"/>
    <col min="7" max="7" width="10.85546875" customWidth="1"/>
    <col min="8" max="9" width="11.42578125" customWidth="1"/>
    <col min="10" max="10" width="23.42578125" customWidth="1"/>
    <col min="11" max="11" width="1" customWidth="1"/>
    <col min="12" max="12" width="5.140625" customWidth="1"/>
    <col min="13" max="255" width="11.42578125" customWidth="1"/>
    <col min="257" max="257" width="1.7109375" customWidth="1"/>
    <col min="258" max="258" width="27" customWidth="1"/>
    <col min="259" max="259" width="17.28515625" customWidth="1"/>
    <col min="260" max="260" width="10.7109375" customWidth="1"/>
    <col min="261" max="261" width="10.28515625" customWidth="1"/>
    <col min="262" max="262" width="3.140625" customWidth="1"/>
    <col min="263" max="263" width="12.42578125" customWidth="1"/>
    <col min="264" max="265" width="11.42578125" customWidth="1"/>
    <col min="266" max="266" width="23.42578125" customWidth="1"/>
    <col min="267" max="267" width="1" customWidth="1"/>
    <col min="268" max="268" width="5.140625" customWidth="1"/>
    <col min="269" max="511" width="11.42578125" customWidth="1"/>
    <col min="513" max="513" width="1.7109375" customWidth="1"/>
    <col min="514" max="514" width="27" customWidth="1"/>
    <col min="515" max="515" width="17.28515625" customWidth="1"/>
    <col min="516" max="516" width="10.7109375" customWidth="1"/>
    <col min="517" max="517" width="10.28515625" customWidth="1"/>
    <col min="518" max="518" width="3.140625" customWidth="1"/>
    <col min="519" max="519" width="12.42578125" customWidth="1"/>
    <col min="520" max="521" width="11.42578125" customWidth="1"/>
    <col min="522" max="522" width="23.42578125" customWidth="1"/>
    <col min="523" max="523" width="1" customWidth="1"/>
    <col min="524" max="524" width="5.140625" customWidth="1"/>
    <col min="525" max="767" width="11.42578125" customWidth="1"/>
    <col min="769" max="769" width="1.7109375" customWidth="1"/>
    <col min="770" max="770" width="27" customWidth="1"/>
    <col min="771" max="771" width="17.28515625" customWidth="1"/>
    <col min="772" max="772" width="10.7109375" customWidth="1"/>
    <col min="773" max="773" width="10.28515625" customWidth="1"/>
    <col min="774" max="774" width="3.140625" customWidth="1"/>
    <col min="775" max="775" width="12.42578125" customWidth="1"/>
    <col min="776" max="777" width="11.42578125" customWidth="1"/>
    <col min="778" max="778" width="23.42578125" customWidth="1"/>
    <col min="779" max="779" width="1" customWidth="1"/>
    <col min="780" max="780" width="5.140625" customWidth="1"/>
    <col min="781" max="1023" width="11.42578125" customWidth="1"/>
    <col min="1025" max="1025" width="1.7109375" customWidth="1"/>
    <col min="1026" max="1026" width="27" customWidth="1"/>
    <col min="1027" max="1027" width="17.28515625" customWidth="1"/>
    <col min="1028" max="1028" width="10.7109375" customWidth="1"/>
    <col min="1029" max="1029" width="10.28515625" customWidth="1"/>
    <col min="1030" max="1030" width="3.140625" customWidth="1"/>
    <col min="1031" max="1031" width="12.42578125" customWidth="1"/>
    <col min="1032" max="1033" width="11.42578125" customWidth="1"/>
    <col min="1034" max="1034" width="23.42578125" customWidth="1"/>
    <col min="1035" max="1035" width="1" customWidth="1"/>
    <col min="1036" max="1036" width="5.140625" customWidth="1"/>
    <col min="1037" max="1279" width="11.42578125" customWidth="1"/>
    <col min="1281" max="1281" width="1.7109375" customWidth="1"/>
    <col min="1282" max="1282" width="27" customWidth="1"/>
    <col min="1283" max="1283" width="17.28515625" customWidth="1"/>
    <col min="1284" max="1284" width="10.7109375" customWidth="1"/>
    <col min="1285" max="1285" width="10.28515625" customWidth="1"/>
    <col min="1286" max="1286" width="3.140625" customWidth="1"/>
    <col min="1287" max="1287" width="12.42578125" customWidth="1"/>
    <col min="1288" max="1289" width="11.42578125" customWidth="1"/>
    <col min="1290" max="1290" width="23.42578125" customWidth="1"/>
    <col min="1291" max="1291" width="1" customWidth="1"/>
    <col min="1292" max="1292" width="5.140625" customWidth="1"/>
    <col min="1293" max="1535" width="11.42578125" customWidth="1"/>
    <col min="1537" max="1537" width="1.7109375" customWidth="1"/>
    <col min="1538" max="1538" width="27" customWidth="1"/>
    <col min="1539" max="1539" width="17.28515625" customWidth="1"/>
    <col min="1540" max="1540" width="10.7109375" customWidth="1"/>
    <col min="1541" max="1541" width="10.28515625" customWidth="1"/>
    <col min="1542" max="1542" width="3.140625" customWidth="1"/>
    <col min="1543" max="1543" width="12.42578125" customWidth="1"/>
    <col min="1544" max="1545" width="11.42578125" customWidth="1"/>
    <col min="1546" max="1546" width="23.42578125" customWidth="1"/>
    <col min="1547" max="1547" width="1" customWidth="1"/>
    <col min="1548" max="1548" width="5.140625" customWidth="1"/>
    <col min="1549" max="1791" width="11.42578125" customWidth="1"/>
    <col min="1793" max="1793" width="1.7109375" customWidth="1"/>
    <col min="1794" max="1794" width="27" customWidth="1"/>
    <col min="1795" max="1795" width="17.28515625" customWidth="1"/>
    <col min="1796" max="1796" width="10.7109375" customWidth="1"/>
    <col min="1797" max="1797" width="10.28515625" customWidth="1"/>
    <col min="1798" max="1798" width="3.140625" customWidth="1"/>
    <col min="1799" max="1799" width="12.42578125" customWidth="1"/>
    <col min="1800" max="1801" width="11.42578125" customWidth="1"/>
    <col min="1802" max="1802" width="23.42578125" customWidth="1"/>
    <col min="1803" max="1803" width="1" customWidth="1"/>
    <col min="1804" max="1804" width="5.140625" customWidth="1"/>
    <col min="1805" max="2047" width="11.42578125" customWidth="1"/>
    <col min="2049" max="2049" width="1.7109375" customWidth="1"/>
    <col min="2050" max="2050" width="27" customWidth="1"/>
    <col min="2051" max="2051" width="17.28515625" customWidth="1"/>
    <col min="2052" max="2052" width="10.7109375" customWidth="1"/>
    <col min="2053" max="2053" width="10.28515625" customWidth="1"/>
    <col min="2054" max="2054" width="3.140625" customWidth="1"/>
    <col min="2055" max="2055" width="12.42578125" customWidth="1"/>
    <col min="2056" max="2057" width="11.42578125" customWidth="1"/>
    <col min="2058" max="2058" width="23.42578125" customWidth="1"/>
    <col min="2059" max="2059" width="1" customWidth="1"/>
    <col min="2060" max="2060" width="5.140625" customWidth="1"/>
    <col min="2061" max="2303" width="11.42578125" customWidth="1"/>
    <col min="2305" max="2305" width="1.7109375" customWidth="1"/>
    <col min="2306" max="2306" width="27" customWidth="1"/>
    <col min="2307" max="2307" width="17.28515625" customWidth="1"/>
    <col min="2308" max="2308" width="10.7109375" customWidth="1"/>
    <col min="2309" max="2309" width="10.28515625" customWidth="1"/>
    <col min="2310" max="2310" width="3.140625" customWidth="1"/>
    <col min="2311" max="2311" width="12.42578125" customWidth="1"/>
    <col min="2312" max="2313" width="11.42578125" customWidth="1"/>
    <col min="2314" max="2314" width="23.42578125" customWidth="1"/>
    <col min="2315" max="2315" width="1" customWidth="1"/>
    <col min="2316" max="2316" width="5.140625" customWidth="1"/>
    <col min="2317" max="2559" width="11.42578125" customWidth="1"/>
    <col min="2561" max="2561" width="1.7109375" customWidth="1"/>
    <col min="2562" max="2562" width="27" customWidth="1"/>
    <col min="2563" max="2563" width="17.28515625" customWidth="1"/>
    <col min="2564" max="2564" width="10.7109375" customWidth="1"/>
    <col min="2565" max="2565" width="10.28515625" customWidth="1"/>
    <col min="2566" max="2566" width="3.140625" customWidth="1"/>
    <col min="2567" max="2567" width="12.42578125" customWidth="1"/>
    <col min="2568" max="2569" width="11.42578125" customWidth="1"/>
    <col min="2570" max="2570" width="23.42578125" customWidth="1"/>
    <col min="2571" max="2571" width="1" customWidth="1"/>
    <col min="2572" max="2572" width="5.140625" customWidth="1"/>
    <col min="2573" max="2815" width="11.42578125" customWidth="1"/>
    <col min="2817" max="2817" width="1.7109375" customWidth="1"/>
    <col min="2818" max="2818" width="27" customWidth="1"/>
    <col min="2819" max="2819" width="17.28515625" customWidth="1"/>
    <col min="2820" max="2820" width="10.7109375" customWidth="1"/>
    <col min="2821" max="2821" width="10.28515625" customWidth="1"/>
    <col min="2822" max="2822" width="3.140625" customWidth="1"/>
    <col min="2823" max="2823" width="12.42578125" customWidth="1"/>
    <col min="2824" max="2825" width="11.42578125" customWidth="1"/>
    <col min="2826" max="2826" width="23.42578125" customWidth="1"/>
    <col min="2827" max="2827" width="1" customWidth="1"/>
    <col min="2828" max="2828" width="5.140625" customWidth="1"/>
    <col min="2829" max="3071" width="11.42578125" customWidth="1"/>
    <col min="3073" max="3073" width="1.7109375" customWidth="1"/>
    <col min="3074" max="3074" width="27" customWidth="1"/>
    <col min="3075" max="3075" width="17.28515625" customWidth="1"/>
    <col min="3076" max="3076" width="10.7109375" customWidth="1"/>
    <col min="3077" max="3077" width="10.28515625" customWidth="1"/>
    <col min="3078" max="3078" width="3.140625" customWidth="1"/>
    <col min="3079" max="3079" width="12.42578125" customWidth="1"/>
    <col min="3080" max="3081" width="11.42578125" customWidth="1"/>
    <col min="3082" max="3082" width="23.42578125" customWidth="1"/>
    <col min="3083" max="3083" width="1" customWidth="1"/>
    <col min="3084" max="3084" width="5.140625" customWidth="1"/>
    <col min="3085" max="3327" width="11.42578125" customWidth="1"/>
    <col min="3329" max="3329" width="1.7109375" customWidth="1"/>
    <col min="3330" max="3330" width="27" customWidth="1"/>
    <col min="3331" max="3331" width="17.28515625" customWidth="1"/>
    <col min="3332" max="3332" width="10.7109375" customWidth="1"/>
    <col min="3333" max="3333" width="10.28515625" customWidth="1"/>
    <col min="3334" max="3334" width="3.140625" customWidth="1"/>
    <col min="3335" max="3335" width="12.42578125" customWidth="1"/>
    <col min="3336" max="3337" width="11.42578125" customWidth="1"/>
    <col min="3338" max="3338" width="23.42578125" customWidth="1"/>
    <col min="3339" max="3339" width="1" customWidth="1"/>
    <col min="3340" max="3340" width="5.140625" customWidth="1"/>
    <col min="3341" max="3583" width="11.42578125" customWidth="1"/>
    <col min="3585" max="3585" width="1.7109375" customWidth="1"/>
    <col min="3586" max="3586" width="27" customWidth="1"/>
    <col min="3587" max="3587" width="17.28515625" customWidth="1"/>
    <col min="3588" max="3588" width="10.7109375" customWidth="1"/>
    <col min="3589" max="3589" width="10.28515625" customWidth="1"/>
    <col min="3590" max="3590" width="3.140625" customWidth="1"/>
    <col min="3591" max="3591" width="12.42578125" customWidth="1"/>
    <col min="3592" max="3593" width="11.42578125" customWidth="1"/>
    <col min="3594" max="3594" width="23.42578125" customWidth="1"/>
    <col min="3595" max="3595" width="1" customWidth="1"/>
    <col min="3596" max="3596" width="5.140625" customWidth="1"/>
    <col min="3597" max="3839" width="11.42578125" customWidth="1"/>
    <col min="3841" max="3841" width="1.7109375" customWidth="1"/>
    <col min="3842" max="3842" width="27" customWidth="1"/>
    <col min="3843" max="3843" width="17.28515625" customWidth="1"/>
    <col min="3844" max="3844" width="10.7109375" customWidth="1"/>
    <col min="3845" max="3845" width="10.28515625" customWidth="1"/>
    <col min="3846" max="3846" width="3.140625" customWidth="1"/>
    <col min="3847" max="3847" width="12.42578125" customWidth="1"/>
    <col min="3848" max="3849" width="11.42578125" customWidth="1"/>
    <col min="3850" max="3850" width="23.42578125" customWidth="1"/>
    <col min="3851" max="3851" width="1" customWidth="1"/>
    <col min="3852" max="3852" width="5.140625" customWidth="1"/>
    <col min="3853" max="4095" width="11.42578125" customWidth="1"/>
    <col min="4097" max="4097" width="1.7109375" customWidth="1"/>
    <col min="4098" max="4098" width="27" customWidth="1"/>
    <col min="4099" max="4099" width="17.28515625" customWidth="1"/>
    <col min="4100" max="4100" width="10.7109375" customWidth="1"/>
    <col min="4101" max="4101" width="10.28515625" customWidth="1"/>
    <col min="4102" max="4102" width="3.140625" customWidth="1"/>
    <col min="4103" max="4103" width="12.42578125" customWidth="1"/>
    <col min="4104" max="4105" width="11.42578125" customWidth="1"/>
    <col min="4106" max="4106" width="23.42578125" customWidth="1"/>
    <col min="4107" max="4107" width="1" customWidth="1"/>
    <col min="4108" max="4108" width="5.140625" customWidth="1"/>
    <col min="4109" max="4351" width="11.42578125" customWidth="1"/>
    <col min="4353" max="4353" width="1.7109375" customWidth="1"/>
    <col min="4354" max="4354" width="27" customWidth="1"/>
    <col min="4355" max="4355" width="17.28515625" customWidth="1"/>
    <col min="4356" max="4356" width="10.7109375" customWidth="1"/>
    <col min="4357" max="4357" width="10.28515625" customWidth="1"/>
    <col min="4358" max="4358" width="3.140625" customWidth="1"/>
    <col min="4359" max="4359" width="12.42578125" customWidth="1"/>
    <col min="4360" max="4361" width="11.42578125" customWidth="1"/>
    <col min="4362" max="4362" width="23.42578125" customWidth="1"/>
    <col min="4363" max="4363" width="1" customWidth="1"/>
    <col min="4364" max="4364" width="5.140625" customWidth="1"/>
    <col min="4365" max="4607" width="11.42578125" customWidth="1"/>
    <col min="4609" max="4609" width="1.7109375" customWidth="1"/>
    <col min="4610" max="4610" width="27" customWidth="1"/>
    <col min="4611" max="4611" width="17.28515625" customWidth="1"/>
    <col min="4612" max="4612" width="10.7109375" customWidth="1"/>
    <col min="4613" max="4613" width="10.28515625" customWidth="1"/>
    <col min="4614" max="4614" width="3.140625" customWidth="1"/>
    <col min="4615" max="4615" width="12.42578125" customWidth="1"/>
    <col min="4616" max="4617" width="11.42578125" customWidth="1"/>
    <col min="4618" max="4618" width="23.42578125" customWidth="1"/>
    <col min="4619" max="4619" width="1" customWidth="1"/>
    <col min="4620" max="4620" width="5.140625" customWidth="1"/>
    <col min="4621" max="4863" width="11.42578125" customWidth="1"/>
    <col min="4865" max="4865" width="1.7109375" customWidth="1"/>
    <col min="4866" max="4866" width="27" customWidth="1"/>
    <col min="4867" max="4867" width="17.28515625" customWidth="1"/>
    <col min="4868" max="4868" width="10.7109375" customWidth="1"/>
    <col min="4869" max="4869" width="10.28515625" customWidth="1"/>
    <col min="4870" max="4870" width="3.140625" customWidth="1"/>
    <col min="4871" max="4871" width="12.42578125" customWidth="1"/>
    <col min="4872" max="4873" width="11.42578125" customWidth="1"/>
    <col min="4874" max="4874" width="23.42578125" customWidth="1"/>
    <col min="4875" max="4875" width="1" customWidth="1"/>
    <col min="4876" max="4876" width="5.140625" customWidth="1"/>
    <col min="4877" max="5119" width="11.42578125" customWidth="1"/>
    <col min="5121" max="5121" width="1.7109375" customWidth="1"/>
    <col min="5122" max="5122" width="27" customWidth="1"/>
    <col min="5123" max="5123" width="17.28515625" customWidth="1"/>
    <col min="5124" max="5124" width="10.7109375" customWidth="1"/>
    <col min="5125" max="5125" width="10.28515625" customWidth="1"/>
    <col min="5126" max="5126" width="3.140625" customWidth="1"/>
    <col min="5127" max="5127" width="12.42578125" customWidth="1"/>
    <col min="5128" max="5129" width="11.42578125" customWidth="1"/>
    <col min="5130" max="5130" width="23.42578125" customWidth="1"/>
    <col min="5131" max="5131" width="1" customWidth="1"/>
    <col min="5132" max="5132" width="5.140625" customWidth="1"/>
    <col min="5133" max="5375" width="11.42578125" customWidth="1"/>
    <col min="5377" max="5377" width="1.7109375" customWidth="1"/>
    <col min="5378" max="5378" width="27" customWidth="1"/>
    <col min="5379" max="5379" width="17.28515625" customWidth="1"/>
    <col min="5380" max="5380" width="10.7109375" customWidth="1"/>
    <col min="5381" max="5381" width="10.28515625" customWidth="1"/>
    <col min="5382" max="5382" width="3.140625" customWidth="1"/>
    <col min="5383" max="5383" width="12.42578125" customWidth="1"/>
    <col min="5384" max="5385" width="11.42578125" customWidth="1"/>
    <col min="5386" max="5386" width="23.42578125" customWidth="1"/>
    <col min="5387" max="5387" width="1" customWidth="1"/>
    <col min="5388" max="5388" width="5.140625" customWidth="1"/>
    <col min="5389" max="5631" width="11.42578125" customWidth="1"/>
    <col min="5633" max="5633" width="1.7109375" customWidth="1"/>
    <col min="5634" max="5634" width="27" customWidth="1"/>
    <col min="5635" max="5635" width="17.28515625" customWidth="1"/>
    <col min="5636" max="5636" width="10.7109375" customWidth="1"/>
    <col min="5637" max="5637" width="10.28515625" customWidth="1"/>
    <col min="5638" max="5638" width="3.140625" customWidth="1"/>
    <col min="5639" max="5639" width="12.42578125" customWidth="1"/>
    <col min="5640" max="5641" width="11.42578125" customWidth="1"/>
    <col min="5642" max="5642" width="23.42578125" customWidth="1"/>
    <col min="5643" max="5643" width="1" customWidth="1"/>
    <col min="5644" max="5644" width="5.140625" customWidth="1"/>
    <col min="5645" max="5887" width="11.42578125" customWidth="1"/>
    <col min="5889" max="5889" width="1.7109375" customWidth="1"/>
    <col min="5890" max="5890" width="27" customWidth="1"/>
    <col min="5891" max="5891" width="17.28515625" customWidth="1"/>
    <col min="5892" max="5892" width="10.7109375" customWidth="1"/>
    <col min="5893" max="5893" width="10.28515625" customWidth="1"/>
    <col min="5894" max="5894" width="3.140625" customWidth="1"/>
    <col min="5895" max="5895" width="12.42578125" customWidth="1"/>
    <col min="5896" max="5897" width="11.42578125" customWidth="1"/>
    <col min="5898" max="5898" width="23.42578125" customWidth="1"/>
    <col min="5899" max="5899" width="1" customWidth="1"/>
    <col min="5900" max="5900" width="5.140625" customWidth="1"/>
    <col min="5901" max="6143" width="11.42578125" customWidth="1"/>
    <col min="6145" max="6145" width="1.7109375" customWidth="1"/>
    <col min="6146" max="6146" width="27" customWidth="1"/>
    <col min="6147" max="6147" width="17.28515625" customWidth="1"/>
    <col min="6148" max="6148" width="10.7109375" customWidth="1"/>
    <col min="6149" max="6149" width="10.28515625" customWidth="1"/>
    <col min="6150" max="6150" width="3.140625" customWidth="1"/>
    <col min="6151" max="6151" width="12.42578125" customWidth="1"/>
    <col min="6152" max="6153" width="11.42578125" customWidth="1"/>
    <col min="6154" max="6154" width="23.42578125" customWidth="1"/>
    <col min="6155" max="6155" width="1" customWidth="1"/>
    <col min="6156" max="6156" width="5.140625" customWidth="1"/>
    <col min="6157" max="6399" width="11.42578125" customWidth="1"/>
    <col min="6401" max="6401" width="1.7109375" customWidth="1"/>
    <col min="6402" max="6402" width="27" customWidth="1"/>
    <col min="6403" max="6403" width="17.28515625" customWidth="1"/>
    <col min="6404" max="6404" width="10.7109375" customWidth="1"/>
    <col min="6405" max="6405" width="10.28515625" customWidth="1"/>
    <col min="6406" max="6406" width="3.140625" customWidth="1"/>
    <col min="6407" max="6407" width="12.42578125" customWidth="1"/>
    <col min="6408" max="6409" width="11.42578125" customWidth="1"/>
    <col min="6410" max="6410" width="23.42578125" customWidth="1"/>
    <col min="6411" max="6411" width="1" customWidth="1"/>
    <col min="6412" max="6412" width="5.140625" customWidth="1"/>
    <col min="6413" max="6655" width="11.42578125" customWidth="1"/>
    <col min="6657" max="6657" width="1.7109375" customWidth="1"/>
    <col min="6658" max="6658" width="27" customWidth="1"/>
    <col min="6659" max="6659" width="17.28515625" customWidth="1"/>
    <col min="6660" max="6660" width="10.7109375" customWidth="1"/>
    <col min="6661" max="6661" width="10.28515625" customWidth="1"/>
    <col min="6662" max="6662" width="3.140625" customWidth="1"/>
    <col min="6663" max="6663" width="12.42578125" customWidth="1"/>
    <col min="6664" max="6665" width="11.42578125" customWidth="1"/>
    <col min="6666" max="6666" width="23.42578125" customWidth="1"/>
    <col min="6667" max="6667" width="1" customWidth="1"/>
    <col min="6668" max="6668" width="5.140625" customWidth="1"/>
    <col min="6669" max="6911" width="11.42578125" customWidth="1"/>
    <col min="6913" max="6913" width="1.7109375" customWidth="1"/>
    <col min="6914" max="6914" width="27" customWidth="1"/>
    <col min="6915" max="6915" width="17.28515625" customWidth="1"/>
    <col min="6916" max="6916" width="10.7109375" customWidth="1"/>
    <col min="6917" max="6917" width="10.28515625" customWidth="1"/>
    <col min="6918" max="6918" width="3.140625" customWidth="1"/>
    <col min="6919" max="6919" width="12.42578125" customWidth="1"/>
    <col min="6920" max="6921" width="11.42578125" customWidth="1"/>
    <col min="6922" max="6922" width="23.42578125" customWidth="1"/>
    <col min="6923" max="6923" width="1" customWidth="1"/>
    <col min="6924" max="6924" width="5.140625" customWidth="1"/>
    <col min="6925" max="7167" width="11.42578125" customWidth="1"/>
    <col min="7169" max="7169" width="1.7109375" customWidth="1"/>
    <col min="7170" max="7170" width="27" customWidth="1"/>
    <col min="7171" max="7171" width="17.28515625" customWidth="1"/>
    <col min="7172" max="7172" width="10.7109375" customWidth="1"/>
    <col min="7173" max="7173" width="10.28515625" customWidth="1"/>
    <col min="7174" max="7174" width="3.140625" customWidth="1"/>
    <col min="7175" max="7175" width="12.42578125" customWidth="1"/>
    <col min="7176" max="7177" width="11.42578125" customWidth="1"/>
    <col min="7178" max="7178" width="23.42578125" customWidth="1"/>
    <col min="7179" max="7179" width="1" customWidth="1"/>
    <col min="7180" max="7180" width="5.140625" customWidth="1"/>
    <col min="7181" max="7423" width="11.42578125" customWidth="1"/>
    <col min="7425" max="7425" width="1.7109375" customWidth="1"/>
    <col min="7426" max="7426" width="27" customWidth="1"/>
    <col min="7427" max="7427" width="17.28515625" customWidth="1"/>
    <col min="7428" max="7428" width="10.7109375" customWidth="1"/>
    <col min="7429" max="7429" width="10.28515625" customWidth="1"/>
    <col min="7430" max="7430" width="3.140625" customWidth="1"/>
    <col min="7431" max="7431" width="12.42578125" customWidth="1"/>
    <col min="7432" max="7433" width="11.42578125" customWidth="1"/>
    <col min="7434" max="7434" width="23.42578125" customWidth="1"/>
    <col min="7435" max="7435" width="1" customWidth="1"/>
    <col min="7436" max="7436" width="5.140625" customWidth="1"/>
    <col min="7437" max="7679" width="11.42578125" customWidth="1"/>
    <col min="7681" max="7681" width="1.7109375" customWidth="1"/>
    <col min="7682" max="7682" width="27" customWidth="1"/>
    <col min="7683" max="7683" width="17.28515625" customWidth="1"/>
    <col min="7684" max="7684" width="10.7109375" customWidth="1"/>
    <col min="7685" max="7685" width="10.28515625" customWidth="1"/>
    <col min="7686" max="7686" width="3.140625" customWidth="1"/>
    <col min="7687" max="7687" width="12.42578125" customWidth="1"/>
    <col min="7688" max="7689" width="11.42578125" customWidth="1"/>
    <col min="7690" max="7690" width="23.42578125" customWidth="1"/>
    <col min="7691" max="7691" width="1" customWidth="1"/>
    <col min="7692" max="7692" width="5.140625" customWidth="1"/>
    <col min="7693" max="7935" width="11.42578125" customWidth="1"/>
    <col min="7937" max="7937" width="1.7109375" customWidth="1"/>
    <col min="7938" max="7938" width="27" customWidth="1"/>
    <col min="7939" max="7939" width="17.28515625" customWidth="1"/>
    <col min="7940" max="7940" width="10.7109375" customWidth="1"/>
    <col min="7941" max="7941" width="10.28515625" customWidth="1"/>
    <col min="7942" max="7942" width="3.140625" customWidth="1"/>
    <col min="7943" max="7943" width="12.42578125" customWidth="1"/>
    <col min="7944" max="7945" width="11.42578125" customWidth="1"/>
    <col min="7946" max="7946" width="23.42578125" customWidth="1"/>
    <col min="7947" max="7947" width="1" customWidth="1"/>
    <col min="7948" max="7948" width="5.140625" customWidth="1"/>
    <col min="7949" max="8191" width="11.42578125" customWidth="1"/>
    <col min="8193" max="8193" width="1.7109375" customWidth="1"/>
    <col min="8194" max="8194" width="27" customWidth="1"/>
    <col min="8195" max="8195" width="17.28515625" customWidth="1"/>
    <col min="8196" max="8196" width="10.7109375" customWidth="1"/>
    <col min="8197" max="8197" width="10.28515625" customWidth="1"/>
    <col min="8198" max="8198" width="3.140625" customWidth="1"/>
    <col min="8199" max="8199" width="12.42578125" customWidth="1"/>
    <col min="8200" max="8201" width="11.42578125" customWidth="1"/>
    <col min="8202" max="8202" width="23.42578125" customWidth="1"/>
    <col min="8203" max="8203" width="1" customWidth="1"/>
    <col min="8204" max="8204" width="5.140625" customWidth="1"/>
    <col min="8205" max="8447" width="11.42578125" customWidth="1"/>
    <col min="8449" max="8449" width="1.7109375" customWidth="1"/>
    <col min="8450" max="8450" width="27" customWidth="1"/>
    <col min="8451" max="8451" width="17.28515625" customWidth="1"/>
    <col min="8452" max="8452" width="10.7109375" customWidth="1"/>
    <col min="8453" max="8453" width="10.28515625" customWidth="1"/>
    <col min="8454" max="8454" width="3.140625" customWidth="1"/>
    <col min="8455" max="8455" width="12.42578125" customWidth="1"/>
    <col min="8456" max="8457" width="11.42578125" customWidth="1"/>
    <col min="8458" max="8458" width="23.42578125" customWidth="1"/>
    <col min="8459" max="8459" width="1" customWidth="1"/>
    <col min="8460" max="8460" width="5.140625" customWidth="1"/>
    <col min="8461" max="8703" width="11.42578125" customWidth="1"/>
    <col min="8705" max="8705" width="1.7109375" customWidth="1"/>
    <col min="8706" max="8706" width="27" customWidth="1"/>
    <col min="8707" max="8707" width="17.28515625" customWidth="1"/>
    <col min="8708" max="8708" width="10.7109375" customWidth="1"/>
    <col min="8709" max="8709" width="10.28515625" customWidth="1"/>
    <col min="8710" max="8710" width="3.140625" customWidth="1"/>
    <col min="8711" max="8711" width="12.42578125" customWidth="1"/>
    <col min="8712" max="8713" width="11.42578125" customWidth="1"/>
    <col min="8714" max="8714" width="23.42578125" customWidth="1"/>
    <col min="8715" max="8715" width="1" customWidth="1"/>
    <col min="8716" max="8716" width="5.140625" customWidth="1"/>
    <col min="8717" max="8959" width="11.42578125" customWidth="1"/>
    <col min="8961" max="8961" width="1.7109375" customWidth="1"/>
    <col min="8962" max="8962" width="27" customWidth="1"/>
    <col min="8963" max="8963" width="17.28515625" customWidth="1"/>
    <col min="8964" max="8964" width="10.7109375" customWidth="1"/>
    <col min="8965" max="8965" width="10.28515625" customWidth="1"/>
    <col min="8966" max="8966" width="3.140625" customWidth="1"/>
    <col min="8967" max="8967" width="12.42578125" customWidth="1"/>
    <col min="8968" max="8969" width="11.42578125" customWidth="1"/>
    <col min="8970" max="8970" width="23.42578125" customWidth="1"/>
    <col min="8971" max="8971" width="1" customWidth="1"/>
    <col min="8972" max="8972" width="5.140625" customWidth="1"/>
    <col min="8973" max="9215" width="11.42578125" customWidth="1"/>
    <col min="9217" max="9217" width="1.7109375" customWidth="1"/>
    <col min="9218" max="9218" width="27" customWidth="1"/>
    <col min="9219" max="9219" width="17.28515625" customWidth="1"/>
    <col min="9220" max="9220" width="10.7109375" customWidth="1"/>
    <col min="9221" max="9221" width="10.28515625" customWidth="1"/>
    <col min="9222" max="9222" width="3.140625" customWidth="1"/>
    <col min="9223" max="9223" width="12.42578125" customWidth="1"/>
    <col min="9224" max="9225" width="11.42578125" customWidth="1"/>
    <col min="9226" max="9226" width="23.42578125" customWidth="1"/>
    <col min="9227" max="9227" width="1" customWidth="1"/>
    <col min="9228" max="9228" width="5.140625" customWidth="1"/>
    <col min="9229" max="9471" width="11.42578125" customWidth="1"/>
    <col min="9473" max="9473" width="1.7109375" customWidth="1"/>
    <col min="9474" max="9474" width="27" customWidth="1"/>
    <col min="9475" max="9475" width="17.28515625" customWidth="1"/>
    <col min="9476" max="9476" width="10.7109375" customWidth="1"/>
    <col min="9477" max="9477" width="10.28515625" customWidth="1"/>
    <col min="9478" max="9478" width="3.140625" customWidth="1"/>
    <col min="9479" max="9479" width="12.42578125" customWidth="1"/>
    <col min="9480" max="9481" width="11.42578125" customWidth="1"/>
    <col min="9482" max="9482" width="23.42578125" customWidth="1"/>
    <col min="9483" max="9483" width="1" customWidth="1"/>
    <col min="9484" max="9484" width="5.140625" customWidth="1"/>
    <col min="9485" max="9727" width="11.42578125" customWidth="1"/>
    <col min="9729" max="9729" width="1.7109375" customWidth="1"/>
    <col min="9730" max="9730" width="27" customWidth="1"/>
    <col min="9731" max="9731" width="17.28515625" customWidth="1"/>
    <col min="9732" max="9732" width="10.7109375" customWidth="1"/>
    <col min="9733" max="9733" width="10.28515625" customWidth="1"/>
    <col min="9734" max="9734" width="3.140625" customWidth="1"/>
    <col min="9735" max="9735" width="12.42578125" customWidth="1"/>
    <col min="9736" max="9737" width="11.42578125" customWidth="1"/>
    <col min="9738" max="9738" width="23.42578125" customWidth="1"/>
    <col min="9739" max="9739" width="1" customWidth="1"/>
    <col min="9740" max="9740" width="5.140625" customWidth="1"/>
    <col min="9741" max="9983" width="11.42578125" customWidth="1"/>
    <col min="9985" max="9985" width="1.7109375" customWidth="1"/>
    <col min="9986" max="9986" width="27" customWidth="1"/>
    <col min="9987" max="9987" width="17.28515625" customWidth="1"/>
    <col min="9988" max="9988" width="10.7109375" customWidth="1"/>
    <col min="9989" max="9989" width="10.28515625" customWidth="1"/>
    <col min="9990" max="9990" width="3.140625" customWidth="1"/>
    <col min="9991" max="9991" width="12.42578125" customWidth="1"/>
    <col min="9992" max="9993" width="11.42578125" customWidth="1"/>
    <col min="9994" max="9994" width="23.42578125" customWidth="1"/>
    <col min="9995" max="9995" width="1" customWidth="1"/>
    <col min="9996" max="9996" width="5.140625" customWidth="1"/>
    <col min="9997" max="10239" width="11.42578125" customWidth="1"/>
    <col min="10241" max="10241" width="1.7109375" customWidth="1"/>
    <col min="10242" max="10242" width="27" customWidth="1"/>
    <col min="10243" max="10243" width="17.28515625" customWidth="1"/>
    <col min="10244" max="10244" width="10.7109375" customWidth="1"/>
    <col min="10245" max="10245" width="10.28515625" customWidth="1"/>
    <col min="10246" max="10246" width="3.140625" customWidth="1"/>
    <col min="10247" max="10247" width="12.42578125" customWidth="1"/>
    <col min="10248" max="10249" width="11.42578125" customWidth="1"/>
    <col min="10250" max="10250" width="23.42578125" customWidth="1"/>
    <col min="10251" max="10251" width="1" customWidth="1"/>
    <col min="10252" max="10252" width="5.140625" customWidth="1"/>
    <col min="10253" max="10495" width="11.42578125" customWidth="1"/>
    <col min="10497" max="10497" width="1.7109375" customWidth="1"/>
    <col min="10498" max="10498" width="27" customWidth="1"/>
    <col min="10499" max="10499" width="17.28515625" customWidth="1"/>
    <col min="10500" max="10500" width="10.7109375" customWidth="1"/>
    <col min="10501" max="10501" width="10.28515625" customWidth="1"/>
    <col min="10502" max="10502" width="3.140625" customWidth="1"/>
    <col min="10503" max="10503" width="12.42578125" customWidth="1"/>
    <col min="10504" max="10505" width="11.42578125" customWidth="1"/>
    <col min="10506" max="10506" width="23.42578125" customWidth="1"/>
    <col min="10507" max="10507" width="1" customWidth="1"/>
    <col min="10508" max="10508" width="5.140625" customWidth="1"/>
    <col min="10509" max="10751" width="11.42578125" customWidth="1"/>
    <col min="10753" max="10753" width="1.7109375" customWidth="1"/>
    <col min="10754" max="10754" width="27" customWidth="1"/>
    <col min="10755" max="10755" width="17.28515625" customWidth="1"/>
    <col min="10756" max="10756" width="10.7109375" customWidth="1"/>
    <col min="10757" max="10757" width="10.28515625" customWidth="1"/>
    <col min="10758" max="10758" width="3.140625" customWidth="1"/>
    <col min="10759" max="10759" width="12.42578125" customWidth="1"/>
    <col min="10760" max="10761" width="11.42578125" customWidth="1"/>
    <col min="10762" max="10762" width="23.42578125" customWidth="1"/>
    <col min="10763" max="10763" width="1" customWidth="1"/>
    <col min="10764" max="10764" width="5.140625" customWidth="1"/>
    <col min="10765" max="11007" width="11.42578125" customWidth="1"/>
    <col min="11009" max="11009" width="1.7109375" customWidth="1"/>
    <col min="11010" max="11010" width="27" customWidth="1"/>
    <col min="11011" max="11011" width="17.28515625" customWidth="1"/>
    <col min="11012" max="11012" width="10.7109375" customWidth="1"/>
    <col min="11013" max="11013" width="10.28515625" customWidth="1"/>
    <col min="11014" max="11014" width="3.140625" customWidth="1"/>
    <col min="11015" max="11015" width="12.42578125" customWidth="1"/>
    <col min="11016" max="11017" width="11.42578125" customWidth="1"/>
    <col min="11018" max="11018" width="23.42578125" customWidth="1"/>
    <col min="11019" max="11019" width="1" customWidth="1"/>
    <col min="11020" max="11020" width="5.140625" customWidth="1"/>
    <col min="11021" max="11263" width="11.42578125" customWidth="1"/>
    <col min="11265" max="11265" width="1.7109375" customWidth="1"/>
    <col min="11266" max="11266" width="27" customWidth="1"/>
    <col min="11267" max="11267" width="17.28515625" customWidth="1"/>
    <col min="11268" max="11268" width="10.7109375" customWidth="1"/>
    <col min="11269" max="11269" width="10.28515625" customWidth="1"/>
    <col min="11270" max="11270" width="3.140625" customWidth="1"/>
    <col min="11271" max="11271" width="12.42578125" customWidth="1"/>
    <col min="11272" max="11273" width="11.42578125" customWidth="1"/>
    <col min="11274" max="11274" width="23.42578125" customWidth="1"/>
    <col min="11275" max="11275" width="1" customWidth="1"/>
    <col min="11276" max="11276" width="5.140625" customWidth="1"/>
    <col min="11277" max="11519" width="11.42578125" customWidth="1"/>
    <col min="11521" max="11521" width="1.7109375" customWidth="1"/>
    <col min="11522" max="11522" width="27" customWidth="1"/>
    <col min="11523" max="11523" width="17.28515625" customWidth="1"/>
    <col min="11524" max="11524" width="10.7109375" customWidth="1"/>
    <col min="11525" max="11525" width="10.28515625" customWidth="1"/>
    <col min="11526" max="11526" width="3.140625" customWidth="1"/>
    <col min="11527" max="11527" width="12.42578125" customWidth="1"/>
    <col min="11528" max="11529" width="11.42578125" customWidth="1"/>
    <col min="11530" max="11530" width="23.42578125" customWidth="1"/>
    <col min="11531" max="11531" width="1" customWidth="1"/>
    <col min="11532" max="11532" width="5.140625" customWidth="1"/>
    <col min="11533" max="11775" width="11.42578125" customWidth="1"/>
    <col min="11777" max="11777" width="1.7109375" customWidth="1"/>
    <col min="11778" max="11778" width="27" customWidth="1"/>
    <col min="11779" max="11779" width="17.28515625" customWidth="1"/>
    <col min="11780" max="11780" width="10.7109375" customWidth="1"/>
    <col min="11781" max="11781" width="10.28515625" customWidth="1"/>
    <col min="11782" max="11782" width="3.140625" customWidth="1"/>
    <col min="11783" max="11783" width="12.42578125" customWidth="1"/>
    <col min="11784" max="11785" width="11.42578125" customWidth="1"/>
    <col min="11786" max="11786" width="23.42578125" customWidth="1"/>
    <col min="11787" max="11787" width="1" customWidth="1"/>
    <col min="11788" max="11788" width="5.140625" customWidth="1"/>
    <col min="11789" max="12031" width="11.42578125" customWidth="1"/>
    <col min="12033" max="12033" width="1.7109375" customWidth="1"/>
    <col min="12034" max="12034" width="27" customWidth="1"/>
    <col min="12035" max="12035" width="17.28515625" customWidth="1"/>
    <col min="12036" max="12036" width="10.7109375" customWidth="1"/>
    <col min="12037" max="12037" width="10.28515625" customWidth="1"/>
    <col min="12038" max="12038" width="3.140625" customWidth="1"/>
    <col min="12039" max="12039" width="12.42578125" customWidth="1"/>
    <col min="12040" max="12041" width="11.42578125" customWidth="1"/>
    <col min="12042" max="12042" width="23.42578125" customWidth="1"/>
    <col min="12043" max="12043" width="1" customWidth="1"/>
    <col min="12044" max="12044" width="5.140625" customWidth="1"/>
    <col min="12045" max="12287" width="11.42578125" customWidth="1"/>
    <col min="12289" max="12289" width="1.7109375" customWidth="1"/>
    <col min="12290" max="12290" width="27" customWidth="1"/>
    <col min="12291" max="12291" width="17.28515625" customWidth="1"/>
    <col min="12292" max="12292" width="10.7109375" customWidth="1"/>
    <col min="12293" max="12293" width="10.28515625" customWidth="1"/>
    <col min="12294" max="12294" width="3.140625" customWidth="1"/>
    <col min="12295" max="12295" width="12.42578125" customWidth="1"/>
    <col min="12296" max="12297" width="11.42578125" customWidth="1"/>
    <col min="12298" max="12298" width="23.42578125" customWidth="1"/>
    <col min="12299" max="12299" width="1" customWidth="1"/>
    <col min="12300" max="12300" width="5.140625" customWidth="1"/>
    <col min="12301" max="12543" width="11.42578125" customWidth="1"/>
    <col min="12545" max="12545" width="1.7109375" customWidth="1"/>
    <col min="12546" max="12546" width="27" customWidth="1"/>
    <col min="12547" max="12547" width="17.28515625" customWidth="1"/>
    <col min="12548" max="12548" width="10.7109375" customWidth="1"/>
    <col min="12549" max="12549" width="10.28515625" customWidth="1"/>
    <col min="12550" max="12550" width="3.140625" customWidth="1"/>
    <col min="12551" max="12551" width="12.42578125" customWidth="1"/>
    <col min="12552" max="12553" width="11.42578125" customWidth="1"/>
    <col min="12554" max="12554" width="23.42578125" customWidth="1"/>
    <col min="12555" max="12555" width="1" customWidth="1"/>
    <col min="12556" max="12556" width="5.140625" customWidth="1"/>
    <col min="12557" max="12799" width="11.42578125" customWidth="1"/>
    <col min="12801" max="12801" width="1.7109375" customWidth="1"/>
    <col min="12802" max="12802" width="27" customWidth="1"/>
    <col min="12803" max="12803" width="17.28515625" customWidth="1"/>
    <col min="12804" max="12804" width="10.7109375" customWidth="1"/>
    <col min="12805" max="12805" width="10.28515625" customWidth="1"/>
    <col min="12806" max="12806" width="3.140625" customWidth="1"/>
    <col min="12807" max="12807" width="12.42578125" customWidth="1"/>
    <col min="12808" max="12809" width="11.42578125" customWidth="1"/>
    <col min="12810" max="12810" width="23.42578125" customWidth="1"/>
    <col min="12811" max="12811" width="1" customWidth="1"/>
    <col min="12812" max="12812" width="5.140625" customWidth="1"/>
    <col min="12813" max="13055" width="11.42578125" customWidth="1"/>
    <col min="13057" max="13057" width="1.7109375" customWidth="1"/>
    <col min="13058" max="13058" width="27" customWidth="1"/>
    <col min="13059" max="13059" width="17.28515625" customWidth="1"/>
    <col min="13060" max="13060" width="10.7109375" customWidth="1"/>
    <col min="13061" max="13061" width="10.28515625" customWidth="1"/>
    <col min="13062" max="13062" width="3.140625" customWidth="1"/>
    <col min="13063" max="13063" width="12.42578125" customWidth="1"/>
    <col min="13064" max="13065" width="11.42578125" customWidth="1"/>
    <col min="13066" max="13066" width="23.42578125" customWidth="1"/>
    <col min="13067" max="13067" width="1" customWidth="1"/>
    <col min="13068" max="13068" width="5.140625" customWidth="1"/>
    <col min="13069" max="13311" width="11.42578125" customWidth="1"/>
    <col min="13313" max="13313" width="1.7109375" customWidth="1"/>
    <col min="13314" max="13314" width="27" customWidth="1"/>
    <col min="13315" max="13315" width="17.28515625" customWidth="1"/>
    <col min="13316" max="13316" width="10.7109375" customWidth="1"/>
    <col min="13317" max="13317" width="10.28515625" customWidth="1"/>
    <col min="13318" max="13318" width="3.140625" customWidth="1"/>
    <col min="13319" max="13319" width="12.42578125" customWidth="1"/>
    <col min="13320" max="13321" width="11.42578125" customWidth="1"/>
    <col min="13322" max="13322" width="23.42578125" customWidth="1"/>
    <col min="13323" max="13323" width="1" customWidth="1"/>
    <col min="13324" max="13324" width="5.140625" customWidth="1"/>
    <col min="13325" max="13567" width="11.42578125" customWidth="1"/>
    <col min="13569" max="13569" width="1.7109375" customWidth="1"/>
    <col min="13570" max="13570" width="27" customWidth="1"/>
    <col min="13571" max="13571" width="17.28515625" customWidth="1"/>
    <col min="13572" max="13572" width="10.7109375" customWidth="1"/>
    <col min="13573" max="13573" width="10.28515625" customWidth="1"/>
    <col min="13574" max="13574" width="3.140625" customWidth="1"/>
    <col min="13575" max="13575" width="12.42578125" customWidth="1"/>
    <col min="13576" max="13577" width="11.42578125" customWidth="1"/>
    <col min="13578" max="13578" width="23.42578125" customWidth="1"/>
    <col min="13579" max="13579" width="1" customWidth="1"/>
    <col min="13580" max="13580" width="5.140625" customWidth="1"/>
    <col min="13581" max="13823" width="11.42578125" customWidth="1"/>
    <col min="13825" max="13825" width="1.7109375" customWidth="1"/>
    <col min="13826" max="13826" width="27" customWidth="1"/>
    <col min="13827" max="13827" width="17.28515625" customWidth="1"/>
    <col min="13828" max="13828" width="10.7109375" customWidth="1"/>
    <col min="13829" max="13829" width="10.28515625" customWidth="1"/>
    <col min="13830" max="13830" width="3.140625" customWidth="1"/>
    <col min="13831" max="13831" width="12.42578125" customWidth="1"/>
    <col min="13832" max="13833" width="11.42578125" customWidth="1"/>
    <col min="13834" max="13834" width="23.42578125" customWidth="1"/>
    <col min="13835" max="13835" width="1" customWidth="1"/>
    <col min="13836" max="13836" width="5.140625" customWidth="1"/>
    <col min="13837" max="14079" width="11.42578125" customWidth="1"/>
    <col min="14081" max="14081" width="1.7109375" customWidth="1"/>
    <col min="14082" max="14082" width="27" customWidth="1"/>
    <col min="14083" max="14083" width="17.28515625" customWidth="1"/>
    <col min="14084" max="14084" width="10.7109375" customWidth="1"/>
    <col min="14085" max="14085" width="10.28515625" customWidth="1"/>
    <col min="14086" max="14086" width="3.140625" customWidth="1"/>
    <col min="14087" max="14087" width="12.42578125" customWidth="1"/>
    <col min="14088" max="14089" width="11.42578125" customWidth="1"/>
    <col min="14090" max="14090" width="23.42578125" customWidth="1"/>
    <col min="14091" max="14091" width="1" customWidth="1"/>
    <col min="14092" max="14092" width="5.140625" customWidth="1"/>
    <col min="14093" max="14335" width="11.42578125" customWidth="1"/>
    <col min="14337" max="14337" width="1.7109375" customWidth="1"/>
    <col min="14338" max="14338" width="27" customWidth="1"/>
    <col min="14339" max="14339" width="17.28515625" customWidth="1"/>
    <col min="14340" max="14340" width="10.7109375" customWidth="1"/>
    <col min="14341" max="14341" width="10.28515625" customWidth="1"/>
    <col min="14342" max="14342" width="3.140625" customWidth="1"/>
    <col min="14343" max="14343" width="12.42578125" customWidth="1"/>
    <col min="14344" max="14345" width="11.42578125" customWidth="1"/>
    <col min="14346" max="14346" width="23.42578125" customWidth="1"/>
    <col min="14347" max="14347" width="1" customWidth="1"/>
    <col min="14348" max="14348" width="5.140625" customWidth="1"/>
    <col min="14349" max="14591" width="11.42578125" customWidth="1"/>
    <col min="14593" max="14593" width="1.7109375" customWidth="1"/>
    <col min="14594" max="14594" width="27" customWidth="1"/>
    <col min="14595" max="14595" width="17.28515625" customWidth="1"/>
    <col min="14596" max="14596" width="10.7109375" customWidth="1"/>
    <col min="14597" max="14597" width="10.28515625" customWidth="1"/>
    <col min="14598" max="14598" width="3.140625" customWidth="1"/>
    <col min="14599" max="14599" width="12.42578125" customWidth="1"/>
    <col min="14600" max="14601" width="11.42578125" customWidth="1"/>
    <col min="14602" max="14602" width="23.42578125" customWidth="1"/>
    <col min="14603" max="14603" width="1" customWidth="1"/>
    <col min="14604" max="14604" width="5.140625" customWidth="1"/>
    <col min="14605" max="14847" width="11.42578125" customWidth="1"/>
    <col min="14849" max="14849" width="1.7109375" customWidth="1"/>
    <col min="14850" max="14850" width="27" customWidth="1"/>
    <col min="14851" max="14851" width="17.28515625" customWidth="1"/>
    <col min="14852" max="14852" width="10.7109375" customWidth="1"/>
    <col min="14853" max="14853" width="10.28515625" customWidth="1"/>
    <col min="14854" max="14854" width="3.140625" customWidth="1"/>
    <col min="14855" max="14855" width="12.42578125" customWidth="1"/>
    <col min="14856" max="14857" width="11.42578125" customWidth="1"/>
    <col min="14858" max="14858" width="23.42578125" customWidth="1"/>
    <col min="14859" max="14859" width="1" customWidth="1"/>
    <col min="14860" max="14860" width="5.140625" customWidth="1"/>
    <col min="14861" max="15103" width="11.42578125" customWidth="1"/>
    <col min="15105" max="15105" width="1.7109375" customWidth="1"/>
    <col min="15106" max="15106" width="27" customWidth="1"/>
    <col min="15107" max="15107" width="17.28515625" customWidth="1"/>
    <col min="15108" max="15108" width="10.7109375" customWidth="1"/>
    <col min="15109" max="15109" width="10.28515625" customWidth="1"/>
    <col min="15110" max="15110" width="3.140625" customWidth="1"/>
    <col min="15111" max="15111" width="12.42578125" customWidth="1"/>
    <col min="15112" max="15113" width="11.42578125" customWidth="1"/>
    <col min="15114" max="15114" width="23.42578125" customWidth="1"/>
    <col min="15115" max="15115" width="1" customWidth="1"/>
    <col min="15116" max="15116" width="5.140625" customWidth="1"/>
    <col min="15117" max="15359" width="11.42578125" customWidth="1"/>
    <col min="15361" max="15361" width="1.7109375" customWidth="1"/>
    <col min="15362" max="15362" width="27" customWidth="1"/>
    <col min="15363" max="15363" width="17.28515625" customWidth="1"/>
    <col min="15364" max="15364" width="10.7109375" customWidth="1"/>
    <col min="15365" max="15365" width="10.28515625" customWidth="1"/>
    <col min="15366" max="15366" width="3.140625" customWidth="1"/>
    <col min="15367" max="15367" width="12.42578125" customWidth="1"/>
    <col min="15368" max="15369" width="11.42578125" customWidth="1"/>
    <col min="15370" max="15370" width="23.42578125" customWidth="1"/>
    <col min="15371" max="15371" width="1" customWidth="1"/>
    <col min="15372" max="15372" width="5.140625" customWidth="1"/>
    <col min="15373" max="15615" width="11.42578125" customWidth="1"/>
    <col min="15617" max="15617" width="1.7109375" customWidth="1"/>
    <col min="15618" max="15618" width="27" customWidth="1"/>
    <col min="15619" max="15619" width="17.28515625" customWidth="1"/>
    <col min="15620" max="15620" width="10.7109375" customWidth="1"/>
    <col min="15621" max="15621" width="10.28515625" customWidth="1"/>
    <col min="15622" max="15622" width="3.140625" customWidth="1"/>
    <col min="15623" max="15623" width="12.42578125" customWidth="1"/>
    <col min="15624" max="15625" width="11.42578125" customWidth="1"/>
    <col min="15626" max="15626" width="23.42578125" customWidth="1"/>
    <col min="15627" max="15627" width="1" customWidth="1"/>
    <col min="15628" max="15628" width="5.140625" customWidth="1"/>
    <col min="15629" max="15871" width="11.42578125" customWidth="1"/>
    <col min="15873" max="15873" width="1.7109375" customWidth="1"/>
    <col min="15874" max="15874" width="27" customWidth="1"/>
    <col min="15875" max="15875" width="17.28515625" customWidth="1"/>
    <col min="15876" max="15876" width="10.7109375" customWidth="1"/>
    <col min="15877" max="15877" width="10.28515625" customWidth="1"/>
    <col min="15878" max="15878" width="3.140625" customWidth="1"/>
    <col min="15879" max="15879" width="12.42578125" customWidth="1"/>
    <col min="15880" max="15881" width="11.42578125" customWidth="1"/>
    <col min="15882" max="15882" width="23.42578125" customWidth="1"/>
    <col min="15883" max="15883" width="1" customWidth="1"/>
    <col min="15884" max="15884" width="5.140625" customWidth="1"/>
    <col min="15885" max="16127" width="11.42578125" customWidth="1"/>
    <col min="16129" max="16129" width="1.7109375" customWidth="1"/>
    <col min="16130" max="16130" width="27" customWidth="1"/>
    <col min="16131" max="16131" width="17.28515625" customWidth="1"/>
    <col min="16132" max="16132" width="10.7109375" customWidth="1"/>
    <col min="16133" max="16133" width="10.28515625" customWidth="1"/>
    <col min="16134" max="16134" width="3.140625" customWidth="1"/>
    <col min="16135" max="16135" width="12.42578125" customWidth="1"/>
    <col min="16136" max="16137" width="11.42578125" customWidth="1"/>
    <col min="16138" max="16138" width="23.42578125" customWidth="1"/>
    <col min="16139" max="16139" width="1" customWidth="1"/>
    <col min="16140" max="16140" width="5.140625" customWidth="1"/>
    <col min="16141" max="16383" width="11.42578125" customWidth="1"/>
  </cols>
  <sheetData>
    <row r="1" spans="1:22" ht="7.5" customHeight="1" thickBot="1" x14ac:dyDescent="0.3">
      <c r="A1" s="376"/>
      <c r="B1" s="376"/>
      <c r="C1" s="376"/>
      <c r="D1" s="376"/>
      <c r="E1" s="376"/>
      <c r="F1" s="376"/>
      <c r="G1" s="376"/>
      <c r="H1" s="376"/>
      <c r="I1" s="376"/>
      <c r="J1" s="376"/>
    </row>
    <row r="2" spans="1:22" ht="19.5" customHeight="1" thickBot="1" x14ac:dyDescent="0.3">
      <c r="A2" s="376"/>
      <c r="B2" s="513" t="s">
        <v>190</v>
      </c>
      <c r="C2" s="514"/>
      <c r="D2" s="514"/>
      <c r="E2" s="514"/>
      <c r="F2" s="514"/>
      <c r="G2" s="514"/>
      <c r="H2" s="514"/>
      <c r="I2" s="515"/>
      <c r="J2" s="376"/>
    </row>
    <row r="3" spans="1:22" ht="28.5" customHeight="1" x14ac:dyDescent="0.25">
      <c r="A3" s="376"/>
      <c r="B3" s="516" t="s">
        <v>226</v>
      </c>
      <c r="C3" s="516"/>
      <c r="D3" s="516"/>
      <c r="E3" s="516"/>
      <c r="F3" s="516"/>
      <c r="G3" s="516"/>
      <c r="H3" s="516"/>
      <c r="I3" s="516"/>
      <c r="J3" s="376"/>
    </row>
    <row r="4" spans="1:22" ht="5.25" customHeight="1" thickBot="1" x14ac:dyDescent="0.3">
      <c r="A4" s="376"/>
      <c r="B4" s="377"/>
      <c r="C4" s="377"/>
      <c r="D4" s="377"/>
      <c r="E4" s="377"/>
      <c r="F4" s="377"/>
      <c r="G4" s="377"/>
      <c r="H4" s="377"/>
      <c r="I4" s="377"/>
      <c r="J4" s="376"/>
    </row>
    <row r="5" spans="1:22" s="353" customFormat="1" ht="18.75" x14ac:dyDescent="0.35">
      <c r="A5" s="382"/>
      <c r="B5" s="378" t="s">
        <v>191</v>
      </c>
      <c r="C5" s="379" t="s">
        <v>192</v>
      </c>
      <c r="D5" s="380" t="s">
        <v>193</v>
      </c>
      <c r="E5" s="379"/>
      <c r="F5" s="379"/>
      <c r="G5" s="379"/>
      <c r="H5" s="379"/>
      <c r="I5" s="381"/>
      <c r="J5" s="382"/>
      <c r="M5" s="354"/>
      <c r="N5" s="354"/>
      <c r="Q5" s="355"/>
      <c r="R5" s="356"/>
      <c r="S5" s="356"/>
    </row>
    <row r="6" spans="1:22" s="353" customFormat="1" ht="18" x14ac:dyDescent="0.25">
      <c r="A6" s="382"/>
      <c r="B6" s="383" t="s">
        <v>194</v>
      </c>
      <c r="C6" s="384">
        <v>0.1</v>
      </c>
      <c r="D6" s="385" t="s">
        <v>195</v>
      </c>
      <c r="E6" s="386">
        <v>3</v>
      </c>
      <c r="F6" s="387" t="s">
        <v>196</v>
      </c>
      <c r="G6" s="388"/>
      <c r="H6" s="389" t="s">
        <v>197</v>
      </c>
      <c r="I6" s="357">
        <f>E6*C6</f>
        <v>0.30000000000000004</v>
      </c>
      <c r="J6" s="382"/>
      <c r="M6" s="354"/>
      <c r="N6" s="354"/>
      <c r="Q6" s="355"/>
      <c r="R6" s="356"/>
      <c r="S6" s="356"/>
    </row>
    <row r="7" spans="1:22" s="353" customFormat="1" x14ac:dyDescent="0.25">
      <c r="A7" s="382"/>
      <c r="B7" s="383" t="s">
        <v>198</v>
      </c>
      <c r="C7" s="390">
        <v>0.75</v>
      </c>
      <c r="D7" s="387"/>
      <c r="E7" s="387"/>
      <c r="F7" s="387"/>
      <c r="G7" s="387"/>
      <c r="H7" s="387"/>
      <c r="I7" s="391"/>
      <c r="J7" s="382"/>
      <c r="R7" s="356"/>
      <c r="S7" s="356"/>
    </row>
    <row r="8" spans="1:22" s="353" customFormat="1" ht="19.5" thickBot="1" x14ac:dyDescent="0.4">
      <c r="A8" s="382"/>
      <c r="B8" s="392" t="s">
        <v>199</v>
      </c>
      <c r="C8" s="393">
        <f>1-((1-I6)^C7)</f>
        <v>0.23471442024963463</v>
      </c>
      <c r="D8" s="394"/>
      <c r="E8" s="394"/>
      <c r="F8" s="394"/>
      <c r="G8" s="394"/>
      <c r="H8" s="394"/>
      <c r="I8" s="395"/>
      <c r="J8" s="382"/>
    </row>
    <row r="9" spans="1:22" s="353" customFormat="1" ht="4.5" customHeight="1" thickBot="1" x14ac:dyDescent="0.3">
      <c r="A9" s="382"/>
      <c r="B9" s="382"/>
      <c r="C9" s="382"/>
      <c r="D9" s="382"/>
      <c r="E9" s="382"/>
      <c r="F9" s="382"/>
      <c r="G9" s="382"/>
      <c r="H9" s="382"/>
      <c r="I9" s="382"/>
      <c r="J9" s="382"/>
    </row>
    <row r="10" spans="1:22" s="356" customFormat="1" ht="15.75" hidden="1" thickBot="1" x14ac:dyDescent="0.3">
      <c r="A10" s="382"/>
      <c r="B10" s="396"/>
      <c r="C10" s="397"/>
      <c r="D10" s="398"/>
      <c r="E10" s="399"/>
      <c r="F10" s="382"/>
      <c r="G10" s="382"/>
      <c r="H10" s="382"/>
      <c r="I10" s="382"/>
      <c r="J10" s="382"/>
    </row>
    <row r="11" spans="1:22" s="353" customFormat="1" ht="15.75" hidden="1" thickBot="1" x14ac:dyDescent="0.3">
      <c r="A11" s="382"/>
      <c r="B11" s="400" t="s">
        <v>200</v>
      </c>
      <c r="C11" s="382"/>
      <c r="D11" s="382"/>
      <c r="E11" s="382"/>
      <c r="F11" s="382"/>
      <c r="G11" s="382"/>
      <c r="H11" s="382"/>
      <c r="I11" s="382"/>
      <c r="J11" s="382"/>
      <c r="M11" s="356"/>
      <c r="N11" s="356"/>
      <c r="S11" s="356"/>
      <c r="T11" s="356"/>
    </row>
    <row r="12" spans="1:22" s="353" customFormat="1" ht="19.5" hidden="1" thickBot="1" x14ac:dyDescent="0.4">
      <c r="A12" s="382"/>
      <c r="B12" s="382" t="s">
        <v>201</v>
      </c>
      <c r="C12" s="382"/>
      <c r="D12" s="401" t="s">
        <v>202</v>
      </c>
      <c r="E12" s="382"/>
      <c r="F12" s="382"/>
      <c r="G12" s="382"/>
      <c r="H12" s="382"/>
      <c r="I12" s="382"/>
      <c r="J12" s="382"/>
      <c r="M12" s="356"/>
      <c r="N12" s="356"/>
      <c r="S12" s="356"/>
      <c r="T12" s="356"/>
    </row>
    <row r="13" spans="1:22" s="353" customFormat="1" ht="18" hidden="1" thickBot="1" x14ac:dyDescent="0.3">
      <c r="A13" s="382"/>
      <c r="B13" s="402" t="s">
        <v>203</v>
      </c>
      <c r="C13" s="382"/>
      <c r="D13" s="401"/>
      <c r="E13" s="382"/>
      <c r="F13" s="382"/>
      <c r="G13" s="401" t="s">
        <v>204</v>
      </c>
      <c r="H13" s="382"/>
      <c r="I13" s="382"/>
      <c r="J13" s="382"/>
      <c r="M13" s="356"/>
      <c r="N13" s="356"/>
      <c r="S13" s="356"/>
      <c r="T13" s="356"/>
    </row>
    <row r="14" spans="1:22" s="353" customFormat="1" ht="30" customHeight="1" thickBot="1" x14ac:dyDescent="0.3">
      <c r="A14" s="382"/>
      <c r="B14" s="517" t="s">
        <v>205</v>
      </c>
      <c r="C14" s="518"/>
      <c r="D14" s="518"/>
      <c r="E14" s="519"/>
      <c r="F14" s="382"/>
      <c r="G14" s="403"/>
      <c r="H14" s="404"/>
      <c r="I14" s="404"/>
      <c r="J14" s="404"/>
      <c r="K14" s="2"/>
      <c r="M14" s="356"/>
      <c r="N14" s="356"/>
      <c r="S14" s="356"/>
      <c r="T14" s="356"/>
    </row>
    <row r="15" spans="1:22" s="353" customFormat="1" ht="15.75" x14ac:dyDescent="0.25">
      <c r="A15" s="382"/>
      <c r="B15" s="405" t="s">
        <v>39</v>
      </c>
      <c r="C15" s="358">
        <f>I6</f>
        <v>0.30000000000000004</v>
      </c>
      <c r="D15" s="406" t="s">
        <v>206</v>
      </c>
      <c r="E15" s="407">
        <f>1-C15</f>
        <v>0.7</v>
      </c>
      <c r="F15" s="402"/>
      <c r="G15" s="403"/>
      <c r="H15" s="408"/>
      <c r="I15" s="404"/>
      <c r="J15" s="404"/>
      <c r="K15" s="2"/>
      <c r="M15" s="356"/>
      <c r="N15" s="356"/>
      <c r="V15" s="359" t="e">
        <f>Q5/S5</f>
        <v>#DIV/0!</v>
      </c>
    </row>
    <row r="16" spans="1:22" s="353" customFormat="1" ht="15.75" x14ac:dyDescent="0.25">
      <c r="A16" s="382"/>
      <c r="B16" s="409" t="s">
        <v>207</v>
      </c>
      <c r="C16" s="360">
        <f>C8</f>
        <v>0.23471442024963463</v>
      </c>
      <c r="D16" s="410" t="s">
        <v>208</v>
      </c>
      <c r="E16" s="411">
        <f>1-C16</f>
        <v>0.76528557975036537</v>
      </c>
      <c r="F16" s="402"/>
      <c r="G16" s="403"/>
      <c r="H16" s="412"/>
      <c r="I16" s="404"/>
      <c r="J16" s="404"/>
      <c r="K16" s="2"/>
      <c r="M16" s="356"/>
      <c r="N16" s="356"/>
      <c r="V16" s="359" t="e">
        <f>Q6/S6</f>
        <v>#DIV/0!</v>
      </c>
    </row>
    <row r="17" spans="1:20" s="353" customFormat="1" ht="15.75" x14ac:dyDescent="0.25">
      <c r="A17" s="382"/>
      <c r="B17" s="413" t="s">
        <v>209</v>
      </c>
      <c r="C17" s="414">
        <f>(C15+C16)/2</f>
        <v>0.26735721012481733</v>
      </c>
      <c r="D17" s="410" t="s">
        <v>210</v>
      </c>
      <c r="E17" s="411">
        <f>1-C17</f>
        <v>0.73264278987518261</v>
      </c>
      <c r="F17" s="402"/>
      <c r="G17" s="404"/>
      <c r="H17" s="404"/>
      <c r="I17" s="415"/>
      <c r="J17" s="404"/>
      <c r="K17" s="2"/>
      <c r="M17" s="356"/>
      <c r="N17" s="356"/>
    </row>
    <row r="18" spans="1:20" s="353" customFormat="1" ht="15.75" x14ac:dyDescent="0.25">
      <c r="A18" s="382"/>
      <c r="B18" s="413" t="s">
        <v>211</v>
      </c>
      <c r="C18" s="416">
        <v>0.05</v>
      </c>
      <c r="D18" s="417" t="s">
        <v>212</v>
      </c>
      <c r="E18" s="411">
        <f>-NORMSINV((C18*100/2)/100)</f>
        <v>1.9599639845400538</v>
      </c>
      <c r="F18" s="402"/>
      <c r="G18" s="418" t="s">
        <v>213</v>
      </c>
      <c r="H18" s="419"/>
      <c r="I18" s="420"/>
      <c r="J18" s="421"/>
      <c r="K18" s="2"/>
      <c r="M18" s="356"/>
      <c r="N18" s="356"/>
      <c r="S18" s="356"/>
      <c r="T18" s="356"/>
    </row>
    <row r="19" spans="1:20" s="353" customFormat="1" ht="15.75" x14ac:dyDescent="0.25">
      <c r="A19" s="382"/>
      <c r="B19" s="413" t="s">
        <v>214</v>
      </c>
      <c r="C19" s="361">
        <v>0.2</v>
      </c>
      <c r="D19" s="422" t="s">
        <v>215</v>
      </c>
      <c r="E19" s="411">
        <f>-NORMSINV(C19)</f>
        <v>0.84162123357291452</v>
      </c>
      <c r="F19" s="402"/>
      <c r="G19" s="423">
        <f>E25*C15</f>
        <v>216.60000000000002</v>
      </c>
      <c r="H19" s="424" t="s">
        <v>216</v>
      </c>
      <c r="I19" s="425"/>
      <c r="J19" s="421"/>
      <c r="K19" s="2"/>
      <c r="M19" s="356"/>
      <c r="N19" s="356"/>
      <c r="S19" s="356"/>
      <c r="T19" s="356"/>
    </row>
    <row r="20" spans="1:20" s="353" customFormat="1" ht="15.75" x14ac:dyDescent="0.25">
      <c r="A20" s="382"/>
      <c r="B20" s="413" t="s">
        <v>217</v>
      </c>
      <c r="C20" s="426">
        <f>2*C17*E17*(E18+E19)^2</f>
        <v>3.0748352481153596</v>
      </c>
      <c r="D20" s="385"/>
      <c r="E20" s="391"/>
      <c r="F20" s="402"/>
      <c r="G20" s="427">
        <f>E25*C16</f>
        <v>169.4638114202362</v>
      </c>
      <c r="H20" s="428" t="s">
        <v>218</v>
      </c>
      <c r="I20" s="429"/>
      <c r="J20" s="430"/>
      <c r="K20" s="2"/>
      <c r="M20" s="356"/>
      <c r="N20" s="356"/>
      <c r="S20" s="356"/>
      <c r="T20" s="356"/>
    </row>
    <row r="21" spans="1:20" s="353" customFormat="1" ht="15.75" x14ac:dyDescent="0.25">
      <c r="A21" s="382"/>
      <c r="B21" s="413" t="s">
        <v>219</v>
      </c>
      <c r="C21" s="431">
        <f>(C15-C16)^2</f>
        <v>4.2622069233413228E-3</v>
      </c>
      <c r="D21" s="387"/>
      <c r="E21" s="391"/>
      <c r="F21" s="402"/>
      <c r="G21" s="432">
        <f>SUM(G19:G20)</f>
        <v>386.06381142023622</v>
      </c>
      <c r="H21" s="418" t="s">
        <v>220</v>
      </c>
      <c r="I21" s="419"/>
      <c r="J21" s="421"/>
      <c r="K21" s="2"/>
      <c r="M21" s="356"/>
      <c r="N21" s="356"/>
      <c r="S21" s="356"/>
      <c r="T21" s="356"/>
    </row>
    <row r="22" spans="1:20" s="353" customFormat="1" x14ac:dyDescent="0.25">
      <c r="A22" s="382"/>
      <c r="B22" s="433" t="s">
        <v>221</v>
      </c>
      <c r="C22" s="362">
        <f>ROUNDUP(C20/C21,0)</f>
        <v>722</v>
      </c>
      <c r="D22" s="434"/>
      <c r="E22" s="391"/>
      <c r="F22" s="402"/>
      <c r="G22" s="382"/>
      <c r="H22" s="382"/>
      <c r="I22" s="382"/>
      <c r="J22" s="382"/>
      <c r="K22" s="2"/>
      <c r="M22" s="356"/>
      <c r="N22" s="356"/>
      <c r="S22" s="356"/>
      <c r="T22" s="356"/>
    </row>
    <row r="23" spans="1:20" s="353" customFormat="1" ht="15.75" thickBot="1" x14ac:dyDescent="0.3">
      <c r="A23" s="382"/>
      <c r="B23" s="435" t="s">
        <v>222</v>
      </c>
      <c r="C23" s="363">
        <f>C22*2</f>
        <v>1444</v>
      </c>
      <c r="D23" s="436"/>
      <c r="E23" s="395"/>
      <c r="F23" s="402"/>
      <c r="G23" s="402"/>
      <c r="H23" s="402"/>
      <c r="I23" s="437"/>
      <c r="J23" s="402"/>
      <c r="M23" s="356"/>
      <c r="N23" s="356"/>
      <c r="S23" s="356"/>
      <c r="T23" s="356"/>
    </row>
    <row r="24" spans="1:20" s="353" customFormat="1" ht="6.75" customHeight="1" x14ac:dyDescent="0.25">
      <c r="A24" s="382"/>
      <c r="B24" s="382"/>
      <c r="C24" s="382"/>
      <c r="D24" s="382"/>
      <c r="E24" s="382"/>
      <c r="F24" s="382"/>
      <c r="G24" s="382"/>
      <c r="H24" s="438"/>
      <c r="I24" s="382"/>
      <c r="J24" s="382"/>
    </row>
    <row r="25" spans="1:20" s="353" customFormat="1" x14ac:dyDescent="0.25">
      <c r="A25" s="382"/>
      <c r="B25" s="439" t="s">
        <v>223</v>
      </c>
      <c r="C25" s="440">
        <v>0</v>
      </c>
      <c r="D25" s="402" t="s">
        <v>224</v>
      </c>
      <c r="E25" s="362">
        <f>C22*1/(1-C25)</f>
        <v>722</v>
      </c>
      <c r="F25" s="382" t="s">
        <v>225</v>
      </c>
      <c r="G25" s="441"/>
      <c r="H25" s="441"/>
      <c r="I25" s="382"/>
      <c r="J25" s="382"/>
    </row>
    <row r="26" spans="1:20" s="364" customFormat="1" ht="5.25" customHeight="1" x14ac:dyDescent="0.25">
      <c r="A26" s="442"/>
      <c r="B26" s="442"/>
      <c r="C26" s="442"/>
      <c r="D26" s="442"/>
      <c r="E26" s="442"/>
      <c r="F26" s="442"/>
      <c r="G26" s="442"/>
      <c r="H26" s="442"/>
      <c r="I26" s="443"/>
      <c r="J26" s="442"/>
    </row>
    <row r="27" spans="1:20" s="364" customFormat="1" x14ac:dyDescent="0.25">
      <c r="D27" s="365"/>
      <c r="E27" s="366"/>
      <c r="I27" s="2"/>
    </row>
    <row r="28" spans="1:20" s="364" customFormat="1" x14ac:dyDescent="0.25">
      <c r="D28" s="365"/>
      <c r="E28" s="366"/>
      <c r="I28" s="2"/>
      <c r="J28" s="9"/>
      <c r="K28" s="9"/>
      <c r="L28" s="9"/>
      <c r="M28" s="9"/>
      <c r="N28" s="9"/>
      <c r="O28" s="9"/>
      <c r="P28" s="9"/>
    </row>
    <row r="29" spans="1:20" x14ac:dyDescent="0.25">
      <c r="J29" s="367"/>
      <c r="K29" s="368"/>
      <c r="L29" s="368"/>
      <c r="M29" s="367"/>
      <c r="N29" s="368"/>
      <c r="O29" s="368"/>
      <c r="P29" s="369"/>
    </row>
    <row r="30" spans="1:20" x14ac:dyDescent="0.25">
      <c r="E30" s="370"/>
      <c r="J30" s="371"/>
      <c r="K30" s="372"/>
      <c r="L30" s="372"/>
      <c r="M30" s="372"/>
      <c r="N30" s="373"/>
      <c r="O30" s="372"/>
      <c r="P30" s="374"/>
    </row>
    <row r="31" spans="1:20" x14ac:dyDescent="0.25">
      <c r="G31" s="375"/>
      <c r="H31" s="375"/>
      <c r="I31" s="375"/>
    </row>
  </sheetData>
  <mergeCells count="3">
    <mergeCell ref="B2:I2"/>
    <mergeCell ref="B3:I3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NNT desde HR</vt:lpstr>
      <vt:lpstr>NNT desde Inc Acum</vt:lpstr>
      <vt:lpstr>Size por 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2019-11-07T17:53:11Z</dcterms:modified>
</cp:coreProperties>
</file>