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7140" activeTab="0"/>
  </bookViews>
  <sheets>
    <sheet name="desde HR" sheetId="1" r:id="rId1"/>
    <sheet name="IncAcum" sheetId="2" r:id="rId2"/>
    <sheet name="Tamaño muestra por HR" sheetId="3" r:id="rId3"/>
  </sheets>
  <definedNames/>
  <calcPr fullCalcOnLoad="1"/>
</workbook>
</file>

<file path=xl/sharedStrings.xml><?xml version="1.0" encoding="utf-8"?>
<sst xmlns="http://schemas.openxmlformats.org/spreadsheetml/2006/main" count="491" uniqueCount="436">
  <si>
    <t>Límite inferior del IC</t>
  </si>
  <si>
    <t>Límite superior del IC</t>
  </si>
  <si>
    <t>Sin eventos</t>
  </si>
  <si>
    <t>Con eventos</t>
  </si>
  <si>
    <t>Nº con evento</t>
  </si>
  <si>
    <t>RR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</si>
  <si>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</si>
  <si>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</si>
  <si>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</si>
  <si>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</si>
  <si>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</si>
  <si>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</si>
  <si>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</si>
  <si>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</si>
  <si>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</si>
  <si>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</si>
  <si>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</si>
  <si>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</si>
  <si>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</si>
  <si>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</si>
  <si>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</si>
  <si>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</si>
  <si>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</si>
  <si>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</si>
  <si>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</si>
  <si>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</si>
  <si>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</si>
  <si>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</si>
  <si>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</si>
  <si>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Estimación puntual de la proporción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</si>
  <si>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</si>
  <si>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</si>
  <si>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</si>
  <si>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</si>
  <si>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</si>
  <si>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</si>
  <si>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</si>
  <si>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</si>
  <si>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</si>
  <si>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</si>
  <si>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</si>
  <si>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</si>
  <si>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</si>
  <si>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</si>
  <si>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</si>
  <si>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</si>
  <si>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</si>
  <si>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</si>
  <si>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</si>
  <si>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n (cada grupo) =</t>
  </si>
  <si>
    <t>2n (total) =</t>
  </si>
  <si>
    <t>DETERMINACIÓN DEL TAMAÑO DE MUESTRA EN CADA GRUPO DE ESTUDIO PARA LA COMPARACIÓN DE DOS PROPORCIONES.</t>
  </si>
  <si>
    <t xml:space="preserve">Siguendo en mismo razonamiento que antes: </t>
  </si>
  <si>
    <t>La proporción que debe usarse no es ni pA ni pB, sino la llamada porporción media (pM) = pA+pB/2, y así=&gt;</t>
  </si>
  <si>
    <t>qA</t>
  </si>
  <si>
    <t>qB</t>
  </si>
  <si>
    <t>qM</t>
  </si>
  <si>
    <t>=&gt; z α/2 =</t>
  </si>
  <si>
    <t>=&gt; zβ =</t>
  </si>
  <si>
    <t>RRR</t>
  </si>
  <si>
    <t xml:space="preserve">NNT = 1 / RAR = </t>
  </si>
  <si>
    <t>---------------------------------------------&gt;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</si>
  <si>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</si>
  <si>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</si>
  <si>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</si>
  <si>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</si>
  <si>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</si>
  <si>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</si>
  <si>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</si>
  <si>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</si>
  <si>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</si>
  <si>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</si>
  <si>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</si>
  <si>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</si>
  <si>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 xml:space="preserve">en </t>
  </si>
  <si>
    <t>…….</t>
  </si>
  <si>
    <t>años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</si>
  <si>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</si>
  <si>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</si>
  <si>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</si>
  <si>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</si>
  <si>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</si>
  <si>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</si>
  <si>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</si>
  <si>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</si>
  <si>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</si>
  <si>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</si>
  <si>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</si>
  <si>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</si>
  <si>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</si>
  <si>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</si>
  <si>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</si>
  <si>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>Cálculo del IC del RAR y del NNT</t>
  </si>
  <si>
    <t xml:space="preserve"> </t>
  </si>
  <si>
    <t>Nº event Interv (%)</t>
  </si>
  <si>
    <t>Nº event Control (%)</t>
  </si>
  <si>
    <t>% RA interv</t>
  </si>
  <si>
    <t>% RA control</t>
  </si>
  <si>
    <t>pM (=proporción Media)</t>
  </si>
  <si>
    <t>Cálculo del tamaño necesario de la muestra</t>
  </si>
  <si>
    <t>CÁLCULO DEL TAMAÑO DE MUESTRA PARA UNA DIFERENCIA DE DOS PROPORCIONES</t>
  </si>
  <si>
    <t>% RA intervención</t>
  </si>
  <si>
    <t>Numerador</t>
  </si>
  <si>
    <t>Denominador</t>
  </si>
  <si>
    <t>% RA control =</t>
  </si>
  <si>
    <t>Estimación puntual</t>
  </si>
  <si>
    <t>100% - % RA control =</t>
  </si>
  <si>
    <t>Cálculo de RAR y NNT a partir del HR y el % RA en el grupo control</t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</si>
  <si>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</si>
  <si>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</si>
  <si>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</si>
  <si>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Según estos cálculos ¿cuándo debería pararse el estudio?</t>
  </si>
  <si>
    <t>Nº eventos esperados en el grupo control</t>
  </si>
  <si>
    <t>Suma de los eventos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</si>
  <si>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</si>
  <si>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Límite inferior del IC 95%</t>
  </si>
  <si>
    <t>Límite superior del IC 95%</t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</si>
  <si>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</si>
  <si>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</si>
  <si>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</si>
  <si>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</si>
  <si>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</si>
  <si>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</si>
  <si>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</si>
  <si>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</si>
  <si>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CÁLCULOS EN incidencias acumuladas</t>
  </si>
  <si>
    <t>=&gt; Total =</t>
  </si>
  <si>
    <t>Nº eventos esperados en el grupo intervención</t>
  </si>
  <si>
    <t xml:space="preserve">Si espero pérdidas del </t>
  </si>
  <si>
    <t>Intervención</t>
  </si>
  <si>
    <t>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</si>
  <si>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</si>
  <si>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</si>
  <si>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</si>
  <si>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</si>
  <si>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LS IC</t>
  </si>
  <si>
    <t>=&gt;</t>
  </si>
  <si>
    <r>
      <t xml:space="preserve">1 -β =  p (rechazar Ho </t>
    </r>
    <r>
      <rPr>
        <sz val="10"/>
        <rFont val="Calibri"/>
        <family val="2"/>
      </rPr>
      <t>│ Ho falsa)</t>
    </r>
  </si>
  <si>
    <t>1 -β =  potencia estadística resultante =  p de detectar una diferencia entre ambos, en caso de que exista</t>
  </si>
  <si>
    <t>Potencia de contraste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</si>
  <si>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</si>
  <si>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DM: diferencia de proporciones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</si>
  <si>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</si>
  <si>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</si>
  <si>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</si>
  <si>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LI IC</t>
  </si>
  <si>
    <t>Z α/2</t>
  </si>
  <si>
    <t>α = probab de que la diferencia detectada entre ambos sea debida al azar, en caso de que no exista</t>
  </si>
  <si>
    <r>
      <t xml:space="preserve">1-α =  p (no rechazar Ho </t>
    </r>
    <r>
      <rPr>
        <sz val="10"/>
        <rFont val="Calibri"/>
        <family val="2"/>
      </rPr>
      <t>│ Ho verdadera)</t>
    </r>
  </si>
  <si>
    <t>1-α = nivel e confianza =  p (no rechazar Ho │ Ho verdadera)</t>
  </si>
  <si>
    <t xml:space="preserve"> p (no rechazar Ho │ Ho verdadera)</t>
  </si>
  <si>
    <t xml:space="preserve"> β =&gt; probabilidad de no detectar una diferencia que sí exista.</t>
  </si>
  <si>
    <t>β =  probabilidad de no detectar una diferencia que sí exista =  p (no rechazar Ho │ Ho falsa)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</si>
  <si>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</si>
  <si>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>Dif Proporc =  RAR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</si>
  <si>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</si>
  <si>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</si>
  <si>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</si>
  <si>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</si>
  <si>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</si>
  <si>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>χ² cal= Sumat (observado</t>
    </r>
    <r>
      <rPr>
        <b/>
        <vertAlign val="subscript"/>
        <sz val="10"/>
        <rFont val="Calibri"/>
        <family val="2"/>
      </rPr>
      <t xml:space="preserve"> i </t>
    </r>
    <r>
      <rPr>
        <b/>
        <sz val="10"/>
        <rFont val="Calibri"/>
        <family val="2"/>
      </rPr>
      <t xml:space="preserve">-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/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</si>
  <si>
    <t>Chi cuadrado de Pearson</t>
  </si>
  <si>
    <r>
      <t>Abreviaturas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RA</t>
    </r>
    <r>
      <rPr>
        <sz val="11"/>
        <rFont val="Calibri"/>
        <family val="2"/>
      </rPr>
      <t>: Riesgo Absoluto;</t>
    </r>
    <r>
      <rPr>
        <b/>
        <sz val="11"/>
        <rFont val="Calibri"/>
        <family val="2"/>
      </rPr>
      <t xml:space="preserve"> RR</t>
    </r>
    <r>
      <rPr>
        <sz val="11"/>
        <rFont val="Calibri"/>
        <family val="2"/>
      </rPr>
      <t xml:space="preserve">: Riesgo Relativo; </t>
    </r>
    <r>
      <rPr>
        <b/>
        <sz val="11"/>
        <rFont val="Calibri"/>
        <family val="2"/>
      </rPr>
      <t>RAR</t>
    </r>
    <r>
      <rPr>
        <sz val="11"/>
        <rFont val="Calibri"/>
        <family val="2"/>
      </rPr>
      <t xml:space="preserve">: Reducción Absoluta del Riesgo; </t>
    </r>
    <r>
      <rPr>
        <b/>
        <sz val="11"/>
        <rFont val="Calibri"/>
        <family val="2"/>
      </rPr>
      <t>NNT</t>
    </r>
    <r>
      <rPr>
        <sz val="11"/>
        <rFont val="Calibri"/>
        <family val="2"/>
      </rPr>
      <t xml:space="preserve">: Número Necesario a Tratar para evitar un evento; </t>
    </r>
    <r>
      <rPr>
        <b/>
        <sz val="11"/>
        <rFont val="Calibri"/>
        <family val="2"/>
      </rPr>
      <t>IC 95%</t>
    </r>
    <r>
      <rPr>
        <sz val="11"/>
        <rFont val="Calibri"/>
        <family val="2"/>
      </rPr>
      <t>: intervalo de confianza al 95%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</si>
  <si>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significación estadística; </t>
    </r>
    <r>
      <rPr>
        <b/>
        <sz val="10"/>
        <rFont val="Calibri"/>
        <family val="2"/>
      </rPr>
      <t>Potencia estadística</t>
    </r>
    <r>
      <rPr>
        <sz val="10"/>
        <rFont val="Calibri"/>
        <family val="2"/>
      </rPr>
      <t xml:space="preserve"> = 1 - Error beta; 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>: número de pacientes necesario de cada uno de los grupos</t>
    </r>
  </si>
  <si>
    <r>
      <t>S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= S</t>
    </r>
    <r>
      <rPr>
        <vertAlign val="subscript"/>
        <sz val="11"/>
        <rFont val="Calibri"/>
        <family val="2"/>
      </rPr>
      <t>c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=&gt;</t>
    </r>
  </si>
  <si>
    <r>
      <t>1-RA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=&gt;</t>
    </r>
  </si>
  <si>
    <r>
      <t>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</si>
  <si>
    <r>
      <t>si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/año =</t>
    </r>
  </si>
  <si>
    <t>durante</t>
  </si>
  <si>
    <r>
      <t xml:space="preserve"> =&gt; que se espera un 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=</t>
    </r>
  </si>
  <si>
    <t>y se espera un HR =</t>
  </si>
  <si>
    <r>
      <t>entonces RA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>= 1 - (1-RA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>)</t>
    </r>
    <r>
      <rPr>
        <vertAlign val="superscript"/>
        <sz val="11"/>
        <rFont val="Calibri"/>
        <family val="2"/>
      </rPr>
      <t>HR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=</t>
    </r>
  </si>
  <si>
    <r>
      <t>n = 2pq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(z</t>
    </r>
    <r>
      <rPr>
        <b/>
        <vertAlign val="subscript"/>
        <sz val="11"/>
        <rFont val="Calibri"/>
        <family val="2"/>
      </rPr>
      <t>α/2</t>
    </r>
    <r>
      <rPr>
        <b/>
        <sz val="11"/>
        <rFont val="Calibri"/>
        <family val="2"/>
      </rPr>
      <t xml:space="preserve"> + z</t>
    </r>
    <r>
      <rPr>
        <b/>
        <vertAlign val="subscript"/>
        <sz val="11"/>
        <rFont val="Calibri"/>
        <family val="2"/>
      </rPr>
      <t>β</t>
    </r>
    <r>
      <rPr>
        <b/>
        <sz val="11"/>
        <rFont val="Calibri"/>
        <family val="2"/>
      </rPr>
      <t>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</si>
  <si>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r>
      <t>n = 2* (pM * qM) * (z α/2 + zβ)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/ (pA - pB)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</t>
    </r>
  </si>
  <si>
    <t>por grupo</t>
  </si>
  <si>
    <r>
      <t>En excel procédase así: HR = LOG(S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</si>
  <si>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</si>
  <si>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</si>
  <si>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</si>
  <si>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</si>
  <si>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</si>
  <si>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r>
      <t xml:space="preserve">Log 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</si>
  <si>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t>245/2202 (11,13%)</t>
  </si>
  <si>
    <t>118/2202 (5,36%)</t>
  </si>
  <si>
    <t>116/2202 (5,27%)</t>
  </si>
  <si>
    <t>78/2202 (3,54%)</t>
  </si>
  <si>
    <t>125/2199 (5,68%)</t>
  </si>
  <si>
    <t>0,62 (0,47-0,82)</t>
  </si>
  <si>
    <t>2,14% (3,4% a 0,91%)</t>
  </si>
  <si>
    <t>47 (29 a 110)</t>
  </si>
  <si>
    <t>340/2199 (15,46%)</t>
  </si>
  <si>
    <t>0,72 (0,62-0,84)</t>
  </si>
  <si>
    <t>4,34% (6,34% a 2,33%)</t>
  </si>
  <si>
    <t>23 (16 a 43)</t>
  </si>
  <si>
    <t>188/2199 (8,55%)</t>
  </si>
  <si>
    <t>0,63 (0,5-0,78)</t>
  </si>
  <si>
    <t>3,19% (4,7% a 1,69%)</t>
  </si>
  <si>
    <t>31 (21 a 59)</t>
  </si>
  <si>
    <t>165/2199 (7,5%)</t>
  </si>
  <si>
    <t>0,7 (0,56-0,88)</t>
  </si>
  <si>
    <t>2,24% (3,69% a 0,79%)</t>
  </si>
  <si>
    <t>45 (27 a 126)</t>
  </si>
  <si>
    <t>76/2202 (3,45%)</t>
  </si>
  <si>
    <t>100/2199 (4,55%)</t>
  </si>
  <si>
    <t>0,76 (0,57-1,02)</t>
  </si>
  <si>
    <t>1,1% (2,27% a -0,07%)</t>
  </si>
  <si>
    <t>91 (44 a -1533)</t>
  </si>
  <si>
    <t>2/2202 (0,09%)</t>
  </si>
  <si>
    <t>5/2199 (0,23%)</t>
  </si>
  <si>
    <t>0,4 (0,08-2,06)</t>
  </si>
  <si>
    <t>0,14% (0,45% a -0,14%)</t>
  </si>
  <si>
    <t>732 (223 a -734)</t>
  </si>
  <si>
    <t>110/2202 (5%)</t>
  </si>
  <si>
    <t>140/2199 (6,37%)</t>
  </si>
  <si>
    <t>0,78 (0,62-1)</t>
  </si>
  <si>
    <t>1,37% (2,75% a 0%)</t>
  </si>
  <si>
    <t>217/2202 (9,85%)</t>
  </si>
  <si>
    <t>269/2199 (12,23%)</t>
  </si>
  <si>
    <t>0,81 (0,68-0,95)</t>
  </si>
  <si>
    <t>2,38% (4,23% a 0,53%)</t>
  </si>
  <si>
    <t>42 (24 a 190)</t>
  </si>
  <si>
    <t>Muerte Cardiovascular, IAM o ACV</t>
  </si>
  <si>
    <t>179/2202 (8,13%)</t>
  </si>
  <si>
    <t>253/2199 (11,51%)</t>
  </si>
  <si>
    <t>0,71 (0,59-0,85)</t>
  </si>
  <si>
    <t>3,38% (5,14% a 1,62%)</t>
  </si>
  <si>
    <t>30 (19 a 62)</t>
  </si>
  <si>
    <t>89/2202 (4,04%)</t>
  </si>
  <si>
    <t>141/2199 (6,41%)</t>
  </si>
  <si>
    <t>0,63 (0,49-0,82)</t>
  </si>
  <si>
    <t>2,37% (3,7% a 1,06%)</t>
  </si>
  <si>
    <t>42 (27 a 95)</t>
  </si>
  <si>
    <t>153/2202 (6,95%)</t>
  </si>
  <si>
    <t>224/2199 (10,19%)</t>
  </si>
  <si>
    <t>0,68 (0,56-0,83)</t>
  </si>
  <si>
    <t>3,24% (4,9% a 1,59%)</t>
  </si>
  <si>
    <t>31 (20 a 63)</t>
  </si>
  <si>
    <t>Muerte por cualquier causa</t>
  </si>
  <si>
    <t>168/2202 (7,63%)</t>
  </si>
  <si>
    <t>201/2199 (9,14%)</t>
  </si>
  <si>
    <t>0,83 (0,69-1,02)</t>
  </si>
  <si>
    <t>1,51% (3,16% a -0,13%)</t>
  </si>
  <si>
    <t>66 (32 a -777)</t>
  </si>
  <si>
    <t>273/2202 (12,4%)</t>
  </si>
  <si>
    <t>361/2199 (16,42%)</t>
  </si>
  <si>
    <t>0,76 (0,65-0,87)</t>
  </si>
  <si>
    <t>4,02% (6,09% a 1,95%)</t>
  </si>
  <si>
    <t>25 (16 a 51)</t>
  </si>
  <si>
    <t>214/2202 (9,72%)</t>
  </si>
  <si>
    <t>287/2199 (13,05%)</t>
  </si>
  <si>
    <t>0,74 (0,63-0,88)</t>
  </si>
  <si>
    <t>3,33% (5,21% a 1,46%)</t>
  </si>
  <si>
    <t>30 (19 a 69)</t>
  </si>
  <si>
    <t>105/2199 (4,77%)</t>
  </si>
  <si>
    <t>0,74 (0,56-0,99)</t>
  </si>
  <si>
    <t>1,23% (2,43% a 0,05%)</t>
  </si>
  <si>
    <t>81 (41 a 1988)</t>
  </si>
  <si>
    <t>Cualquier evento adverso</t>
  </si>
  <si>
    <t>1784/2200 (81,09%)</t>
  </si>
  <si>
    <t>1860/2197 (84,66%)</t>
  </si>
  <si>
    <t>0,96 (0,94-0,98)</t>
  </si>
  <si>
    <t>3,57% (5,79% a 1,34%)</t>
  </si>
  <si>
    <t>28 (17 a 74)</t>
  </si>
  <si>
    <t>737/2200 (33,5%)</t>
  </si>
  <si>
    <t>806/2197 (36,69%)</t>
  </si>
  <si>
    <t>0,91 (0,86-0,97)</t>
  </si>
  <si>
    <t>3,19% (6% a 0,37%)</t>
  </si>
  <si>
    <t>31 (17 a 274)</t>
  </si>
  <si>
    <t>62/2200 (2,82%)</t>
  </si>
  <si>
    <t>42/2197 (1,91%)</t>
  </si>
  <si>
    <t>1,47 (1,15-1,88)</t>
  </si>
  <si>
    <t>-0,91% (0% a -1,83%)</t>
  </si>
  <si>
    <t>-110 (-26637 a -55)</t>
  </si>
  <si>
    <t>Amputaciones</t>
  </si>
  <si>
    <t>70/2200 (3,18%)</t>
  </si>
  <si>
    <t>63/2197 (2,87%)</t>
  </si>
  <si>
    <t>1,11 (0,88-1,4)</t>
  </si>
  <si>
    <t>-0,31% (0,71% a -1,34%)</t>
  </si>
  <si>
    <t>-318 (141 a -75)</t>
  </si>
  <si>
    <t>Fracturas</t>
  </si>
  <si>
    <t>67/2200 (3,05%)</t>
  </si>
  <si>
    <t>68/2197 (3,1%)</t>
  </si>
  <si>
    <t>0,98 (0,78-1,25)</t>
  </si>
  <si>
    <t>0,05% (1,08% a -0,98%)</t>
  </si>
  <si>
    <t>2013 (92 a -102)</t>
  </si>
  <si>
    <t>Carcinoma células renales</t>
  </si>
  <si>
    <t>Cáncer Mama</t>
  </si>
  <si>
    <t>Cáncer hematológico</t>
  </si>
  <si>
    <t>1/2200 (0,05%)</t>
  </si>
  <si>
    <t>5/2197 (0,23%)</t>
  </si>
  <si>
    <t>0,2 (0,03-1,42)</t>
  </si>
  <si>
    <t>0,18% (0,49% a -0,07%)</t>
  </si>
  <si>
    <t>549 (205 a -1507)</t>
  </si>
  <si>
    <t>8/761 (1,05%)</t>
  </si>
  <si>
    <t>3/763 (0,39%)</t>
  </si>
  <si>
    <t>2,67 (1,34-5,33)</t>
  </si>
  <si>
    <t>-0,66% (0,26% a -1,7%)</t>
  </si>
  <si>
    <t>-152 (387 a -59)</t>
  </si>
  <si>
    <t>10/2200 (0,45%)</t>
  </si>
  <si>
    <t>9/2197 (0,41%)</t>
  </si>
  <si>
    <t>1,11 (0,6-2,06)</t>
  </si>
  <si>
    <t>-0,04% (0,38% a -0,47%)</t>
  </si>
  <si>
    <t>-2227 (265 a -212)</t>
  </si>
  <si>
    <t>Pancreatitis</t>
  </si>
  <si>
    <t>5/2200 (0,23%)</t>
  </si>
  <si>
    <t>2/2197 (0,09%)</t>
  </si>
  <si>
    <t>2,5 (1,04-5,99)</t>
  </si>
  <si>
    <t>-0,14% (0,14% a -0,45%)</t>
  </si>
  <si>
    <t>-734 (730 a -224)</t>
  </si>
  <si>
    <t>Hipercalcemia</t>
  </si>
  <si>
    <t>Fallo renal agudo</t>
  </si>
  <si>
    <t>Cetoacedosis diabética</t>
  </si>
  <si>
    <t>151/2200 (6,86%)</t>
  </si>
  <si>
    <t>181/2197 (8,24%)</t>
  </si>
  <si>
    <t>0,83 (0,71-0,97)</t>
  </si>
  <si>
    <t>1,37% (2,94% a -0,19%)</t>
  </si>
  <si>
    <t>73 (34 a -528)</t>
  </si>
  <si>
    <t>86/2200 (3,91%)</t>
  </si>
  <si>
    <t>98/2197 (4,46%)</t>
  </si>
  <si>
    <t>0,88 (0,71-1,08)</t>
  </si>
  <si>
    <t>0,55% (1,75% a -0,64%)</t>
  </si>
  <si>
    <t>181 (57 a -157)</t>
  </si>
  <si>
    <t>11/2200 (0,5%)</t>
  </si>
  <si>
    <t>1/2197 (0,05%)</t>
  </si>
  <si>
    <t>10,99 (6,09-19,81)</t>
  </si>
  <si>
    <t>-0,45% (-0,15% a -0,85%)</t>
  </si>
  <si>
    <t>-220 (-673 a -118)</t>
  </si>
  <si>
    <t>Dialisis o trasplante renal</t>
  </si>
  <si>
    <t>Muerte por causa renal</t>
  </si>
  <si>
    <t>Muerte por causa cardiovascular</t>
  </si>
  <si>
    <t>Duplicación de creatinina</t>
  </si>
  <si>
    <r>
      <t>FGe &lt;15 ml/min/1,73 m</t>
    </r>
    <r>
      <rPr>
        <vertAlign val="superscript"/>
        <sz val="10"/>
        <rFont val="Calibri"/>
        <family val="2"/>
      </rPr>
      <t>2</t>
    </r>
  </si>
  <si>
    <t>ECA CREDENCE, seguim 2,62 años</t>
  </si>
  <si>
    <t>NNT (IC 95%) en 2,62 años</t>
  </si>
  <si>
    <t>RAR (IC 95%) en 2,62 años</t>
  </si>
  <si>
    <t>Cualquier EA relacionado con el fármaco del ensayo</t>
  </si>
  <si>
    <t>Cualquier evento adverso "serious"</t>
  </si>
  <si>
    <t>0,7 (0,59-0,82)</t>
  </si>
  <si>
    <t>1,8% (1,07% a 2,46%)</t>
  </si>
  <si>
    <t>56 (41 a 93)</t>
  </si>
  <si>
    <t>NNT (IC 95%) por año</t>
  </si>
  <si>
    <t>0,68 (0,54-0,86)</t>
  </si>
  <si>
    <t>0,93% (0,41% a 1,34%)</t>
  </si>
  <si>
    <t>107 (75 a 246)</t>
  </si>
  <si>
    <t>0,74 (0,55-1,01)</t>
  </si>
  <si>
    <t>0,46% (-0,02% a 0,79%)</t>
  </si>
  <si>
    <t>219 (126 a -5701)</t>
  </si>
  <si>
    <t>NNT (IC 95%) en 2,5 años</t>
  </si>
  <si>
    <t>23 (17 a 39)</t>
  </si>
  <si>
    <t>44 (30 a 100)</t>
  </si>
  <si>
    <t>88 (51 a -2312)</t>
  </si>
  <si>
    <t>1,34%</t>
  </si>
  <si>
    <t>0,6 (0,45-0,8)</t>
  </si>
  <si>
    <t>0,88% (0,44% a 1,21%)</t>
  </si>
  <si>
    <t>113 (82 a 227)</t>
  </si>
  <si>
    <t>46 (33 a 92)</t>
  </si>
  <si>
    <t>1,34% (0,67% a 1,84%)</t>
  </si>
  <si>
    <t>75 (54 a 150)</t>
  </si>
  <si>
    <t>30 (22 a 61)</t>
  </si>
  <si>
    <t>0,83 (0,68-1,02)</t>
  </si>
  <si>
    <t>0,59% (-0,07% a 1,11%)</t>
  </si>
  <si>
    <t>171 (90 a -1455)</t>
  </si>
  <si>
    <t>70 (37 a -599)</t>
  </si>
  <si>
    <t>0,05% (-0,1% a 0,08%)</t>
  </si>
  <si>
    <t>1852 (1208 a -1048)</t>
  </si>
  <si>
    <t>741 (483 a -419)</t>
  </si>
  <si>
    <r>
      <t xml:space="preserve">Muerte por causa renal </t>
    </r>
    <r>
      <rPr>
        <b/>
        <sz val="10"/>
        <color indexed="60"/>
        <rFont val="Calibri"/>
        <family val="2"/>
      </rPr>
      <t>(desde el RR)</t>
    </r>
  </si>
  <si>
    <t>0,78 (0,61-1)</t>
  </si>
  <si>
    <t>0,53% (0% a 0,94%)</t>
  </si>
  <si>
    <t>0,61 (0,47-0,8)</t>
  </si>
  <si>
    <t>1,55%</t>
  </si>
  <si>
    <t>2,53%</t>
  </si>
  <si>
    <t>0,98% (0,5% a 1,33%)</t>
  </si>
  <si>
    <t>102 (75 a 200)</t>
  </si>
  <si>
    <t>41 (30 a 81)</t>
  </si>
  <si>
    <t>3,92%</t>
  </si>
  <si>
    <t>4,87%</t>
  </si>
  <si>
    <t>0,8 (0,67-0,95)</t>
  </si>
  <si>
    <t>0,95% (0,24% a 1,58%)</t>
  </si>
  <si>
    <t>105 (63 a 421)</t>
  </si>
  <si>
    <t>43 (26 a 175)</t>
  </si>
  <si>
    <t>3,16%</t>
  </si>
  <si>
    <t>4,54%</t>
  </si>
  <si>
    <t>0,69 (0,57-0,83)</t>
  </si>
  <si>
    <t>1,38% (0,76% a 1,93%)</t>
  </si>
  <si>
    <t>72 (52 a 132)</t>
  </si>
  <si>
    <t>30 (21 a 55)</t>
  </si>
  <si>
    <t>Muerte CV, IAM, ACV, Hospitalización por IC o Angor inestable</t>
  </si>
  <si>
    <t>6,69%</t>
  </si>
  <si>
    <t>4,99%</t>
  </si>
  <si>
    <t>0,74 (0,63-0,86)</t>
  </si>
  <si>
    <t>1,7% (0,91% a 2,42%)</t>
  </si>
  <si>
    <t>59 (41 a 110)</t>
  </si>
  <si>
    <t>25 (17 a 46)</t>
  </si>
  <si>
    <t>3,81%</t>
  </si>
  <si>
    <t>5,12%</t>
  </si>
  <si>
    <t>0,74 (0,61-0,87)</t>
  </si>
  <si>
    <t>1,31% (0,65% a 1,96%)</t>
  </si>
  <si>
    <t>77 (51 a 154)</t>
  </si>
  <si>
    <t>32 (21 a 64)</t>
  </si>
  <si>
    <t>1,86%</t>
  </si>
  <si>
    <t>0,72 (0,54-0,97)</t>
  </si>
  <si>
    <t>0,52% (0,06% a 0,85%)</t>
  </si>
  <si>
    <t>193 (117 a 1809)</t>
  </si>
  <si>
    <t>78 (47 a 734)</t>
  </si>
  <si>
    <t>ECA CREDENCE, seguim 2,5 años</t>
  </si>
  <si>
    <t>Para un error alfa dos colas</t>
  </si>
  <si>
    <t>Para un error beta una cola</t>
  </si>
  <si>
    <t>Nº eventos (%), Grupo Canaglifozina, n=2202</t>
  </si>
  <si>
    <t>Nº eventos (%), Grupo Placebo n=2199</t>
  </si>
  <si>
    <t>[Dialisis o Trasplante renal]</t>
  </si>
  <si>
    <t>Hospitalización por Insuficiencia cardíaca</t>
  </si>
  <si>
    <r>
      <rPr>
        <b/>
        <sz val="10"/>
        <rFont val="Calibri"/>
        <family val="2"/>
      </rPr>
      <t>Enf renal en estapa terminal</t>
    </r>
    <r>
      <rPr>
        <sz val="10"/>
        <rFont val="Calibri"/>
        <family val="2"/>
      </rPr>
      <t xml:space="preserve"> [Diálisis, Transplante renal, o FGe &lt;15 ml/min]</t>
    </r>
  </si>
  <si>
    <r>
      <rPr>
        <b/>
        <sz val="12"/>
        <color indexed="60"/>
        <rFont val="Calibri"/>
        <family val="2"/>
      </rPr>
      <t xml:space="preserve">Tabla 1: </t>
    </r>
    <r>
      <rPr>
        <b/>
        <sz val="12"/>
        <rFont val="Calibri"/>
        <family val="2"/>
      </rPr>
      <t>Pacientes de 63 años (DE 9), con DM2 de 15 años de duración, con Enf Renal Crónica y Enf CV establecida o alto riesgo de la misma.</t>
    </r>
  </si>
  <si>
    <r>
      <rPr>
        <b/>
        <sz val="12"/>
        <color indexed="60"/>
        <rFont val="Calibri"/>
        <family val="2"/>
      </rPr>
      <t xml:space="preserve">Tabla 1: </t>
    </r>
    <r>
      <rPr>
        <b/>
        <sz val="12"/>
        <rFont val="Calibri"/>
        <family val="2"/>
      </rPr>
      <t>Pacientes de 63 años (DE 9), con DM2 de 15 años de duración, con Enf Renal Crónica, y Enf CV establecida o alto riesgo de la misma.</t>
    </r>
  </si>
  <si>
    <r>
      <rPr>
        <b/>
        <sz val="12"/>
        <color indexed="60"/>
        <rFont val="Calibri"/>
        <family val="2"/>
      </rPr>
      <t>Tabla 3:</t>
    </r>
    <r>
      <rPr>
        <b/>
        <sz val="12"/>
        <rFont val="Calibri"/>
        <family val="2"/>
      </rPr>
      <t xml:space="preserve"> EFECTOS ADVERSOS</t>
    </r>
  </si>
  <si>
    <t>Enfermedad renal estadio final, Muerte por causa renal o CV</t>
  </si>
  <si>
    <t>Diálisis, trasplante renal o Muerte por causa renal</t>
  </si>
  <si>
    <t>Enfermedad renal estadio final, Duplicación de la creatinina</t>
  </si>
  <si>
    <t>Muerte Cardiovascular u Hospitalización por Insuf cardíaca</t>
  </si>
  <si>
    <t>Atraviesa infinito</t>
  </si>
  <si>
    <t>73 (36 a infinito)</t>
  </si>
  <si>
    <t>[Enf renal en etapa terminal, Duplicación de creatinina, Muerte por causa CV o Muerte por causa Renal]</t>
  </si>
  <si>
    <r>
      <rPr>
        <b/>
        <sz val="10"/>
        <rFont val="Calibri"/>
        <family val="2"/>
      </rPr>
      <t>Enf renal en etapa terminal</t>
    </r>
    <r>
      <rPr>
        <sz val="10"/>
        <rFont val="Calibri"/>
        <family val="2"/>
      </rPr>
      <t xml:space="preserve"> [Diálisis, Transplante renal, o FGe &lt;15 ml/min]</t>
    </r>
  </si>
  <si>
    <t>Mort CV, IAM o ACV</t>
  </si>
  <si>
    <t>Mort CV u Hospitalización por Insuf cardíaca</t>
  </si>
  <si>
    <t>Mort CV, IAM, ACV, Hospitalización por Iinsuf caríaca o Angor inestable</t>
  </si>
  <si>
    <t>Enfermedad renal estadio final, Mort CV o renal</t>
  </si>
  <si>
    <t>RAR (IC 95%)  por año</t>
  </si>
  <si>
    <t>[Enf renal en etapa terminal, Duplicación de creatinina, Mort CV o renal]</t>
  </si>
  <si>
    <r>
      <rPr>
        <u val="single"/>
        <sz val="9"/>
        <color indexed="12"/>
        <rFont val="Calibri"/>
        <family val="2"/>
      </rPr>
      <t>Abreviaturas</t>
    </r>
    <r>
      <rPr>
        <sz val="9"/>
        <color indexed="12"/>
        <rFont val="Calibri"/>
        <family val="2"/>
      </rPr>
      <t xml:space="preserve">: </t>
    </r>
    <r>
      <rPr>
        <b/>
        <sz val="9"/>
        <rFont val="Calibri"/>
        <family val="2"/>
      </rPr>
      <t xml:space="preserve">ACV: </t>
    </r>
    <r>
      <rPr>
        <sz val="9"/>
        <rFont val="Calibri"/>
        <family val="2"/>
      </rPr>
      <t xml:space="preserve">accidente cerebrovascular; </t>
    </r>
    <r>
      <rPr>
        <b/>
        <sz val="9"/>
        <rFont val="Calibri"/>
        <family val="2"/>
      </rPr>
      <t xml:space="preserve">CV: </t>
    </r>
    <r>
      <rPr>
        <sz val="9"/>
        <rFont val="Calibri"/>
        <family val="2"/>
      </rPr>
      <t xml:space="preserve">cardiovascular; </t>
    </r>
    <r>
      <rPr>
        <b/>
        <sz val="9"/>
        <rFont val="Calibri"/>
        <family val="2"/>
      </rPr>
      <t xml:space="preserve">DM2: </t>
    </r>
    <r>
      <rPr>
        <sz val="9"/>
        <rFont val="Calibri"/>
        <family val="2"/>
      </rPr>
      <t xml:space="preserve">diabetes mellitus tipo 2; </t>
    </r>
    <r>
      <rPr>
        <b/>
        <sz val="9"/>
        <rFont val="Calibri"/>
        <family val="2"/>
      </rPr>
      <t>ERC:</t>
    </r>
    <r>
      <rPr>
        <sz val="9"/>
        <rFont val="Calibri"/>
        <family val="2"/>
      </rPr>
      <t xml:space="preserve"> enfermedad renal crónica;</t>
    </r>
    <r>
      <rPr>
        <b/>
        <sz val="9"/>
        <rFont val="Calibri"/>
        <family val="2"/>
      </rPr>
      <t xml:space="preserve"> ERT:</t>
    </r>
    <r>
      <rPr>
        <sz val="9"/>
        <rFont val="Calibri"/>
        <family val="2"/>
      </rPr>
      <t xml:space="preserve"> enfermedad renal en etapa terminal; </t>
    </r>
    <r>
      <rPr>
        <b/>
        <sz val="9"/>
        <rFont val="Calibri"/>
        <family val="2"/>
      </rPr>
      <t>FGe:</t>
    </r>
    <r>
      <rPr>
        <sz val="9"/>
        <rFont val="Calibri"/>
        <family val="2"/>
      </rPr>
      <t xml:space="preserve"> filtración glomerular estimada en ml/ minuto/ 1,73 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 superficie corporal; </t>
    </r>
    <r>
      <rPr>
        <b/>
        <sz val="9"/>
        <rFont val="Calibri"/>
        <family val="2"/>
      </rPr>
      <t xml:space="preserve">Hosp: </t>
    </r>
    <r>
      <rPr>
        <sz val="9"/>
        <rFont val="Calibri"/>
        <family val="2"/>
      </rPr>
      <t xml:space="preserve">hospitalización; </t>
    </r>
    <r>
      <rPr>
        <b/>
        <sz val="9"/>
        <rFont val="Calibri"/>
        <family val="2"/>
      </rPr>
      <t>HR:</t>
    </r>
    <r>
      <rPr>
        <sz val="9"/>
        <rFont val="Calibri"/>
        <family val="2"/>
      </rPr>
      <t xml:space="preserve"> hazard ratio; </t>
    </r>
    <r>
      <rPr>
        <b/>
        <sz val="9"/>
        <rFont val="Calibri"/>
        <family val="2"/>
      </rPr>
      <t>IAM:</t>
    </r>
    <r>
      <rPr>
        <sz val="9"/>
        <rFont val="Calibri"/>
        <family val="2"/>
      </rPr>
      <t xml:space="preserve"> infarto agudo de miocardio; </t>
    </r>
    <r>
      <rPr>
        <b/>
        <sz val="9"/>
        <rFont val="Calibri"/>
        <family val="2"/>
      </rPr>
      <t>IC:</t>
    </r>
    <r>
      <rPr>
        <sz val="9"/>
        <rFont val="Calibri"/>
        <family val="2"/>
      </rPr>
      <t xml:space="preserve"> intervalo de confianza;</t>
    </r>
    <r>
      <rPr>
        <b/>
        <sz val="9"/>
        <rFont val="Calibri"/>
        <family val="2"/>
      </rPr>
      <t xml:space="preserve"> Mort: </t>
    </r>
    <r>
      <rPr>
        <sz val="9"/>
        <rFont val="Calibri"/>
        <family val="2"/>
      </rPr>
      <t xml:space="preserve">mortalidad por todas las causas; </t>
    </r>
    <r>
      <rPr>
        <b/>
        <sz val="9"/>
        <rFont val="Calibri"/>
        <family val="2"/>
      </rPr>
      <t>Mort CV:</t>
    </r>
    <r>
      <rPr>
        <sz val="9"/>
        <rFont val="Calibri"/>
        <family val="2"/>
      </rPr>
      <t xml:space="preserve"> mortalidad por causa cardiovascular; </t>
    </r>
    <r>
      <rPr>
        <b/>
        <sz val="9"/>
        <rFont val="Calibri"/>
        <family val="2"/>
      </rPr>
      <t xml:space="preserve">NNT: </t>
    </r>
    <r>
      <rPr>
        <sz val="9"/>
        <rFont val="Calibri"/>
        <family val="2"/>
      </rPr>
      <t xml:space="preserve">número necesario a tratar para proteger a 1 paciente más que sin tratar; </t>
    </r>
    <r>
      <rPr>
        <b/>
        <sz val="9"/>
        <rFont val="Calibri"/>
        <family val="2"/>
      </rPr>
      <t>RAR:</t>
    </r>
    <r>
      <rPr>
        <sz val="9"/>
        <rFont val="Calibri"/>
        <family val="2"/>
      </rPr>
      <t xml:space="preserve"> reducción absoluta del riesgo; </t>
    </r>
    <r>
      <rPr>
        <b/>
        <sz val="9"/>
        <rFont val="Calibri"/>
        <family val="2"/>
      </rPr>
      <t xml:space="preserve">RR: </t>
    </r>
    <r>
      <rPr>
        <sz val="9"/>
        <rFont val="Calibri"/>
        <family val="2"/>
      </rPr>
      <t>riesgo relativo (obtenido por incidencias acumuladas).</t>
    </r>
  </si>
  <si>
    <t>NOTA: RAc = 6%/año, según ECA  ALTITUDE. Duración inicial  proyectada 5,5 años</t>
  </si>
  <si>
    <t>Nº eventos crudos (%), Grupo Placebo n=2199</t>
  </si>
  <si>
    <t>% Eventos crudos, Grupo Placebo, n=2199</t>
  </si>
  <si>
    <t>% Eventos ajjustados, Grupo Canaglifozina, n=2202</t>
  </si>
  <si>
    <t>Nº eventos crudos (%), Grupo Canaglifozina, n=2202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</si>
</sst>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</numFmts>
  <fonts count="10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i/>
      <sz val="10"/>
      <color indexed="12"/>
      <name val="Calibri"/>
      <family val="2"/>
    </font>
    <font>
      <b/>
      <i/>
      <sz val="9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0"/>
      <name val="Calibri"/>
      <family val="2"/>
    </font>
    <font>
      <b/>
      <vertAlign val="superscript"/>
      <sz val="10"/>
      <name val="Calibri"/>
      <family val="2"/>
    </font>
    <font>
      <sz val="12"/>
      <color indexed="12"/>
      <name val="Trebuchet MS"/>
      <family val="2"/>
    </font>
    <font>
      <vertAlign val="subscript"/>
      <sz val="11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0"/>
      <color indexed="6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vertAlign val="superscript"/>
      <sz val="9"/>
      <name val="Calibri"/>
      <family val="2"/>
    </font>
    <font>
      <u val="single"/>
      <sz val="9"/>
      <color indexed="12"/>
      <name val="Calibri"/>
      <family val="2"/>
    </font>
    <font>
      <sz val="9"/>
      <color indexed="12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sz val="10"/>
      <color indexed="50"/>
      <name val="Calibri"/>
      <family val="2"/>
    </font>
    <font>
      <sz val="10"/>
      <color indexed="52"/>
      <name val="Calibri"/>
      <family val="2"/>
    </font>
    <font>
      <sz val="8"/>
      <name val="Calibri"/>
      <family val="2"/>
    </font>
    <font>
      <b/>
      <sz val="10"/>
      <color indexed="57"/>
      <name val="Calibri"/>
      <family val="2"/>
    </font>
    <font>
      <sz val="10"/>
      <color indexed="63"/>
      <name val="Calibri"/>
      <family val="2"/>
    </font>
    <font>
      <sz val="10"/>
      <color indexed="20"/>
      <name val="Calibri"/>
      <family val="2"/>
    </font>
    <font>
      <i/>
      <sz val="10"/>
      <color indexed="20"/>
      <name val="Calibri"/>
      <family val="2"/>
    </font>
    <font>
      <sz val="10"/>
      <color indexed="14"/>
      <name val="Calibri"/>
      <family val="2"/>
    </font>
    <font>
      <sz val="12"/>
      <name val="Calibri"/>
      <family val="2"/>
    </font>
    <font>
      <sz val="10"/>
      <color indexed="61"/>
      <name val="Calibri"/>
      <family val="2"/>
    </font>
    <font>
      <b/>
      <sz val="23"/>
      <name val="Calibri"/>
      <family val="2"/>
    </font>
    <font>
      <b/>
      <sz val="10"/>
      <color indexed="14"/>
      <name val="Calibri"/>
      <family val="2"/>
    </font>
    <font>
      <b/>
      <sz val="24"/>
      <name val="Calibri"/>
      <family val="2"/>
    </font>
    <font>
      <b/>
      <sz val="10"/>
      <color indexed="63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2.5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sz val="12"/>
      <color indexed="16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9"/>
      <color indexed="17"/>
      <name val="Calibri"/>
      <family val="2"/>
    </font>
    <font>
      <sz val="6"/>
      <name val="Calibri"/>
      <family val="2"/>
    </font>
    <font>
      <sz val="8"/>
      <color indexed="17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b/>
      <sz val="14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1"/>
      <color rgb="FFFFC000"/>
      <name val="Calibri"/>
      <family val="2"/>
    </font>
    <font>
      <sz val="10"/>
      <color rgb="FF008000"/>
      <name val="Calibri"/>
      <family val="2"/>
    </font>
    <font>
      <sz val="10"/>
      <color rgb="FFFF0000"/>
      <name val="Calibri"/>
      <family val="2"/>
    </font>
    <font>
      <sz val="9"/>
      <color rgb="FF008000"/>
      <name val="Calibri"/>
      <family val="2"/>
    </font>
    <font>
      <sz val="8"/>
      <color rgb="FF008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6" fillId="21" borderId="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92" fillId="0" borderId="8" applyNumberFormat="0" applyFill="0" applyAlignment="0" applyProtection="0"/>
    <xf numFmtId="0" fontId="101" fillId="0" borderId="9" applyNumberFormat="0" applyFill="0" applyAlignment="0" applyProtection="0"/>
  </cellStyleXfs>
  <cellXfs count="631">
    <xf numFmtId="0" fontId="0" fillId="0" borderId="0" xfId="0" applyAlignment="1">
      <alignment/>
    </xf>
    <xf numFmtId="164" fontId="4" fillId="0" borderId="0" xfId="49" applyNumberFormat="1" applyFont="1" applyFill="1" applyBorder="1" applyAlignment="1">
      <alignment/>
    </xf>
    <xf numFmtId="164" fontId="51" fillId="0" borderId="0" xfId="49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0" fontId="12" fillId="0" borderId="0" xfId="55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0" fontId="5" fillId="0" borderId="0" xfId="55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distributed"/>
    </xf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43" fontId="5" fillId="0" borderId="0" xfId="49" applyFont="1" applyFill="1" applyAlignment="1">
      <alignment horizontal="center"/>
    </xf>
    <xf numFmtId="9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53" fillId="0" borderId="0" xfId="49" applyFont="1" applyFill="1" applyBorder="1" applyAlignment="1">
      <alignment horizontal="center"/>
    </xf>
    <xf numFmtId="43" fontId="5" fillId="0" borderId="0" xfId="49" applyFont="1" applyFill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Border="1" applyAlignment="1">
      <alignment/>
    </xf>
    <xf numFmtId="43" fontId="5" fillId="0" borderId="0" xfId="49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5" fillId="0" borderId="0" xfId="55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 horizontal="center"/>
    </xf>
    <xf numFmtId="10" fontId="5" fillId="0" borderId="0" xfId="55" applyNumberFormat="1" applyFont="1" applyFill="1" applyBorder="1" applyAlignment="1">
      <alignment/>
    </xf>
    <xf numFmtId="43" fontId="56" fillId="0" borderId="0" xfId="49" applyFont="1" applyFill="1" applyBorder="1" applyAlignment="1">
      <alignment/>
    </xf>
    <xf numFmtId="0" fontId="4" fillId="0" borderId="0" xfId="0" applyFont="1" applyFill="1" applyAlignment="1">
      <alignment horizontal="center"/>
    </xf>
    <xf numFmtId="43" fontId="56" fillId="0" borderId="0" xfId="49" applyFont="1" applyFill="1" applyAlignment="1">
      <alignment horizontal="right"/>
    </xf>
    <xf numFmtId="0" fontId="56" fillId="0" borderId="0" xfId="0" applyFont="1" applyFill="1" applyBorder="1" applyAlignment="1">
      <alignment/>
    </xf>
    <xf numFmtId="43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5" fillId="0" borderId="0" xfId="49" applyFont="1" applyFill="1" applyBorder="1" applyAlignment="1">
      <alignment horizontal="center"/>
    </xf>
    <xf numFmtId="169" fontId="5" fillId="0" borderId="0" xfId="49" applyNumberFormat="1" applyFont="1" applyFill="1" applyBorder="1" applyAlignment="1">
      <alignment horizontal="center"/>
    </xf>
    <xf numFmtId="43" fontId="4" fillId="0" borderId="0" xfId="49" applyFont="1" applyFill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171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distributed"/>
    </xf>
    <xf numFmtId="0" fontId="13" fillId="0" borderId="10" xfId="0" applyFont="1" applyBorder="1" applyAlignment="1">
      <alignment horizontal="center" vertical="distributed"/>
    </xf>
    <xf numFmtId="0" fontId="12" fillId="0" borderId="0" xfId="0" applyFont="1" applyFill="1" applyBorder="1" applyAlignment="1">
      <alignment vertical="center" textRotation="90"/>
    </xf>
    <xf numFmtId="164" fontId="12" fillId="0" borderId="10" xfId="0" applyNumberFormat="1" applyFont="1" applyFill="1" applyBorder="1" applyAlignment="1">
      <alignment horizontal="center"/>
    </xf>
    <xf numFmtId="10" fontId="12" fillId="33" borderId="10" xfId="55" applyNumberFormat="1" applyFont="1" applyFill="1" applyBorder="1" applyAlignment="1">
      <alignment horizontal="center"/>
    </xf>
    <xf numFmtId="43" fontId="12" fillId="0" borderId="10" xfId="49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7" fillId="0" borderId="10" xfId="0" applyNumberFormat="1" applyFont="1" applyFill="1" applyBorder="1" applyAlignment="1">
      <alignment horizontal="center"/>
    </xf>
    <xf numFmtId="10" fontId="57" fillId="0" borderId="10" xfId="55" applyNumberFormat="1" applyFont="1" applyFill="1" applyBorder="1" applyAlignment="1">
      <alignment horizontal="center"/>
    </xf>
    <xf numFmtId="43" fontId="12" fillId="0" borderId="0" xfId="49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49" fontId="25" fillId="0" borderId="0" xfId="0" applyNumberFormat="1" applyFont="1" applyAlignment="1">
      <alignment/>
    </xf>
    <xf numFmtId="10" fontId="5" fillId="0" borderId="0" xfId="55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/>
    </xf>
    <xf numFmtId="10" fontId="5" fillId="0" borderId="0" xfId="49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165" fontId="5" fillId="0" borderId="0" xfId="49" applyNumberFormat="1" applyFont="1" applyFill="1" applyBorder="1" applyAlignment="1">
      <alignment/>
    </xf>
    <xf numFmtId="10" fontId="52" fillId="0" borderId="0" xfId="55" applyNumberFormat="1" applyFont="1" applyFill="1" applyBorder="1" applyAlignment="1">
      <alignment horizontal="center"/>
    </xf>
    <xf numFmtId="164" fontId="52" fillId="0" borderId="0" xfId="49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right"/>
    </xf>
    <xf numFmtId="49" fontId="12" fillId="0" borderId="0" xfId="0" applyNumberFormat="1" applyFont="1" applyAlignment="1">
      <alignment/>
    </xf>
    <xf numFmtId="0" fontId="59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4" fillId="0" borderId="0" xfId="49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12" fillId="0" borderId="10" xfId="49" applyNumberFormat="1" applyFont="1" applyFill="1" applyBorder="1" applyAlignment="1">
      <alignment/>
    </xf>
    <xf numFmtId="164" fontId="13" fillId="0" borderId="10" xfId="49" applyNumberFormat="1" applyFont="1" applyFill="1" applyBorder="1" applyAlignment="1">
      <alignment/>
    </xf>
    <xf numFmtId="164" fontId="12" fillId="0" borderId="0" xfId="49" applyNumberFormat="1" applyFont="1" applyFill="1" applyBorder="1" applyAlignment="1">
      <alignment/>
    </xf>
    <xf numFmtId="164" fontId="13" fillId="0" borderId="0" xfId="49" applyNumberFormat="1" applyFont="1" applyFill="1" applyBorder="1" applyAlignment="1">
      <alignment/>
    </xf>
    <xf numFmtId="43" fontId="60" fillId="0" borderId="10" xfId="49" applyFont="1" applyBorder="1" applyAlignment="1">
      <alignment/>
    </xf>
    <xf numFmtId="0" fontId="13" fillId="0" borderId="0" xfId="0" applyFont="1" applyBorder="1" applyAlignment="1">
      <alignment horizontal="right"/>
    </xf>
    <xf numFmtId="43" fontId="5" fillId="0" borderId="0" xfId="49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36" borderId="16" xfId="0" applyNumberFormat="1" applyFont="1" applyFill="1" applyBorder="1" applyAlignment="1">
      <alignment/>
    </xf>
    <xf numFmtId="49" fontId="5" fillId="36" borderId="17" xfId="0" applyNumberFormat="1" applyFont="1" applyFill="1" applyBorder="1" applyAlignment="1">
      <alignment horizontal="right"/>
    </xf>
    <xf numFmtId="164" fontId="5" fillId="36" borderId="0" xfId="0" applyNumberFormat="1" applyFont="1" applyFill="1" applyBorder="1" applyAlignment="1">
      <alignment/>
    </xf>
    <xf numFmtId="2" fontId="5" fillId="36" borderId="0" xfId="0" applyNumberFormat="1" applyFont="1" applyFill="1" applyBorder="1" applyAlignment="1">
      <alignment/>
    </xf>
    <xf numFmtId="10" fontId="5" fillId="36" borderId="0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/>
    </xf>
    <xf numFmtId="0" fontId="5" fillId="36" borderId="21" xfId="0" applyFont="1" applyFill="1" applyBorder="1" applyAlignment="1">
      <alignment horizontal="right"/>
    </xf>
    <xf numFmtId="49" fontId="59" fillId="0" borderId="10" xfId="49" applyNumberFormat="1" applyFont="1" applyBorder="1" applyAlignment="1">
      <alignment horizontal="right"/>
    </xf>
    <xf numFmtId="1" fontId="4" fillId="35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" fontId="4" fillId="38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/>
    </xf>
    <xf numFmtId="10" fontId="5" fillId="36" borderId="11" xfId="55" applyNumberFormat="1" applyFont="1" applyFill="1" applyBorder="1" applyAlignment="1">
      <alignment horizontal="center"/>
    </xf>
    <xf numFmtId="1" fontId="5" fillId="36" borderId="22" xfId="0" applyNumberFormat="1" applyFont="1" applyFill="1" applyBorder="1" applyAlignment="1">
      <alignment horizontal="center"/>
    </xf>
    <xf numFmtId="2" fontId="5" fillId="36" borderId="0" xfId="0" applyNumberFormat="1" applyFont="1" applyFill="1" applyBorder="1" applyAlignment="1">
      <alignment horizontal="center"/>
    </xf>
    <xf numFmtId="10" fontId="5" fillId="36" borderId="0" xfId="55" applyNumberFormat="1" applyFont="1" applyFill="1" applyBorder="1" applyAlignment="1">
      <alignment horizontal="center"/>
    </xf>
    <xf numFmtId="1" fontId="5" fillId="36" borderId="23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43" fontId="29" fillId="0" borderId="0" xfId="49" applyFont="1" applyFill="1" applyBorder="1" applyAlignment="1">
      <alignment horizontal="right"/>
    </xf>
    <xf numFmtId="166" fontId="5" fillId="0" borderId="0" xfId="49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49" fontId="8" fillId="0" borderId="20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185" fontId="5" fillId="0" borderId="20" xfId="0" applyNumberFormat="1" applyFont="1" applyBorder="1" applyAlignment="1">
      <alignment horizontal="center"/>
    </xf>
    <xf numFmtId="165" fontId="4" fillId="0" borderId="0" xfId="49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0" fontId="4" fillId="0" borderId="0" xfId="55" applyNumberFormat="1" applyFont="1" applyFill="1" applyBorder="1" applyAlignment="1">
      <alignment/>
    </xf>
    <xf numFmtId="10" fontId="62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10" fontId="4" fillId="33" borderId="10" xfId="55" applyNumberFormat="1" applyFont="1" applyFill="1" applyBorder="1" applyAlignment="1">
      <alignment horizontal="center"/>
    </xf>
    <xf numFmtId="10" fontId="4" fillId="38" borderId="10" xfId="55" applyNumberFormat="1" applyFont="1" applyFill="1" applyBorder="1" applyAlignment="1">
      <alignment horizontal="center"/>
    </xf>
    <xf numFmtId="10" fontId="4" fillId="39" borderId="10" xfId="55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39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right"/>
    </xf>
    <xf numFmtId="0" fontId="4" fillId="37" borderId="1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38" borderId="0" xfId="0" applyFont="1" applyFill="1" applyBorder="1" applyAlignment="1">
      <alignment horizontal="right"/>
    </xf>
    <xf numFmtId="1" fontId="4" fillId="38" borderId="24" xfId="0" applyNumberFormat="1" applyFont="1" applyFill="1" applyBorder="1" applyAlignment="1">
      <alignment horizontal="center"/>
    </xf>
    <xf numFmtId="0" fontId="4" fillId="37" borderId="15" xfId="0" applyFont="1" applyFill="1" applyBorder="1" applyAlignment="1">
      <alignment horizontal="right"/>
    </xf>
    <xf numFmtId="2" fontId="5" fillId="40" borderId="20" xfId="0" applyNumberFormat="1" applyFont="1" applyFill="1" applyBorder="1" applyAlignment="1">
      <alignment horizontal="center" vertical="center"/>
    </xf>
    <xf numFmtId="2" fontId="5" fillId="4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6" borderId="20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35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43" fontId="53" fillId="37" borderId="15" xfId="49" applyFont="1" applyFill="1" applyBorder="1" applyAlignment="1">
      <alignment/>
    </xf>
    <xf numFmtId="43" fontId="53" fillId="0" borderId="0" xfId="49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10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85" fontId="5" fillId="0" borderId="19" xfId="0" applyNumberFormat="1" applyFont="1" applyBorder="1" applyAlignment="1">
      <alignment horizontal="center"/>
    </xf>
    <xf numFmtId="166" fontId="5" fillId="0" borderId="0" xfId="49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6" borderId="29" xfId="0" applyFont="1" applyFill="1" applyBorder="1" applyAlignment="1">
      <alignment horizontal="right"/>
    </xf>
    <xf numFmtId="0" fontId="63" fillId="0" borderId="0" xfId="0" applyFont="1" applyAlignment="1">
      <alignment/>
    </xf>
    <xf numFmtId="18" fontId="5" fillId="0" borderId="0" xfId="49" applyNumberFormat="1" applyFont="1" applyBorder="1" applyAlignment="1">
      <alignment horizontal="center"/>
    </xf>
    <xf numFmtId="0" fontId="64" fillId="0" borderId="10" xfId="0" applyFont="1" applyBorder="1" applyAlignment="1">
      <alignment horizontal="right"/>
    </xf>
    <xf numFmtId="171" fontId="4" fillId="0" borderId="12" xfId="4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6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167" fontId="6" fillId="40" borderId="10" xfId="0" applyNumberFormat="1" applyFont="1" applyFill="1" applyBorder="1" applyAlignment="1">
      <alignment horizontal="center" vertical="center"/>
    </xf>
    <xf numFmtId="176" fontId="7" fillId="41" borderId="1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70" fontId="6" fillId="0" borderId="32" xfId="0" applyNumberFormat="1" applyFont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170" fontId="6" fillId="0" borderId="1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176" fontId="7" fillId="41" borderId="35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0" fontId="5" fillId="40" borderId="21" xfId="55" applyNumberFormat="1" applyFont="1" applyFill="1" applyBorder="1" applyAlignment="1">
      <alignment vertical="center"/>
    </xf>
    <xf numFmtId="49" fontId="8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0" fontId="5" fillId="0" borderId="21" xfId="55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1" fontId="6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5" fillId="40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40" borderId="10" xfId="49" applyNumberFormat="1" applyFont="1" applyFill="1" applyBorder="1" applyAlignment="1">
      <alignment vertical="center"/>
    </xf>
    <xf numFmtId="2" fontId="5" fillId="0" borderId="10" xfId="49" applyNumberFormat="1" applyFont="1" applyBorder="1" applyAlignment="1">
      <alignment horizontal="center" vertical="center" wrapText="1"/>
    </xf>
    <xf numFmtId="2" fontId="5" fillId="0" borderId="10" xfId="49" applyNumberFormat="1" applyFont="1" applyFill="1" applyBorder="1" applyAlignment="1">
      <alignment horizontal="center" vertical="center" wrapText="1"/>
    </xf>
    <xf numFmtId="2" fontId="5" fillId="0" borderId="30" xfId="49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69" fontId="5" fillId="0" borderId="11" xfId="49" applyNumberFormat="1" applyFont="1" applyFill="1" applyBorder="1" applyAlignment="1">
      <alignment horizontal="center"/>
    </xf>
    <xf numFmtId="43" fontId="5" fillId="0" borderId="11" xfId="49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4" fillId="0" borderId="23" xfId="49" applyFont="1" applyFill="1" applyBorder="1" applyAlignment="1">
      <alignment/>
    </xf>
    <xf numFmtId="0" fontId="5" fillId="0" borderId="38" xfId="0" applyFont="1" applyBorder="1" applyAlignment="1">
      <alignment/>
    </xf>
    <xf numFmtId="170" fontId="5" fillId="0" borderId="38" xfId="0" applyNumberFormat="1" applyFont="1" applyBorder="1" applyAlignment="1">
      <alignment/>
    </xf>
    <xf numFmtId="43" fontId="5" fillId="0" borderId="38" xfId="49" applyFont="1" applyFill="1" applyBorder="1" applyAlignment="1">
      <alignment horizontal="center"/>
    </xf>
    <xf numFmtId="43" fontId="4" fillId="0" borderId="38" xfId="49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23" xfId="0" applyFont="1" applyBorder="1" applyAlignment="1">
      <alignment/>
    </xf>
    <xf numFmtId="43" fontId="5" fillId="0" borderId="0" xfId="49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43" fontId="29" fillId="0" borderId="11" xfId="49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177" fontId="5" fillId="0" borderId="27" xfId="0" applyNumberFormat="1" applyFont="1" applyBorder="1" applyAlignment="1">
      <alignment/>
    </xf>
    <xf numFmtId="165" fontId="4" fillId="0" borderId="27" xfId="49" applyNumberFormat="1" applyFont="1" applyFill="1" applyBorder="1" applyAlignment="1">
      <alignment/>
    </xf>
    <xf numFmtId="166" fontId="5" fillId="33" borderId="27" xfId="49" applyNumberFormat="1" applyFont="1" applyFill="1" applyBorder="1" applyAlignment="1">
      <alignment/>
    </xf>
    <xf numFmtId="10" fontId="62" fillId="0" borderId="27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0" fontId="5" fillId="0" borderId="27" xfId="55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90" fontId="5" fillId="0" borderId="11" xfId="49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/>
    </xf>
    <xf numFmtId="43" fontId="4" fillId="0" borderId="11" xfId="49" applyFont="1" applyFill="1" applyBorder="1" applyAlignment="1">
      <alignment/>
    </xf>
    <xf numFmtId="43" fontId="4" fillId="0" borderId="22" xfId="49" applyFont="1" applyFill="1" applyBorder="1" applyAlignment="1">
      <alignment/>
    </xf>
    <xf numFmtId="0" fontId="58" fillId="0" borderId="38" xfId="0" applyFont="1" applyBorder="1" applyAlignment="1">
      <alignment/>
    </xf>
    <xf numFmtId="43" fontId="4" fillId="0" borderId="10" xfId="0" applyNumberFormat="1" applyFont="1" applyBorder="1" applyAlignment="1">
      <alignment/>
    </xf>
    <xf numFmtId="165" fontId="4" fillId="41" borderId="10" xfId="49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distributed"/>
    </xf>
    <xf numFmtId="0" fontId="6" fillId="0" borderId="28" xfId="0" applyFont="1" applyFill="1" applyBorder="1" applyAlignment="1">
      <alignment horizontal="right"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right" vertical="center"/>
    </xf>
    <xf numFmtId="167" fontId="6" fillId="40" borderId="10" xfId="0" applyNumberFormat="1" applyFont="1" applyFill="1" applyBorder="1" applyAlignment="1">
      <alignment horizontal="right" vertical="center"/>
    </xf>
    <xf numFmtId="2" fontId="6" fillId="4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7" fontId="6" fillId="41" borderId="32" xfId="55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right" vertical="center"/>
    </xf>
    <xf numFmtId="43" fontId="6" fillId="40" borderId="10" xfId="49" applyFont="1" applyFill="1" applyBorder="1" applyAlignment="1">
      <alignment horizontal="center" vertical="center"/>
    </xf>
    <xf numFmtId="0" fontId="6" fillId="0" borderId="42" xfId="0" applyFont="1" applyBorder="1" applyAlignment="1">
      <alignment horizontal="right"/>
    </xf>
    <xf numFmtId="167" fontId="6" fillId="41" borderId="35" xfId="55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10" fontId="6" fillId="42" borderId="15" xfId="55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170" fontId="6" fillId="0" borderId="44" xfId="0" applyNumberFormat="1" applyFont="1" applyBorder="1" applyAlignment="1">
      <alignment horizontal="right" vertical="center"/>
    </xf>
    <xf numFmtId="10" fontId="6" fillId="42" borderId="10" xfId="55" applyNumberFormat="1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>
      <alignment vertical="center"/>
    </xf>
    <xf numFmtId="10" fontId="6" fillId="43" borderId="10" xfId="55" applyNumberFormat="1" applyFont="1" applyFill="1" applyBorder="1" applyAlignment="1">
      <alignment horizontal="right" vertical="center"/>
    </xf>
    <xf numFmtId="2" fontId="6" fillId="0" borderId="31" xfId="0" applyNumberFormat="1" applyFont="1" applyFill="1" applyBorder="1" applyAlignment="1">
      <alignment vertical="center"/>
    </xf>
    <xf numFmtId="206" fontId="6" fillId="0" borderId="10" xfId="0" applyNumberFormat="1" applyFont="1" applyBorder="1" applyAlignment="1">
      <alignment horizontal="right" vertical="center"/>
    </xf>
    <xf numFmtId="206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2" fillId="0" borderId="0" xfId="0" applyFont="1" applyAlignment="1">
      <alignment horizontal="right"/>
    </xf>
    <xf numFmtId="0" fontId="102" fillId="0" borderId="0" xfId="0" applyFont="1" applyAlignment="1">
      <alignment/>
    </xf>
    <xf numFmtId="43" fontId="23" fillId="0" borderId="0" xfId="49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horizontal="center" vertical="distributed"/>
    </xf>
    <xf numFmtId="0" fontId="24" fillId="0" borderId="0" xfId="0" applyFont="1" applyFill="1" applyBorder="1" applyAlignment="1">
      <alignment horizontal="center" vertical="distributed"/>
    </xf>
    <xf numFmtId="10" fontId="0" fillId="0" borderId="0" xfId="55" applyNumberFormat="1" applyFont="1" applyAlignment="1">
      <alignment/>
    </xf>
    <xf numFmtId="43" fontId="23" fillId="0" borderId="0" xfId="49" applyFont="1" applyFill="1" applyBorder="1" applyAlignment="1">
      <alignment/>
    </xf>
    <xf numFmtId="43" fontId="23" fillId="0" borderId="0" xfId="0" applyNumberFormat="1" applyFont="1" applyFill="1" applyBorder="1" applyAlignment="1">
      <alignment/>
    </xf>
    <xf numFmtId="171" fontId="23" fillId="0" borderId="0" xfId="0" applyNumberFormat="1" applyFont="1" applyFill="1" applyBorder="1" applyAlignment="1">
      <alignment/>
    </xf>
    <xf numFmtId="10" fontId="24" fillId="0" borderId="0" xfId="55" applyNumberFormat="1" applyFont="1" applyFill="1" applyBorder="1" applyAlignment="1">
      <alignment/>
    </xf>
    <xf numFmtId="43" fontId="0" fillId="0" borderId="0" xfId="49" applyFont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49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2" fontId="5" fillId="0" borderId="10" xfId="49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164" fontId="12" fillId="0" borderId="10" xfId="0" applyNumberFormat="1" applyFont="1" applyFill="1" applyBorder="1" applyAlignment="1">
      <alignment horizontal="left" vertical="center"/>
    </xf>
    <xf numFmtId="164" fontId="57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10" fontId="5" fillId="0" borderId="0" xfId="55" applyNumberFormat="1" applyFont="1" applyFill="1" applyBorder="1" applyAlignment="1">
      <alignment horizontal="left" vertical="center"/>
    </xf>
    <xf numFmtId="43" fontId="5" fillId="0" borderId="0" xfId="49" applyFont="1" applyFill="1" applyBorder="1" applyAlignment="1">
      <alignment horizontal="left" vertical="center"/>
    </xf>
    <xf numFmtId="43" fontId="5" fillId="0" borderId="0" xfId="0" applyNumberFormat="1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60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36" borderId="20" xfId="0" applyNumberFormat="1" applyFont="1" applyFill="1" applyBorder="1" applyAlignment="1">
      <alignment horizontal="left" vertical="center"/>
    </xf>
    <xf numFmtId="49" fontId="5" fillId="36" borderId="28" xfId="0" applyNumberFormat="1" applyFont="1" applyFill="1" applyBorder="1" applyAlignment="1">
      <alignment horizontal="left" vertical="center"/>
    </xf>
    <xf numFmtId="49" fontId="5" fillId="36" borderId="41" xfId="0" applyNumberFormat="1" applyFont="1" applyFill="1" applyBorder="1" applyAlignment="1">
      <alignment horizontal="left" vertical="center"/>
    </xf>
    <xf numFmtId="0" fontId="5" fillId="36" borderId="41" xfId="0" applyFont="1" applyFill="1" applyBorder="1" applyAlignment="1">
      <alignment horizontal="left" vertical="center"/>
    </xf>
    <xf numFmtId="49" fontId="5" fillId="36" borderId="42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43" fontId="5" fillId="0" borderId="0" xfId="49" applyFont="1" applyFill="1" applyBorder="1" applyAlignment="1">
      <alignment horizontal="center" vertical="center"/>
    </xf>
    <xf numFmtId="10" fontId="5" fillId="0" borderId="0" xfId="55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0" fontId="5" fillId="0" borderId="0" xfId="55" applyNumberFormat="1" applyFont="1" applyFill="1" applyBorder="1" applyAlignment="1">
      <alignment horizontal="center" vertical="center" wrapText="1"/>
    </xf>
    <xf numFmtId="43" fontId="4" fillId="0" borderId="13" xfId="49" applyFont="1" applyFill="1" applyBorder="1" applyAlignment="1">
      <alignment horizontal="center" vertical="center" wrapText="1"/>
    </xf>
    <xf numFmtId="43" fontId="4" fillId="0" borderId="13" xfId="49" applyFont="1" applyBorder="1" applyAlignment="1">
      <alignment horizontal="center" vertical="center" wrapText="1"/>
    </xf>
    <xf numFmtId="167" fontId="4" fillId="0" borderId="10" xfId="55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2" fontId="5" fillId="0" borderId="27" xfId="49" applyNumberFormat="1" applyFont="1" applyFill="1" applyBorder="1" applyAlignment="1">
      <alignment horizontal="center" vertical="center" wrapText="1"/>
    </xf>
    <xf numFmtId="167" fontId="5" fillId="0" borderId="27" xfId="55" applyNumberFormat="1" applyFont="1" applyFill="1" applyBorder="1" applyAlignment="1">
      <alignment horizontal="center" vertical="center" wrapText="1"/>
    </xf>
    <xf numFmtId="185" fontId="5" fillId="0" borderId="27" xfId="0" applyNumberFormat="1" applyFont="1" applyFill="1" applyBorder="1" applyAlignment="1">
      <alignment horizontal="center" vertical="center" wrapText="1"/>
    </xf>
    <xf numFmtId="167" fontId="5" fillId="0" borderId="0" xfId="55" applyNumberFormat="1" applyFont="1" applyAlignment="1">
      <alignment horizontal="center" vertical="center" wrapText="1"/>
    </xf>
    <xf numFmtId="10" fontId="5" fillId="41" borderId="27" xfId="55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0" fontId="4" fillId="33" borderId="20" xfId="55" applyNumberFormat="1" applyFont="1" applyFill="1" applyBorder="1" applyAlignment="1">
      <alignment horizontal="center" vertical="center" wrapText="1"/>
    </xf>
    <xf numFmtId="10" fontId="4" fillId="39" borderId="20" xfId="55" applyNumberFormat="1" applyFont="1" applyFill="1" applyBorder="1" applyAlignment="1">
      <alignment horizontal="center" vertical="center" wrapText="1"/>
    </xf>
    <xf numFmtId="10" fontId="4" fillId="38" borderId="19" xfId="55" applyNumberFormat="1" applyFont="1" applyFill="1" applyBorder="1" applyAlignment="1">
      <alignment horizontal="center" vertical="center" wrapText="1"/>
    </xf>
    <xf numFmtId="10" fontId="5" fillId="0" borderId="14" xfId="55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8" borderId="19" xfId="0" applyNumberFormat="1" applyFont="1" applyFill="1" applyBorder="1" applyAlignment="1">
      <alignment horizontal="center" vertical="center" wrapText="1"/>
    </xf>
    <xf numFmtId="164" fontId="5" fillId="0" borderId="0" xfId="49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5" fillId="0" borderId="10" xfId="49" applyNumberFormat="1" applyFont="1" applyBorder="1" applyAlignment="1">
      <alignment horizontal="center" vertical="center" wrapText="1"/>
    </xf>
    <xf numFmtId="1" fontId="73" fillId="0" borderId="0" xfId="0" applyNumberFormat="1" applyFont="1" applyFill="1" applyBorder="1" applyAlignment="1">
      <alignment horizontal="center" vertical="center" wrapText="1"/>
    </xf>
    <xf numFmtId="43" fontId="4" fillId="0" borderId="27" xfId="49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43" fontId="53" fillId="37" borderId="25" xfId="49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1" fontId="4" fillId="38" borderId="24" xfId="0" applyNumberFormat="1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43" fontId="53" fillId="37" borderId="0" xfId="49" applyFont="1" applyFill="1" applyBorder="1" applyAlignment="1">
      <alignment horizontal="center" vertical="center" wrapText="1"/>
    </xf>
    <xf numFmtId="43" fontId="53" fillId="0" borderId="0" xfId="49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3" fontId="5" fillId="0" borderId="10" xfId="49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9" fontId="5" fillId="0" borderId="0" xfId="55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" fontId="5" fillId="36" borderId="0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0" fontId="5" fillId="36" borderId="33" xfId="0" applyNumberFormat="1" applyFont="1" applyFill="1" applyBorder="1" applyAlignment="1">
      <alignment horizontal="center" vertical="center" wrapText="1"/>
    </xf>
    <xf numFmtId="49" fontId="5" fillId="36" borderId="30" xfId="0" applyNumberFormat="1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8" fontId="5" fillId="0" borderId="0" xfId="49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30" xfId="49" applyFont="1" applyFill="1" applyBorder="1" applyAlignment="1">
      <alignment horizontal="center" vertical="center" wrapText="1"/>
    </xf>
    <xf numFmtId="10" fontId="4" fillId="33" borderId="10" xfId="55" applyNumberFormat="1" applyFont="1" applyFill="1" applyBorder="1" applyAlignment="1">
      <alignment horizontal="center" vertical="center" wrapText="1"/>
    </xf>
    <xf numFmtId="10" fontId="4" fillId="38" borderId="10" xfId="55" applyNumberFormat="1" applyFont="1" applyFill="1" applyBorder="1" applyAlignment="1">
      <alignment horizontal="center" vertical="center" wrapText="1"/>
    </xf>
    <xf numFmtId="10" fontId="4" fillId="39" borderId="10" xfId="55" applyNumberFormat="1" applyFont="1" applyFill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64" fontId="5" fillId="37" borderId="30" xfId="0" applyNumberFormat="1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164" fontId="5" fillId="37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3" fontId="4" fillId="0" borderId="0" xfId="49" applyFont="1" applyAlignment="1">
      <alignment horizontal="center" vertical="center" wrapText="1"/>
    </xf>
    <xf numFmtId="43" fontId="5" fillId="41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/>
    </xf>
    <xf numFmtId="10" fontId="5" fillId="0" borderId="0" xfId="55" applyNumberFormat="1" applyFont="1" applyAlignment="1">
      <alignment horizontal="center" vertical="center"/>
    </xf>
    <xf numFmtId="10" fontId="12" fillId="0" borderId="0" xfId="55" applyNumberFormat="1" applyFont="1" applyFill="1" applyBorder="1" applyAlignment="1">
      <alignment horizontal="center" vertical="center"/>
    </xf>
    <xf numFmtId="164" fontId="5" fillId="0" borderId="0" xfId="49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85" fontId="5" fillId="0" borderId="1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10" fontId="6" fillId="0" borderId="0" xfId="55" applyNumberFormat="1" applyFont="1" applyAlignment="1">
      <alignment horizontal="center" vertical="center"/>
    </xf>
    <xf numFmtId="0" fontId="59" fillId="0" borderId="0" xfId="0" applyFont="1" applyAlignment="1">
      <alignment horizontal="center"/>
    </xf>
    <xf numFmtId="43" fontId="59" fillId="0" borderId="0" xfId="49" applyFont="1" applyAlignment="1">
      <alignment horizontal="center"/>
    </xf>
    <xf numFmtId="43" fontId="59" fillId="0" borderId="0" xfId="0" applyNumberFormat="1" applyFont="1" applyAlignment="1">
      <alignment horizontal="center"/>
    </xf>
    <xf numFmtId="0" fontId="75" fillId="0" borderId="30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195" fontId="59" fillId="0" borderId="25" xfId="0" applyNumberFormat="1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196" fontId="76" fillId="0" borderId="15" xfId="0" applyNumberFormat="1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43" fontId="59" fillId="0" borderId="25" xfId="0" applyNumberFormat="1" applyFont="1" applyBorder="1" applyAlignment="1">
      <alignment vertical="center"/>
    </xf>
    <xf numFmtId="196" fontId="76" fillId="0" borderId="10" xfId="0" applyNumberFormat="1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196" fontId="75" fillId="0" borderId="3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35" borderId="25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43" fontId="4" fillId="37" borderId="25" xfId="49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right" vertical="center"/>
    </xf>
    <xf numFmtId="0" fontId="4" fillId="38" borderId="24" xfId="0" applyFont="1" applyFill="1" applyBorder="1" applyAlignment="1">
      <alignment horizontal="right" vertical="center"/>
    </xf>
    <xf numFmtId="43" fontId="4" fillId="37" borderId="0" xfId="49" applyFont="1" applyFill="1" applyBorder="1" applyAlignment="1">
      <alignment horizontal="right" vertical="center"/>
    </xf>
    <xf numFmtId="10" fontId="52" fillId="0" borderId="30" xfId="55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30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0" fontId="5" fillId="0" borderId="10" xfId="0" applyNumberFormat="1" applyFont="1" applyBorder="1" applyAlignment="1">
      <alignment horizontal="center" vertical="center"/>
    </xf>
    <xf numFmtId="0" fontId="103" fillId="4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04" fillId="4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103" fillId="43" borderId="17" xfId="0" applyFont="1" applyFill="1" applyBorder="1" applyAlignment="1">
      <alignment horizontal="center" vertical="center"/>
    </xf>
    <xf numFmtId="10" fontId="5" fillId="0" borderId="47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 wrapText="1"/>
    </xf>
    <xf numFmtId="10" fontId="5" fillId="0" borderId="32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3" fillId="43" borderId="35" xfId="0" applyFont="1" applyFill="1" applyBorder="1" applyAlignment="1">
      <alignment horizontal="center" vertical="center"/>
    </xf>
    <xf numFmtId="10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3" fillId="43" borderId="49" xfId="0" applyFont="1" applyFill="1" applyBorder="1" applyAlignment="1">
      <alignment horizontal="center" vertical="center"/>
    </xf>
    <xf numFmtId="10" fontId="5" fillId="0" borderId="5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167" fontId="6" fillId="40" borderId="10" xfId="55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left" vertical="center" wrapText="1"/>
    </xf>
    <xf numFmtId="10" fontId="5" fillId="0" borderId="49" xfId="0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89" fontId="4" fillId="39" borderId="10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/>
    </xf>
    <xf numFmtId="0" fontId="103" fillId="42" borderId="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/>
    </xf>
    <xf numFmtId="0" fontId="103" fillId="43" borderId="4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3" fillId="4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42" borderId="0" xfId="0" applyFont="1" applyFill="1" applyBorder="1" applyAlignment="1">
      <alignment horizontal="left" vertical="center" wrapText="1"/>
    </xf>
    <xf numFmtId="10" fontId="5" fillId="42" borderId="0" xfId="0" applyNumberFormat="1" applyFont="1" applyFill="1" applyBorder="1" applyAlignment="1">
      <alignment horizontal="center" vertical="center"/>
    </xf>
    <xf numFmtId="0" fontId="103" fillId="43" borderId="50" xfId="0" applyFont="1" applyFill="1" applyBorder="1" applyAlignment="1">
      <alignment horizontal="center" vertical="center"/>
    </xf>
    <xf numFmtId="0" fontId="103" fillId="43" borderId="19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42" borderId="0" xfId="0" applyFont="1" applyFill="1" applyAlignment="1">
      <alignment/>
    </xf>
    <xf numFmtId="0" fontId="5" fillId="42" borderId="48" xfId="0" applyFont="1" applyFill="1" applyBorder="1" applyAlignment="1">
      <alignment horizontal="center" vertical="center"/>
    </xf>
    <xf numFmtId="0" fontId="5" fillId="42" borderId="5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 wrapText="1"/>
    </xf>
    <xf numFmtId="0" fontId="103" fillId="43" borderId="48" xfId="0" applyFont="1" applyFill="1" applyBorder="1" applyAlignment="1">
      <alignment horizontal="center" vertical="center"/>
    </xf>
    <xf numFmtId="0" fontId="103" fillId="43" borderId="54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0" fontId="28" fillId="0" borderId="49" xfId="0" applyNumberFormat="1" applyFont="1" applyBorder="1" applyAlignment="1">
      <alignment horizontal="center" vertical="center"/>
    </xf>
    <xf numFmtId="0" fontId="105" fillId="43" borderId="5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05" fillId="43" borderId="19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/>
    </xf>
    <xf numFmtId="0" fontId="105" fillId="43" borderId="47" xfId="0" applyFont="1" applyFill="1" applyBorder="1" applyAlignment="1">
      <alignment horizontal="center" vertical="center"/>
    </xf>
    <xf numFmtId="0" fontId="105" fillId="43" borderId="5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0" fontId="105" fillId="43" borderId="44" xfId="0" applyFont="1" applyFill="1" applyBorder="1" applyAlignment="1">
      <alignment horizontal="center" vertical="center"/>
    </xf>
    <xf numFmtId="0" fontId="105" fillId="43" borderId="55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105" fillId="43" borderId="32" xfId="0" applyFont="1" applyFill="1" applyBorder="1" applyAlignment="1">
      <alignment horizontal="center" vertical="center"/>
    </xf>
    <xf numFmtId="0" fontId="105" fillId="43" borderId="53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center" vertical="center"/>
    </xf>
    <xf numFmtId="0" fontId="105" fillId="43" borderId="48" xfId="0" applyFont="1" applyFill="1" applyBorder="1" applyAlignment="1">
      <alignment horizontal="center" vertical="center"/>
    </xf>
    <xf numFmtId="49" fontId="105" fillId="43" borderId="54" xfId="0" applyNumberFormat="1" applyFont="1" applyFill="1" applyBorder="1" applyAlignment="1">
      <alignment horizontal="center" vertical="center"/>
    </xf>
    <xf numFmtId="167" fontId="5" fillId="0" borderId="0" xfId="55" applyNumberFormat="1" applyFont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/>
    </xf>
    <xf numFmtId="0" fontId="53" fillId="0" borderId="4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/>
    </xf>
    <xf numFmtId="0" fontId="106" fillId="43" borderId="17" xfId="0" applyFont="1" applyFill="1" applyBorder="1" applyAlignment="1">
      <alignment horizontal="center" vertical="center"/>
    </xf>
    <xf numFmtId="10" fontId="53" fillId="0" borderId="47" xfId="0" applyNumberFormat="1" applyFont="1" applyBorder="1" applyAlignment="1">
      <alignment horizontal="center" vertical="center"/>
    </xf>
    <xf numFmtId="0" fontId="53" fillId="0" borderId="3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106" fillId="43" borderId="10" xfId="0" applyFont="1" applyFill="1" applyBorder="1" applyAlignment="1">
      <alignment horizontal="center" vertical="center"/>
    </xf>
    <xf numFmtId="10" fontId="53" fillId="0" borderId="32" xfId="0" applyNumberFormat="1" applyFont="1" applyBorder="1" applyAlignment="1">
      <alignment horizontal="center" vertical="center"/>
    </xf>
    <xf numFmtId="0" fontId="53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center" vertical="center"/>
    </xf>
    <xf numFmtId="0" fontId="106" fillId="43" borderId="35" xfId="0" applyFont="1" applyFill="1" applyBorder="1" applyAlignment="1">
      <alignment horizontal="center" vertical="center"/>
    </xf>
    <xf numFmtId="10" fontId="53" fillId="0" borderId="48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distributed"/>
    </xf>
    <xf numFmtId="0" fontId="25" fillId="0" borderId="16" xfId="0" applyFont="1" applyBorder="1" applyAlignment="1">
      <alignment horizontal="center" vertical="distributed"/>
    </xf>
    <xf numFmtId="0" fontId="25" fillId="0" borderId="21" xfId="0" applyFont="1" applyBorder="1" applyAlignment="1">
      <alignment horizontal="center" vertical="distributed"/>
    </xf>
    <xf numFmtId="0" fontId="82" fillId="0" borderId="20" xfId="0" applyFont="1" applyBorder="1" applyAlignment="1">
      <alignment horizontal="left" vertical="distributed"/>
    </xf>
    <xf numFmtId="0" fontId="82" fillId="0" borderId="16" xfId="0" applyFont="1" applyBorder="1" applyAlignment="1">
      <alignment horizontal="left" vertical="distributed"/>
    </xf>
    <xf numFmtId="0" fontId="82" fillId="0" borderId="21" xfId="0" applyFont="1" applyBorder="1" applyAlignment="1">
      <alignment horizontal="left" vertical="distributed"/>
    </xf>
    <xf numFmtId="0" fontId="12" fillId="0" borderId="15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83" fillId="0" borderId="45" xfId="0" applyFont="1" applyBorder="1" applyAlignment="1">
      <alignment horizontal="left" vertical="distributed"/>
    </xf>
    <xf numFmtId="0" fontId="83" fillId="0" borderId="49" xfId="0" applyFont="1" applyBorder="1" applyAlignment="1">
      <alignment horizontal="left" vertical="distributed"/>
    </xf>
    <xf numFmtId="0" fontId="83" fillId="0" borderId="50" xfId="0" applyFont="1" applyBorder="1" applyAlignment="1">
      <alignment horizontal="left" vertical="distributed"/>
    </xf>
    <xf numFmtId="0" fontId="66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0" fontId="84" fillId="0" borderId="45" xfId="0" applyFont="1" applyBorder="1" applyAlignment="1">
      <alignment horizontal="left" vertical="center"/>
    </xf>
    <xf numFmtId="0" fontId="84" fillId="0" borderId="49" xfId="0" applyFont="1" applyBorder="1" applyAlignment="1">
      <alignment horizontal="left" vertical="center"/>
    </xf>
    <xf numFmtId="0" fontId="84" fillId="0" borderId="5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" name="Line 48"/>
        <xdr:cNvSpPr>
          <a:spLocks/>
        </xdr:cNvSpPr>
      </xdr:nvSpPr>
      <xdr:spPr>
        <a:xfrm>
          <a:off x="4210050" y="1085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4" customWidth="1"/>
    <col min="2" max="2" width="37.28125" style="4" customWidth="1"/>
    <col min="3" max="3" width="17.7109375" style="4" customWidth="1"/>
    <col min="4" max="4" width="18.140625" style="4" customWidth="1"/>
    <col min="5" max="5" width="20.7109375" style="4" customWidth="1"/>
    <col min="6" max="6" width="23.8515625" style="4" customWidth="1"/>
    <col min="7" max="7" width="18.8515625" style="4" customWidth="1"/>
    <col min="8" max="8" width="1.1484375" style="4" customWidth="1"/>
    <col min="9" max="9" width="16.421875" style="4" customWidth="1"/>
    <col min="10" max="10" width="14.140625" style="16" bestFit="1" customWidth="1"/>
    <col min="11" max="11" width="11.421875" style="16" customWidth="1"/>
    <col min="12" max="12" width="15.57421875" style="4" customWidth="1"/>
    <col min="13" max="13" width="11.421875" style="4" customWidth="1"/>
    <col min="14" max="14" width="13.8515625" style="4" bestFit="1" customWidth="1"/>
    <col min="15" max="15" width="11.421875" style="4" customWidth="1"/>
    <col min="16" max="17" width="11.421875" style="16" customWidth="1"/>
    <col min="18" max="16384" width="11.421875" style="4" customWidth="1"/>
  </cols>
  <sheetData>
    <row r="1" ht="9" customHeight="1" thickBot="1"/>
    <row r="2" spans="1:18" s="11" customFormat="1" ht="20.25" customHeight="1" thickBot="1">
      <c r="A2" s="608" t="s">
        <v>107</v>
      </c>
      <c r="B2" s="609"/>
      <c r="C2" s="609"/>
      <c r="D2" s="609"/>
      <c r="E2" s="609"/>
      <c r="F2" s="609"/>
      <c r="G2" s="610"/>
      <c r="H2" s="34"/>
      <c r="K2" s="8"/>
      <c r="L2" s="8"/>
      <c r="M2" s="8"/>
      <c r="N2" s="8"/>
      <c r="O2" s="8"/>
      <c r="P2" s="8"/>
      <c r="Q2" s="8"/>
      <c r="R2" s="8"/>
    </row>
    <row r="3" spans="1:12" s="16" customFormat="1" ht="31.5" customHeight="1">
      <c r="A3" s="611" t="s">
        <v>114</v>
      </c>
      <c r="B3" s="611"/>
      <c r="C3" s="611"/>
      <c r="D3" s="611"/>
      <c r="E3" s="611"/>
      <c r="F3" s="611"/>
      <c r="G3" s="611"/>
      <c r="H3" s="43"/>
      <c r="I3" s="43"/>
      <c r="L3" s="116"/>
    </row>
    <row r="4" spans="1:12" s="16" customFormat="1" ht="16.5" customHeight="1" thickBot="1">
      <c r="A4" s="135"/>
      <c r="B4" s="4"/>
      <c r="C4" s="4"/>
      <c r="D4" s="4"/>
      <c r="E4" s="4"/>
      <c r="F4" s="4"/>
      <c r="G4" s="4"/>
      <c r="H4" s="43"/>
      <c r="I4" s="43"/>
      <c r="J4" s="183" t="s">
        <v>176</v>
      </c>
      <c r="K4" s="489" t="s">
        <v>181</v>
      </c>
      <c r="L4" s="183" t="s">
        <v>175</v>
      </c>
    </row>
    <row r="5" spans="1:24" ht="19.5" customHeight="1" thickBot="1">
      <c r="A5" s="184"/>
      <c r="B5" s="234" t="s">
        <v>104</v>
      </c>
      <c r="C5" s="229">
        <v>0.94825</v>
      </c>
      <c r="D5" s="230" t="s">
        <v>108</v>
      </c>
      <c r="E5" s="231" t="s">
        <v>106</v>
      </c>
      <c r="F5" s="232">
        <f>1-C5</f>
        <v>0.05174999999999996</v>
      </c>
      <c r="G5" s="187"/>
      <c r="H5" s="463"/>
      <c r="I5" s="367"/>
      <c r="J5" s="183" t="s">
        <v>177</v>
      </c>
      <c r="K5" s="8"/>
      <c r="L5" s="116"/>
      <c r="M5" s="16"/>
      <c r="N5" s="16"/>
      <c r="O5" s="50"/>
      <c r="P5" s="50"/>
      <c r="Q5" s="50"/>
      <c r="R5" s="16"/>
      <c r="S5" s="16"/>
      <c r="T5" s="16"/>
      <c r="U5" s="16"/>
      <c r="V5" s="16"/>
      <c r="W5" s="16"/>
      <c r="X5" s="16"/>
    </row>
    <row r="6" spans="1:26" ht="15.75" thickBot="1">
      <c r="A6" s="333"/>
      <c r="B6" s="462"/>
      <c r="C6" s="187"/>
      <c r="G6" s="187"/>
      <c r="H6" s="368"/>
      <c r="I6" s="366"/>
      <c r="J6" s="184" t="s">
        <v>178</v>
      </c>
      <c r="L6" s="31"/>
      <c r="M6" s="16"/>
      <c r="N6" s="16"/>
      <c r="U6" s="57"/>
      <c r="V6" s="57"/>
      <c r="W6" s="57"/>
      <c r="X6" s="57"/>
      <c r="Y6" s="57"/>
      <c r="Z6" s="57"/>
    </row>
    <row r="7" spans="1:34" ht="21" customHeight="1" thickBot="1">
      <c r="A7" s="333"/>
      <c r="B7" s="333"/>
      <c r="C7" s="187"/>
      <c r="D7" s="605" t="s">
        <v>70</v>
      </c>
      <c r="E7" s="606"/>
      <c r="F7" s="607"/>
      <c r="G7" s="187"/>
      <c r="H7" s="364"/>
      <c r="I7" s="366"/>
      <c r="J7" s="183" t="s">
        <v>179</v>
      </c>
      <c r="K7" s="184" t="s">
        <v>180</v>
      </c>
      <c r="N7" s="72"/>
      <c r="O7" s="50"/>
      <c r="P7" s="50"/>
      <c r="Q7" s="50"/>
      <c r="R7" s="11"/>
      <c r="S7" s="11"/>
      <c r="T7" s="136"/>
      <c r="U7" s="64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9.5" customHeight="1" thickBot="1">
      <c r="A8" s="333"/>
      <c r="B8" s="462"/>
      <c r="C8" s="187"/>
      <c r="D8" s="118" t="s">
        <v>105</v>
      </c>
      <c r="E8" s="119" t="s">
        <v>115</v>
      </c>
      <c r="F8" s="118" t="s">
        <v>116</v>
      </c>
      <c r="G8" s="187"/>
      <c r="H8" s="330"/>
      <c r="I8" s="329"/>
      <c r="K8" s="11"/>
      <c r="L8" s="8"/>
      <c r="M8" s="49"/>
      <c r="N8" s="48"/>
      <c r="O8" s="50"/>
      <c r="P8" s="50"/>
      <c r="Q8" s="50"/>
      <c r="R8" s="11"/>
      <c r="S8" s="137"/>
      <c r="T8" s="11"/>
      <c r="U8" s="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9.5" customHeight="1" thickBot="1">
      <c r="A9" s="333"/>
      <c r="B9" s="187"/>
      <c r="C9" s="187"/>
      <c r="D9" s="162">
        <v>0.87</v>
      </c>
      <c r="E9" s="163">
        <v>0.82</v>
      </c>
      <c r="F9" s="163">
        <v>0.93</v>
      </c>
      <c r="G9" s="187"/>
      <c r="H9" s="331"/>
      <c r="I9" s="332"/>
      <c r="J9" s="184"/>
      <c r="K9" s="11"/>
      <c r="L9" s="11"/>
      <c r="M9" s="11"/>
      <c r="N9" s="11"/>
      <c r="O9" s="11"/>
      <c r="P9" s="11"/>
      <c r="Q9" s="11"/>
      <c r="R9" s="11"/>
      <c r="S9" s="138"/>
      <c r="T9" s="64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6.5" hidden="1" thickBot="1">
      <c r="A10" s="461"/>
      <c r="B10" s="139"/>
      <c r="C10" s="140" t="s">
        <v>109</v>
      </c>
      <c r="D10" s="141">
        <f>F5^D9</f>
        <v>0.07605048851094501</v>
      </c>
      <c r="E10" s="141">
        <f>F5^E9</f>
        <v>0.08818739020337177</v>
      </c>
      <c r="F10" s="185">
        <f>F5^F9</f>
        <v>0.0636702608816811</v>
      </c>
      <c r="H10" s="60"/>
      <c r="I10" s="11"/>
      <c r="K10" s="11"/>
      <c r="L10" s="8"/>
      <c r="M10" s="49"/>
      <c r="N10" s="48"/>
      <c r="O10" s="50"/>
      <c r="P10" s="50"/>
      <c r="Q10" s="11"/>
      <c r="R10" s="11"/>
      <c r="S10" s="142"/>
      <c r="T10" s="11"/>
      <c r="U10" s="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2.75" hidden="1">
      <c r="A11" s="461"/>
      <c r="B11" s="143"/>
      <c r="C11" s="144" t="s">
        <v>71</v>
      </c>
      <c r="D11" s="12">
        <f>1-D10</f>
        <v>0.923949511489055</v>
      </c>
      <c r="E11" s="12">
        <f>1-E10</f>
        <v>0.9118126097966283</v>
      </c>
      <c r="F11" s="12">
        <f>1-F10</f>
        <v>0.936329739118319</v>
      </c>
      <c r="H11" s="60"/>
      <c r="I11" s="11"/>
      <c r="J11" s="34"/>
      <c r="K11" s="11"/>
      <c r="L11" s="11"/>
      <c r="M11" s="11"/>
      <c r="N11" s="11"/>
      <c r="O11" s="11"/>
      <c r="P11" s="11"/>
      <c r="Q11" s="50"/>
      <c r="R11" s="11"/>
      <c r="S11" s="137"/>
      <c r="T11" s="4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2.75" hidden="1">
      <c r="A12" s="461"/>
      <c r="B12" s="164"/>
      <c r="C12" s="52"/>
      <c r="D12" s="164"/>
      <c r="E12" s="164"/>
      <c r="F12" s="164"/>
      <c r="H12" s="128"/>
      <c r="I12" s="11"/>
      <c r="J12" s="145"/>
      <c r="K12" s="47"/>
      <c r="L12" s="120"/>
      <c r="M12" s="11"/>
      <c r="N12" s="11"/>
      <c r="O12" s="11"/>
      <c r="P12" s="11"/>
      <c r="Q12" s="11"/>
      <c r="R12" s="11"/>
      <c r="S12" s="146"/>
      <c r="T12" s="147"/>
      <c r="U12" s="12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5" hidden="1" thickBot="1">
      <c r="A13" s="461"/>
      <c r="B13" s="189"/>
      <c r="C13" s="190" t="s">
        <v>110</v>
      </c>
      <c r="D13" s="148" t="s">
        <v>25</v>
      </c>
      <c r="E13" s="149">
        <f>D10-F5</f>
        <v>0.024300488510945045</v>
      </c>
      <c r="F13" s="150">
        <f>F10-F5</f>
        <v>0.011920260881681133</v>
      </c>
      <c r="G13" s="151">
        <f>E10-F5</f>
        <v>0.036437390203371806</v>
      </c>
      <c r="H13" s="60"/>
      <c r="I13" s="11"/>
      <c r="J13" s="146"/>
      <c r="K13" s="147"/>
      <c r="L13" s="11"/>
      <c r="M13" s="15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24" ht="13.5" hidden="1" thickBot="1">
      <c r="A14" s="461"/>
      <c r="B14" s="165"/>
      <c r="C14" s="121" t="s">
        <v>60</v>
      </c>
      <c r="D14" s="188" t="s">
        <v>26</v>
      </c>
      <c r="E14" s="153">
        <f>1/E13</f>
        <v>41.151436093541726</v>
      </c>
      <c r="F14" s="127">
        <f>1/G13</f>
        <v>27.444336556998064</v>
      </c>
      <c r="G14" s="154">
        <f>1/F13</f>
        <v>83.8907814120733</v>
      </c>
      <c r="J14" s="4"/>
      <c r="K14" s="4"/>
      <c r="P14" s="4"/>
      <c r="Q14" s="4"/>
      <c r="R14" s="16"/>
      <c r="S14" s="16"/>
      <c r="T14" s="16"/>
      <c r="U14" s="16"/>
      <c r="V14" s="16"/>
      <c r="W14" s="16"/>
      <c r="X14" s="16"/>
    </row>
    <row r="15" spans="1:17" ht="12.75" hidden="1">
      <c r="A15" s="461"/>
      <c r="B15" s="164"/>
      <c r="C15" s="164"/>
      <c r="D15" s="164"/>
      <c r="E15" s="164"/>
      <c r="F15" s="164"/>
      <c r="J15" s="4"/>
      <c r="K15" s="4"/>
      <c r="P15" s="4"/>
      <c r="Q15" s="4"/>
    </row>
    <row r="16" spans="1:17" ht="15.75" hidden="1">
      <c r="A16" s="461"/>
      <c r="B16" s="166"/>
      <c r="C16" s="76" t="s">
        <v>83</v>
      </c>
      <c r="D16" s="122" t="s">
        <v>84</v>
      </c>
      <c r="E16" s="155">
        <f>E14</f>
        <v>41.151436093541726</v>
      </c>
      <c r="F16" s="155">
        <f>F14</f>
        <v>27.444336556998064</v>
      </c>
      <c r="G16" s="155">
        <f>G14</f>
        <v>83.8907814120733</v>
      </c>
      <c r="J16" s="4"/>
      <c r="K16" s="4"/>
      <c r="P16" s="4"/>
      <c r="Q16" s="4"/>
    </row>
    <row r="17" spans="1:9" s="11" customFormat="1" ht="12.75" hidden="1">
      <c r="A17" s="461"/>
      <c r="B17" s="167"/>
      <c r="C17" s="167"/>
      <c r="D17" s="156" t="s">
        <v>46</v>
      </c>
      <c r="E17" s="123">
        <f>(1-C5)*E14</f>
        <v>2.129586817840783</v>
      </c>
      <c r="F17" s="123">
        <f>(1-C5)*F14</f>
        <v>1.4202444168246489</v>
      </c>
      <c r="G17" s="123">
        <f>(1-C5)*G14</f>
        <v>4.34134793807479</v>
      </c>
      <c r="I17" s="74"/>
    </row>
    <row r="18" spans="1:7" s="11" customFormat="1" ht="12.75" hidden="1">
      <c r="A18" s="461"/>
      <c r="B18" s="168"/>
      <c r="C18" s="168"/>
      <c r="D18" s="80" t="s">
        <v>80</v>
      </c>
      <c r="E18" s="124">
        <f>E14*E13</f>
        <v>1</v>
      </c>
      <c r="F18" s="124">
        <f>F14*G13</f>
        <v>1</v>
      </c>
      <c r="G18" s="124">
        <f>G14*F13</f>
        <v>1</v>
      </c>
    </row>
    <row r="19" spans="1:7" s="11" customFormat="1" ht="12.75" hidden="1">
      <c r="A19" s="461"/>
      <c r="B19" s="169"/>
      <c r="C19" s="169"/>
      <c r="D19" s="157" t="s">
        <v>47</v>
      </c>
      <c r="E19" s="125">
        <f>(C5-E13)*E14</f>
        <v>38.021849275700944</v>
      </c>
      <c r="F19" s="125">
        <f>(C5-G13)*F14</f>
        <v>25.024092140173416</v>
      </c>
      <c r="G19" s="125">
        <f>(C5-F13)*G14</f>
        <v>78.5494334739985</v>
      </c>
    </row>
    <row r="20" spans="1:12" s="11" customFormat="1" ht="12.75" hidden="1">
      <c r="A20" s="461"/>
      <c r="B20" s="170"/>
      <c r="C20" s="170"/>
      <c r="D20" s="170"/>
      <c r="E20" s="158"/>
      <c r="F20" s="158"/>
      <c r="G20" s="158"/>
      <c r="J20" s="83"/>
      <c r="K20" s="83"/>
      <c r="L20" s="85"/>
    </row>
    <row r="21" spans="1:12" s="11" customFormat="1" ht="15.75" hidden="1">
      <c r="A21" s="461"/>
      <c r="B21" s="166"/>
      <c r="C21" s="76" t="s">
        <v>85</v>
      </c>
      <c r="D21" s="122" t="s">
        <v>86</v>
      </c>
      <c r="E21" s="155">
        <f>E14</f>
        <v>41.151436093541726</v>
      </c>
      <c r="F21" s="155">
        <f>F14</f>
        <v>27.444336556998064</v>
      </c>
      <c r="G21" s="155">
        <f>G14</f>
        <v>83.8907814120733</v>
      </c>
      <c r="I21" s="83"/>
      <c r="J21" s="83"/>
      <c r="K21" s="84"/>
      <c r="L21" s="85"/>
    </row>
    <row r="22" spans="1:12" s="11" customFormat="1" ht="12.75" hidden="1">
      <c r="A22" s="461"/>
      <c r="B22" s="171"/>
      <c r="C22" s="171"/>
      <c r="D22" s="86" t="s">
        <v>46</v>
      </c>
      <c r="E22" s="123">
        <f>ABS((1-(C5-E13))*E14)</f>
        <v>3.1295868178407815</v>
      </c>
      <c r="F22" s="123">
        <f>ABS((1-(C5-G13))*F14)</f>
        <v>2.420244416824648</v>
      </c>
      <c r="G22" s="123">
        <f>ABS((1-(C5-F13))*G14)</f>
        <v>5.341347938074785</v>
      </c>
      <c r="I22" s="83"/>
      <c r="J22" s="83"/>
      <c r="K22" s="83"/>
      <c r="L22" s="85"/>
    </row>
    <row r="23" spans="1:17" ht="12.75" hidden="1">
      <c r="A23" s="461"/>
      <c r="B23" s="172"/>
      <c r="C23" s="172"/>
      <c r="D23" s="159" t="s">
        <v>81</v>
      </c>
      <c r="E23" s="160">
        <f>E14*E13</f>
        <v>1</v>
      </c>
      <c r="F23" s="127">
        <f>F14*G13</f>
        <v>1</v>
      </c>
      <c r="G23" s="127">
        <f>G14*F13</f>
        <v>1</v>
      </c>
      <c r="J23" s="4"/>
      <c r="K23" s="4"/>
      <c r="P23" s="4"/>
      <c r="Q23" s="4"/>
    </row>
    <row r="24" spans="1:17" ht="12.75" hidden="1">
      <c r="A24" s="461"/>
      <c r="B24" s="173"/>
      <c r="C24" s="174"/>
      <c r="D24" s="161" t="s">
        <v>82</v>
      </c>
      <c r="E24" s="125">
        <f>ABS(C5*E14)</f>
        <v>39.021849275700944</v>
      </c>
      <c r="F24" s="125">
        <f>ABS(C5*F14)</f>
        <v>26.024092140173416</v>
      </c>
      <c r="G24" s="125">
        <f>ABS(C5*G14)</f>
        <v>79.5494334739985</v>
      </c>
      <c r="I24" s="17"/>
      <c r="J24" s="17"/>
      <c r="K24" s="17"/>
      <c r="P24" s="4"/>
      <c r="Q24" s="4"/>
    </row>
    <row r="25" spans="1:11" s="11" customFormat="1" ht="12.75" hidden="1">
      <c r="A25" s="461"/>
      <c r="B25" s="117"/>
      <c r="C25" s="175"/>
      <c r="D25" s="91"/>
      <c r="E25" s="92"/>
      <c r="F25" s="92"/>
      <c r="G25" s="92"/>
      <c r="I25" s="126"/>
      <c r="J25" s="126"/>
      <c r="K25" s="126"/>
    </row>
    <row r="26" spans="1:17" ht="12.75" hidden="1">
      <c r="A26" s="461"/>
      <c r="B26" s="176" t="s">
        <v>64</v>
      </c>
      <c r="C26" s="177"/>
      <c r="D26" s="177"/>
      <c r="E26" s="129">
        <f>ROUND(D9,2)</f>
        <v>0.87</v>
      </c>
      <c r="F26" s="130">
        <f>ROUND(E13,4)</f>
        <v>0.0243</v>
      </c>
      <c r="G26" s="131">
        <f>ROUND(E14,0)</f>
        <v>41</v>
      </c>
      <c r="J26" s="4"/>
      <c r="K26" s="4"/>
      <c r="P26" s="4"/>
      <c r="Q26" s="4"/>
    </row>
    <row r="27" spans="1:17" ht="12.75" hidden="1">
      <c r="A27" s="461"/>
      <c r="B27" s="178" t="s">
        <v>66</v>
      </c>
      <c r="C27" s="179">
        <f>ROUND(D11,4)</f>
        <v>0.9239</v>
      </c>
      <c r="D27" s="179">
        <f>ROUND(C5,4)</f>
        <v>0.9483</v>
      </c>
      <c r="E27" s="132">
        <f>ROUND(E9,2)</f>
        <v>0.82</v>
      </c>
      <c r="F27" s="133">
        <f>ROUND(F13,4)</f>
        <v>0.0119</v>
      </c>
      <c r="G27" s="134">
        <f>ROUND(F14,0)</f>
        <v>27</v>
      </c>
      <c r="P27" s="4"/>
      <c r="Q27" s="4"/>
    </row>
    <row r="28" spans="1:17" ht="12.75" hidden="1">
      <c r="A28" s="461"/>
      <c r="B28" s="178" t="s">
        <v>65</v>
      </c>
      <c r="C28" s="180"/>
      <c r="D28" s="180"/>
      <c r="E28" s="132">
        <f>ROUND(F9,2)</f>
        <v>0.93</v>
      </c>
      <c r="F28" s="133">
        <f>ROUND(G13,4)</f>
        <v>0.0364</v>
      </c>
      <c r="G28" s="134">
        <f>ROUND(G14,0)</f>
        <v>84</v>
      </c>
      <c r="P28" s="4"/>
      <c r="Q28" s="4"/>
    </row>
    <row r="29" spans="1:17" ht="12.75" hidden="1">
      <c r="A29" s="461"/>
      <c r="B29" s="178" t="s">
        <v>67</v>
      </c>
      <c r="C29" s="111" t="s">
        <v>96</v>
      </c>
      <c r="D29" s="111" t="s">
        <v>97</v>
      </c>
      <c r="E29" s="111" t="s">
        <v>70</v>
      </c>
      <c r="F29" s="111" t="s">
        <v>69</v>
      </c>
      <c r="G29" s="111" t="s">
        <v>63</v>
      </c>
      <c r="J29" s="4"/>
      <c r="K29" s="4"/>
      <c r="P29" s="4"/>
      <c r="Q29" s="4"/>
    </row>
    <row r="30" spans="1:17" ht="12.75" hidden="1">
      <c r="A30" s="461"/>
      <c r="B30" s="181" t="s">
        <v>21</v>
      </c>
      <c r="C30" s="111" t="str">
        <f>CONCATENATE(C27*100,B29)</f>
        <v>92,39%</v>
      </c>
      <c r="D30" s="111" t="str">
        <f>CONCATENATE(D27*100,B29)</f>
        <v>94,83%</v>
      </c>
      <c r="E30" s="111" t="str">
        <f>CONCATENATE(E26," ",B26,E27,B27,E28,B28)</f>
        <v>0,87 (0,82-0,93)</v>
      </c>
      <c r="F30" s="111" t="str">
        <f>CONCATENATE(F26*100,B29," ",B26,F27*100,B29," ",B30," ",F28*100,B29,B28)</f>
        <v>2,43% (1,19% a 3,64%)</v>
      </c>
      <c r="G30" s="111" t="str">
        <f>CONCATENATE(G26," ",B26,G27," ",B30," ",G28,B28)</f>
        <v>41 (27 a 84)</v>
      </c>
      <c r="J30" s="4"/>
      <c r="K30" s="4"/>
      <c r="P30" s="4"/>
      <c r="Q30" s="4"/>
    </row>
    <row r="31" spans="1:7" s="16" customFormat="1" ht="12.75" hidden="1">
      <c r="A31" s="461"/>
      <c r="B31" s="117"/>
      <c r="C31" s="8"/>
      <c r="D31" s="117"/>
      <c r="E31" s="117"/>
      <c r="F31" s="117"/>
      <c r="G31" s="11"/>
    </row>
    <row r="32" spans="1:17" ht="12.75">
      <c r="A32" s="461"/>
      <c r="B32" s="164"/>
      <c r="C32" s="164"/>
      <c r="D32" s="182"/>
      <c r="E32" s="164"/>
      <c r="F32" s="164"/>
      <c r="J32" s="4"/>
      <c r="K32" s="4"/>
      <c r="P32" s="4"/>
      <c r="Q32" s="4"/>
    </row>
    <row r="33" spans="1:13" ht="18.75" customHeight="1">
      <c r="A33" s="461"/>
      <c r="C33" s="233" t="s">
        <v>96</v>
      </c>
      <c r="D33" s="233" t="s">
        <v>97</v>
      </c>
      <c r="E33" s="233" t="s">
        <v>70</v>
      </c>
      <c r="F33" s="233" t="s">
        <v>62</v>
      </c>
      <c r="G33" s="233" t="s">
        <v>63</v>
      </c>
      <c r="L33" s="31"/>
      <c r="M33" s="186"/>
    </row>
    <row r="34" spans="1:13" ht="18.75" customHeight="1">
      <c r="A34" s="461"/>
      <c r="C34" s="114" t="str">
        <f>C30</f>
        <v>92,39%</v>
      </c>
      <c r="D34" s="114" t="str">
        <f>D30</f>
        <v>94,83%</v>
      </c>
      <c r="E34" s="114" t="str">
        <f>E30</f>
        <v>0,87 (0,82-0,93)</v>
      </c>
      <c r="F34" s="114" t="str">
        <f>F30</f>
        <v>2,43% (1,19% a 3,64%)</v>
      </c>
      <c r="G34" s="114" t="str">
        <f>G30</f>
        <v>41 (27 a 84)</v>
      </c>
      <c r="L34" s="31"/>
      <c r="M34" s="186"/>
    </row>
    <row r="35" spans="1:13" ht="12.75">
      <c r="A35" s="184"/>
      <c r="B35" s="464"/>
      <c r="C35" s="96"/>
      <c r="D35" s="96"/>
      <c r="F35" s="96"/>
      <c r="G35" s="187"/>
      <c r="H35" s="96"/>
      <c r="L35" s="31"/>
      <c r="M35" s="186"/>
    </row>
    <row r="36" spans="1:8" ht="13.5" thickBot="1">
      <c r="A36" s="164"/>
      <c r="B36" s="164"/>
      <c r="C36" s="164"/>
      <c r="D36" s="164"/>
      <c r="E36" s="164"/>
      <c r="F36" s="470"/>
      <c r="G36" s="470"/>
      <c r="H36" s="96"/>
    </row>
    <row r="37" spans="1:9" ht="25.5" customHeight="1" thickBot="1">
      <c r="A37" s="164"/>
      <c r="B37" s="615" t="s">
        <v>414</v>
      </c>
      <c r="C37" s="616"/>
      <c r="D37" s="616"/>
      <c r="E37" s="616"/>
      <c r="F37" s="616"/>
      <c r="G37" s="616"/>
      <c r="H37" s="616"/>
      <c r="I37" s="617"/>
    </row>
    <row r="38" spans="1:9" ht="42" customHeight="1" thickBot="1">
      <c r="A38" s="164"/>
      <c r="B38" s="569" t="s">
        <v>405</v>
      </c>
      <c r="C38" s="545" t="s">
        <v>434</v>
      </c>
      <c r="D38" s="546" t="s">
        <v>433</v>
      </c>
      <c r="E38" s="544" t="s">
        <v>70</v>
      </c>
      <c r="F38" s="541" t="s">
        <v>428</v>
      </c>
      <c r="G38" s="542" t="s">
        <v>340</v>
      </c>
      <c r="H38" s="96"/>
      <c r="I38" s="543" t="s">
        <v>347</v>
      </c>
    </row>
    <row r="39" spans="1:9" ht="4.5" customHeight="1" thickBot="1">
      <c r="A39" s="164"/>
      <c r="B39" s="554"/>
      <c r="C39" s="554"/>
      <c r="D39" s="554"/>
      <c r="E39" s="554"/>
      <c r="F39" s="554"/>
      <c r="G39" s="554"/>
      <c r="H39" s="549"/>
      <c r="I39" s="560"/>
    </row>
    <row r="40" spans="1:9" ht="27.75" customHeight="1">
      <c r="A40" s="164"/>
      <c r="B40" s="534" t="s">
        <v>423</v>
      </c>
      <c r="C40" s="536">
        <v>0.0201</v>
      </c>
      <c r="D40" s="536">
        <v>0.0294</v>
      </c>
      <c r="E40" s="519" t="s">
        <v>341</v>
      </c>
      <c r="F40" s="519" t="s">
        <v>342</v>
      </c>
      <c r="G40" s="550" t="s">
        <v>343</v>
      </c>
      <c r="H40" s="96"/>
      <c r="I40" s="552" t="s">
        <v>349</v>
      </c>
    </row>
    <row r="41" spans="1:9" ht="18" customHeight="1">
      <c r="A41" s="164"/>
      <c r="B41" s="522" t="s">
        <v>327</v>
      </c>
      <c r="C41" s="509">
        <v>0.0131</v>
      </c>
      <c r="D41" s="509">
        <v>0.0177</v>
      </c>
      <c r="E41" s="465" t="s">
        <v>344</v>
      </c>
      <c r="F41" s="465" t="s">
        <v>345</v>
      </c>
      <c r="G41" s="551" t="s">
        <v>346</v>
      </c>
      <c r="H41" s="96"/>
      <c r="I41" s="553" t="s">
        <v>350</v>
      </c>
    </row>
    <row r="42" spans="1:9" ht="18" customHeight="1" thickBot="1">
      <c r="A42" s="182"/>
      <c r="B42" s="564" t="s">
        <v>331</v>
      </c>
      <c r="C42" s="537">
        <v>0.0134</v>
      </c>
      <c r="D42" s="537">
        <v>0.0222</v>
      </c>
      <c r="E42" s="524" t="s">
        <v>352</v>
      </c>
      <c r="F42" s="524" t="s">
        <v>353</v>
      </c>
      <c r="G42" s="565" t="s">
        <v>354</v>
      </c>
      <c r="H42" s="96"/>
      <c r="I42" s="566" t="s">
        <v>355</v>
      </c>
    </row>
    <row r="43" spans="1:9" ht="4.5" customHeight="1" thickBot="1">
      <c r="A43" s="164"/>
      <c r="B43" s="554"/>
      <c r="C43" s="554"/>
      <c r="D43" s="554"/>
      <c r="E43" s="554"/>
      <c r="F43" s="554"/>
      <c r="G43" s="554"/>
      <c r="H43" s="549"/>
      <c r="I43" s="560"/>
    </row>
    <row r="44" spans="1:9" ht="18" customHeight="1" thickBot="1">
      <c r="A44" s="164"/>
      <c r="B44" s="512" t="s">
        <v>330</v>
      </c>
      <c r="C44" s="535">
        <v>0.0204</v>
      </c>
      <c r="D44" s="535">
        <v>0.0338</v>
      </c>
      <c r="E44" s="527" t="s">
        <v>352</v>
      </c>
      <c r="F44" s="527" t="s">
        <v>356</v>
      </c>
      <c r="G44" s="556" t="s">
        <v>357</v>
      </c>
      <c r="H44" s="96"/>
      <c r="I44" s="557" t="s">
        <v>358</v>
      </c>
    </row>
    <row r="45" spans="1:9" ht="4.5" customHeight="1" thickBot="1">
      <c r="A45" s="164"/>
      <c r="B45" s="554"/>
      <c r="C45" s="554"/>
      <c r="D45" s="554"/>
      <c r="E45" s="554"/>
      <c r="F45" s="554"/>
      <c r="G45" s="554"/>
      <c r="H45" s="549"/>
      <c r="I45" s="560"/>
    </row>
    <row r="46" spans="1:9" ht="24.75" customHeight="1" thickBot="1">
      <c r="A46" s="164"/>
      <c r="B46" s="567" t="s">
        <v>429</v>
      </c>
      <c r="C46" s="570">
        <v>0.0432</v>
      </c>
      <c r="D46" s="570">
        <v>0.0612</v>
      </c>
      <c r="E46" s="568" t="s">
        <v>337</v>
      </c>
      <c r="F46" s="568" t="s">
        <v>338</v>
      </c>
      <c r="G46" s="571" t="s">
        <v>339</v>
      </c>
      <c r="H46" s="572"/>
      <c r="I46" s="573" t="s">
        <v>348</v>
      </c>
    </row>
    <row r="47" spans="1:9" ht="18" customHeight="1" thickBot="1">
      <c r="A47" s="164"/>
      <c r="B47" s="554"/>
      <c r="C47" s="554"/>
      <c r="D47" s="554"/>
      <c r="E47" s="554"/>
      <c r="F47" s="554"/>
      <c r="G47" s="554"/>
      <c r="H47" s="549"/>
      <c r="I47" s="560"/>
    </row>
    <row r="48" spans="1:9" ht="18" customHeight="1">
      <c r="A48" s="164"/>
      <c r="B48" s="518" t="s">
        <v>237</v>
      </c>
      <c r="C48" s="536">
        <v>0.0291</v>
      </c>
      <c r="D48" s="536">
        <v>0.035</v>
      </c>
      <c r="E48" s="519" t="s">
        <v>359</v>
      </c>
      <c r="F48" s="519" t="s">
        <v>360</v>
      </c>
      <c r="G48" s="558" t="s">
        <v>361</v>
      </c>
      <c r="H48" s="96"/>
      <c r="I48" s="559" t="s">
        <v>362</v>
      </c>
    </row>
    <row r="49" spans="1:9" ht="18" customHeight="1">
      <c r="A49" s="164"/>
      <c r="B49" s="530" t="s">
        <v>366</v>
      </c>
      <c r="C49" s="509">
        <v>0.0004</v>
      </c>
      <c r="D49" s="509">
        <v>0.0009</v>
      </c>
      <c r="E49" s="465" t="s">
        <v>209</v>
      </c>
      <c r="F49" s="465" t="s">
        <v>363</v>
      </c>
      <c r="G49" s="551" t="s">
        <v>364</v>
      </c>
      <c r="H49" s="96"/>
      <c r="I49" s="553" t="s">
        <v>365</v>
      </c>
    </row>
    <row r="50" spans="1:9" ht="18" customHeight="1" thickBot="1">
      <c r="A50" s="164"/>
      <c r="B50" s="531" t="s">
        <v>329</v>
      </c>
      <c r="C50" s="537">
        <v>0.0191</v>
      </c>
      <c r="D50" s="537">
        <v>0.0244</v>
      </c>
      <c r="E50" s="524" t="s">
        <v>367</v>
      </c>
      <c r="F50" s="524" t="s">
        <v>368</v>
      </c>
      <c r="G50" s="561" t="s">
        <v>420</v>
      </c>
      <c r="H50" s="96"/>
      <c r="I50" s="562" t="s">
        <v>420</v>
      </c>
    </row>
    <row r="51" spans="1:9" ht="18" customHeight="1" thickBot="1">
      <c r="A51" s="164"/>
      <c r="B51" s="554"/>
      <c r="C51" s="554"/>
      <c r="D51" s="554"/>
      <c r="E51" s="554"/>
      <c r="F51" s="554"/>
      <c r="G51" s="554"/>
      <c r="H51" s="549"/>
      <c r="I51" s="560"/>
    </row>
    <row r="52" spans="1:9" ht="18" customHeight="1" thickBot="1">
      <c r="A52" s="164"/>
      <c r="B52" s="512" t="s">
        <v>411</v>
      </c>
      <c r="C52" s="527" t="s">
        <v>370</v>
      </c>
      <c r="D52" s="527" t="s">
        <v>371</v>
      </c>
      <c r="E52" s="527" t="s">
        <v>369</v>
      </c>
      <c r="F52" s="527" t="s">
        <v>372</v>
      </c>
      <c r="G52" s="556" t="s">
        <v>373</v>
      </c>
      <c r="H52" s="96"/>
      <c r="I52" s="557" t="s">
        <v>374</v>
      </c>
    </row>
    <row r="53" spans="1:9" ht="18" customHeight="1" thickBot="1">
      <c r="A53" s="164"/>
      <c r="B53" s="554"/>
      <c r="C53" s="554"/>
      <c r="D53" s="554"/>
      <c r="E53" s="554"/>
      <c r="F53" s="554"/>
      <c r="G53" s="554"/>
      <c r="H53" s="549"/>
      <c r="I53" s="560"/>
    </row>
    <row r="54" spans="1:9" ht="18" customHeight="1">
      <c r="A54" s="164"/>
      <c r="B54" s="574" t="s">
        <v>424</v>
      </c>
      <c r="C54" s="575" t="s">
        <v>375</v>
      </c>
      <c r="D54" s="575" t="s">
        <v>376</v>
      </c>
      <c r="E54" s="575" t="s">
        <v>377</v>
      </c>
      <c r="F54" s="575" t="s">
        <v>378</v>
      </c>
      <c r="G54" s="576" t="s">
        <v>379</v>
      </c>
      <c r="H54" s="572"/>
      <c r="I54" s="577" t="s">
        <v>380</v>
      </c>
    </row>
    <row r="55" spans="1:9" ht="18" customHeight="1">
      <c r="A55" s="164"/>
      <c r="B55" s="578" t="s">
        <v>425</v>
      </c>
      <c r="C55" s="579" t="s">
        <v>381</v>
      </c>
      <c r="D55" s="579" t="s">
        <v>382</v>
      </c>
      <c r="E55" s="579" t="s">
        <v>383</v>
      </c>
      <c r="F55" s="579" t="s">
        <v>384</v>
      </c>
      <c r="G55" s="580" t="s">
        <v>385</v>
      </c>
      <c r="H55" s="572"/>
      <c r="I55" s="581" t="s">
        <v>386</v>
      </c>
    </row>
    <row r="56" spans="1:9" ht="27.75" customHeight="1">
      <c r="A56" s="164"/>
      <c r="B56" s="582" t="s">
        <v>426</v>
      </c>
      <c r="C56" s="583" t="s">
        <v>389</v>
      </c>
      <c r="D56" s="583" t="s">
        <v>388</v>
      </c>
      <c r="E56" s="583" t="s">
        <v>390</v>
      </c>
      <c r="F56" s="583" t="s">
        <v>391</v>
      </c>
      <c r="G56" s="584" t="s">
        <v>392</v>
      </c>
      <c r="H56" s="572"/>
      <c r="I56" s="585" t="s">
        <v>393</v>
      </c>
    </row>
    <row r="57" spans="1:9" ht="24" customHeight="1">
      <c r="A57" s="164"/>
      <c r="B57" s="582" t="s">
        <v>427</v>
      </c>
      <c r="C57" s="583" t="s">
        <v>394</v>
      </c>
      <c r="D57" s="583" t="s">
        <v>395</v>
      </c>
      <c r="E57" s="583" t="s">
        <v>396</v>
      </c>
      <c r="F57" s="583" t="s">
        <v>397</v>
      </c>
      <c r="G57" s="584" t="s">
        <v>398</v>
      </c>
      <c r="H57" s="572"/>
      <c r="I57" s="585" t="s">
        <v>399</v>
      </c>
    </row>
    <row r="58" spans="1:9" ht="26.25" customHeight="1" thickBot="1">
      <c r="A58" s="164"/>
      <c r="B58" s="586" t="s">
        <v>417</v>
      </c>
      <c r="C58" s="587" t="s">
        <v>351</v>
      </c>
      <c r="D58" s="587" t="s">
        <v>400</v>
      </c>
      <c r="E58" s="587" t="s">
        <v>401</v>
      </c>
      <c r="F58" s="587" t="s">
        <v>402</v>
      </c>
      <c r="G58" s="588" t="s">
        <v>403</v>
      </c>
      <c r="H58" s="572"/>
      <c r="I58" s="589" t="s">
        <v>404</v>
      </c>
    </row>
    <row r="59" spans="1:16" ht="12.75" hidden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</row>
    <row r="60" spans="1:16" ht="12.75" hidden="1">
      <c r="A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ht="12.75" hidden="1">
      <c r="A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ht="12.75" hidden="1">
      <c r="A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</row>
    <row r="63" spans="1:16" ht="12.75" hidden="1">
      <c r="A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</row>
    <row r="64" spans="1:16" ht="12.75" hidden="1">
      <c r="A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</row>
    <row r="65" spans="1:16" ht="14.25" customHeight="1" hidden="1">
      <c r="A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</row>
    <row r="66" spans="1:16" ht="12.75" hidden="1">
      <c r="A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</row>
    <row r="67" ht="12.75" hidden="1">
      <c r="A67" s="164"/>
    </row>
    <row r="68" ht="12.75" hidden="1">
      <c r="A68" s="164"/>
    </row>
    <row r="69" ht="12.75" hidden="1">
      <c r="A69" s="164"/>
    </row>
    <row r="70" ht="12.75" hidden="1">
      <c r="A70" s="164"/>
    </row>
    <row r="71" ht="12.75" hidden="1">
      <c r="A71" s="164"/>
    </row>
    <row r="72" ht="12.75" hidden="1">
      <c r="A72" s="164"/>
    </row>
    <row r="73" ht="12.75" hidden="1"/>
    <row r="74" ht="12.75" hidden="1"/>
    <row r="75" ht="12.75" hidden="1"/>
    <row r="76" ht="12.75" hidden="1"/>
    <row r="77" ht="12.75" hidden="1"/>
    <row r="78" spans="2:9" ht="3" customHeight="1">
      <c r="B78" s="554"/>
      <c r="C78" s="554"/>
      <c r="D78" s="554"/>
      <c r="E78" s="554"/>
      <c r="F78" s="554"/>
      <c r="G78" s="554"/>
      <c r="H78" s="549"/>
      <c r="I78" s="560"/>
    </row>
    <row r="79" spans="2:9" ht="51.75" customHeight="1">
      <c r="B79" s="612" t="s">
        <v>430</v>
      </c>
      <c r="C79" s="613"/>
      <c r="D79" s="613"/>
      <c r="E79" s="613"/>
      <c r="F79" s="613"/>
      <c r="G79" s="613"/>
      <c r="H79" s="613"/>
      <c r="I79" s="614"/>
    </row>
  </sheetData>
  <sheetProtection/>
  <mergeCells count="5">
    <mergeCell ref="D7:F7"/>
    <mergeCell ref="A2:G2"/>
    <mergeCell ref="A3:G3"/>
    <mergeCell ref="B79:I79"/>
    <mergeCell ref="B37:I37"/>
  </mergeCells>
  <printOptions/>
  <pageMargins left="0.47" right="0.75" top="0.53" bottom="1" header="0" footer="0"/>
  <pageSetup horizontalDpi="600" verticalDpi="600" orientation="landscape" paperSize="9" r:id="rId2"/>
  <ignoredErrors>
    <ignoredError sqref="C52:D55 C56:D5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57421875" style="4" customWidth="1"/>
    <col min="2" max="2" width="21.7109375" style="4" customWidth="1"/>
    <col min="3" max="3" width="22.00390625" style="4" customWidth="1"/>
    <col min="4" max="4" width="17.140625" style="4" customWidth="1"/>
    <col min="5" max="5" width="21.421875" style="4" customWidth="1"/>
    <col min="6" max="6" width="19.57421875" style="4" customWidth="1"/>
    <col min="7" max="7" width="14.140625" style="4" bestFit="1" customWidth="1"/>
    <col min="8" max="8" width="8.421875" style="4" customWidth="1"/>
    <col min="9" max="9" width="14.421875" style="4" bestFit="1" customWidth="1"/>
    <col min="10" max="10" width="16.140625" style="4" bestFit="1" customWidth="1"/>
    <col min="11" max="11" width="14.421875" style="4" bestFit="1" customWidth="1"/>
    <col min="12" max="12" width="13.421875" style="4" customWidth="1"/>
    <col min="13" max="13" width="14.7109375" style="4" bestFit="1" customWidth="1"/>
    <col min="14" max="14" width="14.28125" style="16" bestFit="1" customWidth="1"/>
    <col min="15" max="15" width="14.28125" style="16" customWidth="1"/>
    <col min="16" max="16" width="14.00390625" style="4" bestFit="1" customWidth="1"/>
    <col min="17" max="17" width="11.57421875" style="4" bestFit="1" customWidth="1"/>
    <col min="18" max="18" width="13.8515625" style="4" bestFit="1" customWidth="1"/>
    <col min="19" max="19" width="11.421875" style="4" customWidth="1"/>
    <col min="20" max="21" width="11.421875" style="16" customWidth="1"/>
    <col min="22" max="16384" width="11.421875" style="4" customWidth="1"/>
  </cols>
  <sheetData>
    <row r="1" spans="1:28" s="11" customFormat="1" ht="8.25" customHeight="1" thickBot="1">
      <c r="A1" s="1"/>
      <c r="B1" s="2"/>
      <c r="C1" s="1"/>
      <c r="D1" s="3"/>
      <c r="E1" s="4"/>
      <c r="F1" s="4"/>
      <c r="G1" s="5"/>
      <c r="H1" s="5"/>
      <c r="I1" s="5"/>
      <c r="J1" s="5"/>
      <c r="K1" s="6"/>
      <c r="L1" s="7"/>
      <c r="M1" s="7"/>
      <c r="N1" s="8"/>
      <c r="O1" s="8"/>
      <c r="P1" s="9"/>
      <c r="Q1" s="8"/>
      <c r="R1" s="8"/>
      <c r="S1" s="8"/>
      <c r="T1" s="10"/>
      <c r="U1" s="10"/>
      <c r="V1" s="10"/>
      <c r="W1" s="10"/>
      <c r="X1" s="10"/>
      <c r="Y1" s="10"/>
      <c r="Z1" s="10"/>
      <c r="AA1" s="10"/>
      <c r="AB1" s="10"/>
    </row>
    <row r="2" spans="1:29" ht="25.5" customHeight="1" thickBot="1">
      <c r="A2" s="618" t="s">
        <v>124</v>
      </c>
      <c r="B2" s="619"/>
      <c r="C2" s="619"/>
      <c r="D2" s="619"/>
      <c r="E2" s="619"/>
      <c r="F2" s="619"/>
      <c r="G2" s="619"/>
      <c r="H2" s="619"/>
      <c r="I2" s="620"/>
      <c r="J2" s="12"/>
      <c r="K2" s="6"/>
      <c r="L2" s="13"/>
      <c r="M2" s="13"/>
      <c r="N2" s="14"/>
      <c r="O2" s="14"/>
      <c r="P2" s="15"/>
      <c r="Q2" s="14"/>
      <c r="R2" s="14"/>
      <c r="S2" s="14"/>
      <c r="T2" s="14"/>
      <c r="U2" s="14"/>
      <c r="V2" s="14"/>
      <c r="W2" s="16"/>
      <c r="X2" s="16"/>
      <c r="Y2" s="16"/>
      <c r="Z2" s="16"/>
      <c r="AA2" s="16"/>
      <c r="AB2" s="16"/>
      <c r="AC2" s="16"/>
    </row>
    <row r="3" spans="1:29" ht="31.5" customHeight="1">
      <c r="A3" s="621" t="s">
        <v>162</v>
      </c>
      <c r="B3" s="621"/>
      <c r="C3" s="621"/>
      <c r="D3" s="621"/>
      <c r="E3" s="621"/>
      <c r="F3" s="621"/>
      <c r="G3" s="621"/>
      <c r="H3" s="621"/>
      <c r="I3" s="621"/>
      <c r="J3" s="12"/>
      <c r="K3" s="6"/>
      <c r="L3" s="13"/>
      <c r="M3" s="13"/>
      <c r="N3" s="14"/>
      <c r="O3" s="14"/>
      <c r="P3" s="15"/>
      <c r="Q3" s="14"/>
      <c r="R3" s="14"/>
      <c r="S3" s="14"/>
      <c r="T3" s="14"/>
      <c r="U3" s="14"/>
      <c r="V3" s="14"/>
      <c r="W3" s="16"/>
      <c r="X3" s="16"/>
      <c r="Y3" s="16"/>
      <c r="Z3" s="16"/>
      <c r="AA3" s="16"/>
      <c r="AB3" s="16"/>
      <c r="AC3" s="16"/>
    </row>
    <row r="4" spans="1:29" ht="12.75" customHeight="1">
      <c r="A4" s="191"/>
      <c r="B4" s="192"/>
      <c r="C4" s="7"/>
      <c r="D4" s="7"/>
      <c r="E4" s="17"/>
      <c r="F4" s="18"/>
      <c r="G4" s="18"/>
      <c r="H4" s="18"/>
      <c r="I4" s="18"/>
      <c r="J4" s="19"/>
      <c r="K4" s="20"/>
      <c r="N4" s="14"/>
      <c r="O4" s="14"/>
      <c r="P4" s="21"/>
      <c r="Q4" s="14"/>
      <c r="R4" s="14"/>
      <c r="S4" s="18"/>
      <c r="U4" s="22"/>
      <c r="V4" s="22"/>
      <c r="W4" s="16"/>
      <c r="X4" s="22"/>
      <c r="Y4" s="23"/>
      <c r="Z4" s="16"/>
      <c r="AA4" s="16"/>
      <c r="AB4" s="16"/>
      <c r="AC4" s="16"/>
    </row>
    <row r="5" spans="1:29" ht="12.75">
      <c r="A5" s="335" t="s">
        <v>93</v>
      </c>
      <c r="B5" s="194"/>
      <c r="C5" s="197" t="s">
        <v>22</v>
      </c>
      <c r="D5" s="197" t="s">
        <v>23</v>
      </c>
      <c r="E5" s="195"/>
      <c r="F5" s="18"/>
      <c r="G5" s="18"/>
      <c r="H5" s="18"/>
      <c r="I5" s="18"/>
      <c r="J5" s="369"/>
      <c r="K5" s="328"/>
      <c r="L5" s="328"/>
      <c r="M5" s="328"/>
      <c r="N5" s="14"/>
      <c r="O5" s="14"/>
      <c r="P5" s="14"/>
      <c r="Q5" s="14"/>
      <c r="R5" s="14"/>
      <c r="S5" s="18"/>
      <c r="U5" s="22"/>
      <c r="V5" s="22"/>
      <c r="W5" s="16"/>
      <c r="X5" s="22"/>
      <c r="Y5" s="23"/>
      <c r="Z5" s="16"/>
      <c r="AA5" s="16"/>
      <c r="AB5" s="16"/>
      <c r="AC5" s="16"/>
    </row>
    <row r="6" spans="1:29" ht="12.75">
      <c r="A6" s="184"/>
      <c r="B6" s="196"/>
      <c r="C6" s="236" t="s">
        <v>3</v>
      </c>
      <c r="D6" s="236" t="s">
        <v>2</v>
      </c>
      <c r="E6" s="237" t="s">
        <v>24</v>
      </c>
      <c r="F6" s="18"/>
      <c r="G6" s="18"/>
      <c r="H6" s="18"/>
      <c r="I6" s="18"/>
      <c r="J6" s="369"/>
      <c r="K6" s="328"/>
      <c r="L6" s="328"/>
      <c r="M6" s="328"/>
      <c r="N6" s="14"/>
      <c r="O6" s="14"/>
      <c r="P6" s="14"/>
      <c r="Q6" s="14"/>
      <c r="R6" s="14"/>
      <c r="S6" s="18"/>
      <c r="U6" s="22"/>
      <c r="V6" s="22"/>
      <c r="W6" s="16"/>
      <c r="X6" s="22"/>
      <c r="Y6" s="16"/>
      <c r="Z6" s="16"/>
      <c r="AA6" s="16"/>
      <c r="AB6" s="16"/>
      <c r="AC6" s="16"/>
    </row>
    <row r="7" spans="1:29" ht="12.75" customHeight="1">
      <c r="A7" s="184"/>
      <c r="B7" s="198" t="s">
        <v>129</v>
      </c>
      <c r="C7" s="241">
        <v>245</v>
      </c>
      <c r="D7" s="242">
        <f>E7-C7</f>
        <v>1957</v>
      </c>
      <c r="E7" s="243">
        <v>2202</v>
      </c>
      <c r="F7" s="18"/>
      <c r="G7" s="18"/>
      <c r="H7" s="18"/>
      <c r="I7" s="18"/>
      <c r="J7" s="369"/>
      <c r="K7" s="328"/>
      <c r="L7" s="328"/>
      <c r="M7" s="328"/>
      <c r="N7" s="14"/>
      <c r="O7" s="14"/>
      <c r="P7" s="14"/>
      <c r="Q7" s="14"/>
      <c r="R7" s="14"/>
      <c r="S7" s="18"/>
      <c r="U7" s="22"/>
      <c r="V7" s="22"/>
      <c r="W7" s="16"/>
      <c r="X7" s="22"/>
      <c r="Y7" s="16"/>
      <c r="Z7" s="16"/>
      <c r="AA7" s="16"/>
      <c r="AB7" s="16"/>
      <c r="AC7" s="16"/>
    </row>
    <row r="8" spans="1:29" ht="12.75" customHeight="1">
      <c r="A8" s="184"/>
      <c r="B8" s="198" t="s">
        <v>130</v>
      </c>
      <c r="C8" s="241">
        <v>340</v>
      </c>
      <c r="D8" s="242">
        <f>E8-C8</f>
        <v>1859</v>
      </c>
      <c r="E8" s="243">
        <v>2199</v>
      </c>
      <c r="F8" s="18"/>
      <c r="G8" s="18"/>
      <c r="H8" s="18"/>
      <c r="I8" s="18"/>
      <c r="J8" s="369"/>
      <c r="K8" s="328"/>
      <c r="L8" s="329"/>
      <c r="M8" s="328"/>
      <c r="N8" s="14"/>
      <c r="O8" s="14"/>
      <c r="P8" s="14"/>
      <c r="Q8" s="14"/>
      <c r="R8" s="14"/>
      <c r="S8" s="18"/>
      <c r="U8" s="22"/>
      <c r="V8" s="22"/>
      <c r="W8" s="16"/>
      <c r="X8" s="22"/>
      <c r="Y8" s="16"/>
      <c r="Z8" s="16"/>
      <c r="AA8" s="16"/>
      <c r="AB8" s="16"/>
      <c r="AC8" s="16"/>
    </row>
    <row r="9" spans="1:29" ht="12.75">
      <c r="A9" s="184"/>
      <c r="B9" s="193" t="s">
        <v>24</v>
      </c>
      <c r="C9" s="238">
        <f>SUM(C7:C8)</f>
        <v>585</v>
      </c>
      <c r="D9" s="239">
        <f>SUM(D7:D8)</f>
        <v>3816</v>
      </c>
      <c r="E9" s="240">
        <f>SUM(E7:E8)</f>
        <v>4401</v>
      </c>
      <c r="F9" s="18"/>
      <c r="G9" s="18"/>
      <c r="H9" s="18"/>
      <c r="I9" s="18"/>
      <c r="J9" s="369"/>
      <c r="K9" s="328"/>
      <c r="L9" s="329"/>
      <c r="M9" s="328"/>
      <c r="O9" s="27"/>
      <c r="P9" s="28"/>
      <c r="Q9" s="28"/>
      <c r="R9" s="28"/>
      <c r="S9" s="22"/>
      <c r="U9" s="22"/>
      <c r="V9" s="22"/>
      <c r="W9" s="16"/>
      <c r="X9" s="22"/>
      <c r="Y9" s="16"/>
      <c r="Z9" s="16"/>
      <c r="AA9" s="16"/>
      <c r="AB9" s="16"/>
      <c r="AC9" s="16"/>
    </row>
    <row r="10" spans="1:29" ht="12.75" hidden="1">
      <c r="A10" s="184"/>
      <c r="B10" s="29"/>
      <c r="C10" s="30"/>
      <c r="D10" s="26"/>
      <c r="E10" s="26"/>
      <c r="F10" s="328"/>
      <c r="G10" s="328"/>
      <c r="H10" s="369"/>
      <c r="I10" s="369"/>
      <c r="J10" s="369"/>
      <c r="K10" s="328"/>
      <c r="L10" s="329"/>
      <c r="M10" s="328"/>
      <c r="O10" s="27"/>
      <c r="P10" s="28"/>
      <c r="Q10" s="28"/>
      <c r="R10" s="28"/>
      <c r="S10" s="22"/>
      <c r="U10" s="22"/>
      <c r="V10" s="22"/>
      <c r="W10" s="16"/>
      <c r="X10" s="22"/>
      <c r="Y10" s="16"/>
      <c r="Z10" s="16"/>
      <c r="AA10" s="16"/>
      <c r="AB10" s="16"/>
      <c r="AC10" s="16"/>
    </row>
    <row r="11" spans="1:22" s="11" customFormat="1" ht="14.25" hidden="1">
      <c r="A11" s="336" t="s">
        <v>156</v>
      </c>
      <c r="B11" s="32"/>
      <c r="C11" s="33"/>
      <c r="D11" s="8"/>
      <c r="E11" s="25"/>
      <c r="F11" s="370"/>
      <c r="G11" s="329"/>
      <c r="H11" s="370"/>
      <c r="I11" s="329"/>
      <c r="J11" s="332"/>
      <c r="K11" s="332"/>
      <c r="L11" s="370"/>
      <c r="M11" s="332"/>
      <c r="O11" s="8"/>
      <c r="P11" s="35"/>
      <c r="Q11" s="35"/>
      <c r="R11" s="35"/>
      <c r="S11" s="8"/>
      <c r="T11" s="8"/>
      <c r="U11" s="8"/>
      <c r="V11" s="8"/>
    </row>
    <row r="12" spans="1:22" s="11" customFormat="1" ht="12.75" hidden="1">
      <c r="A12" s="184" t="s">
        <v>131</v>
      </c>
      <c r="B12" s="32"/>
      <c r="C12" s="33"/>
      <c r="D12" s="8"/>
      <c r="E12" s="25"/>
      <c r="F12" s="370"/>
      <c r="G12" s="329"/>
      <c r="H12" s="370"/>
      <c r="I12" s="329"/>
      <c r="J12" s="371"/>
      <c r="K12" s="332"/>
      <c r="L12" s="332"/>
      <c r="M12" s="332"/>
      <c r="O12" s="8"/>
      <c r="P12" s="9"/>
      <c r="Q12" s="9"/>
      <c r="R12" s="9"/>
      <c r="S12" s="8"/>
      <c r="T12" s="8"/>
      <c r="U12" s="8"/>
      <c r="V12" s="8"/>
    </row>
    <row r="13" spans="1:22" s="11" customFormat="1" ht="45" customHeight="1" hidden="1">
      <c r="A13" s="337" t="s">
        <v>27</v>
      </c>
      <c r="B13" s="249" t="s">
        <v>132</v>
      </c>
      <c r="C13" s="249" t="s">
        <v>157</v>
      </c>
      <c r="D13" s="249" t="s">
        <v>133</v>
      </c>
      <c r="E13" s="249" t="s">
        <v>134</v>
      </c>
      <c r="F13" s="249" t="s">
        <v>5</v>
      </c>
      <c r="G13" s="249" t="s">
        <v>158</v>
      </c>
      <c r="H13" s="249" t="s">
        <v>159</v>
      </c>
      <c r="I13" s="329"/>
      <c r="J13" s="372" t="s">
        <v>59</v>
      </c>
      <c r="K13" s="373" t="s">
        <v>0</v>
      </c>
      <c r="L13" s="373" t="s">
        <v>1</v>
      </c>
      <c r="M13" s="332"/>
      <c r="O13" s="8"/>
      <c r="P13" s="8"/>
      <c r="Q13" s="8"/>
      <c r="R13" s="8"/>
      <c r="S13" s="8"/>
      <c r="T13" s="8"/>
      <c r="U13" s="8"/>
      <c r="V13" s="8"/>
    </row>
    <row r="14" spans="1:22" s="11" customFormat="1" ht="12.75" hidden="1">
      <c r="A14" s="338">
        <f>LN((C7/E7)/(C8/E8))</f>
        <v>-0.32905073379334415</v>
      </c>
      <c r="B14" s="244">
        <f>SQRT((D7/(C7*E7)+(D8/(C8*E8))))</f>
        <v>0.07819158750694052</v>
      </c>
      <c r="C14" s="245">
        <f>NORMSINV(1-(0.05/2))</f>
        <v>1.9599639845400536</v>
      </c>
      <c r="D14" s="245">
        <f>A14-(C14*B14)</f>
        <v>-0.4823034292009596</v>
      </c>
      <c r="E14" s="246">
        <f>A14+(C14*B14)</f>
        <v>-0.17579803838572872</v>
      </c>
      <c r="F14" s="247">
        <f>(C7/E7)/(C8/E8)</f>
        <v>0.7196065074531175</v>
      </c>
      <c r="G14" s="248">
        <f>EXP(D14)</f>
        <v>0.6173597083788553</v>
      </c>
      <c r="H14" s="538">
        <f>EXP(E14)</f>
        <v>0.8387873690828793</v>
      </c>
      <c r="I14" s="329"/>
      <c r="J14" s="374">
        <f>1-F14</f>
        <v>0.2803934925468825</v>
      </c>
      <c r="K14" s="375">
        <f>1-G14</f>
        <v>0.38264029162114466</v>
      </c>
      <c r="L14" s="375">
        <f>1-H14</f>
        <v>0.16121263091712068</v>
      </c>
      <c r="M14" s="376"/>
      <c r="O14" s="8"/>
      <c r="P14" s="8"/>
      <c r="Q14" s="8"/>
      <c r="R14" s="8"/>
      <c r="S14" s="8"/>
      <c r="T14" s="8"/>
      <c r="U14" s="8"/>
      <c r="V14" s="8"/>
    </row>
    <row r="15" spans="1:22" s="11" customFormat="1" ht="12.75" hidden="1">
      <c r="A15" s="339"/>
      <c r="B15" s="32"/>
      <c r="C15" s="32"/>
      <c r="D15" s="32"/>
      <c r="E15" s="37"/>
      <c r="F15" s="435"/>
      <c r="G15" s="329"/>
      <c r="H15" s="370"/>
      <c r="I15" s="329"/>
      <c r="J15" s="370"/>
      <c r="K15" s="370"/>
      <c r="L15" s="370"/>
      <c r="M15" s="332"/>
      <c r="O15" s="8"/>
      <c r="P15" s="8"/>
      <c r="Q15" s="8"/>
      <c r="R15" s="8"/>
      <c r="S15" s="8"/>
      <c r="T15" s="8"/>
      <c r="U15" s="8"/>
      <c r="V15" s="8"/>
    </row>
    <row r="16" spans="1:13" s="16" customFormat="1" ht="12.75" hidden="1">
      <c r="A16" s="183"/>
      <c r="B16" s="38"/>
      <c r="C16" s="39"/>
      <c r="D16" s="40"/>
      <c r="E16" s="41"/>
      <c r="F16" s="436"/>
      <c r="G16" s="437"/>
      <c r="H16" s="377"/>
      <c r="I16" s="377"/>
      <c r="J16" s="378"/>
      <c r="K16" s="378"/>
      <c r="L16" s="379"/>
      <c r="M16" s="379"/>
    </row>
    <row r="17" spans="1:28" ht="18.75" hidden="1">
      <c r="A17" s="340" t="s">
        <v>32</v>
      </c>
      <c r="B17" s="44"/>
      <c r="C17" s="45"/>
      <c r="D17" s="46"/>
      <c r="E17" s="42"/>
      <c r="F17" s="377"/>
      <c r="G17" s="377"/>
      <c r="H17" s="377"/>
      <c r="I17" s="377"/>
      <c r="J17" s="378"/>
      <c r="K17" s="380"/>
      <c r="L17" s="332"/>
      <c r="M17" s="329"/>
      <c r="N17" s="48"/>
      <c r="O17" s="8"/>
      <c r="P17" s="8"/>
      <c r="Q17" s="49"/>
      <c r="R17" s="48"/>
      <c r="S17" s="50"/>
      <c r="T17" s="50"/>
      <c r="U17" s="50"/>
      <c r="V17" s="16"/>
      <c r="W17" s="16"/>
      <c r="X17" s="16"/>
      <c r="Y17" s="16"/>
      <c r="Z17" s="16"/>
      <c r="AA17" s="16"/>
      <c r="AB17" s="16"/>
    </row>
    <row r="18" spans="1:27" ht="12.75" hidden="1">
      <c r="A18" s="341" t="s">
        <v>13</v>
      </c>
      <c r="B18" s="51" t="s">
        <v>12</v>
      </c>
      <c r="C18" s="52"/>
      <c r="D18" s="53"/>
      <c r="E18" s="54"/>
      <c r="F18" s="377"/>
      <c r="G18" s="377"/>
      <c r="H18" s="377"/>
      <c r="I18" s="377"/>
      <c r="J18" s="378"/>
      <c r="K18" s="332"/>
      <c r="L18" s="332"/>
      <c r="M18" s="329"/>
      <c r="N18" s="8"/>
      <c r="O18" s="8"/>
      <c r="P18" s="49"/>
      <c r="Q18" s="48"/>
      <c r="R18" s="50"/>
      <c r="S18" s="50"/>
      <c r="T18" s="50"/>
      <c r="V18" s="16" t="s">
        <v>30</v>
      </c>
      <c r="W18" s="16"/>
      <c r="X18" s="16"/>
      <c r="Y18" s="16"/>
      <c r="Z18" s="16"/>
      <c r="AA18" s="16"/>
    </row>
    <row r="19" spans="1:29" ht="25.5" hidden="1">
      <c r="A19" s="342" t="s">
        <v>117</v>
      </c>
      <c r="B19" s="55" t="s">
        <v>9</v>
      </c>
      <c r="C19" s="56"/>
      <c r="D19" s="55" t="s">
        <v>118</v>
      </c>
      <c r="E19" s="55"/>
      <c r="F19" s="328" t="s">
        <v>7</v>
      </c>
      <c r="G19" s="328"/>
      <c r="H19" s="328" t="s">
        <v>8</v>
      </c>
      <c r="I19" s="419"/>
      <c r="J19" s="419"/>
      <c r="K19" s="419"/>
      <c r="L19" s="332"/>
      <c r="M19" s="378"/>
      <c r="O19" s="4"/>
      <c r="S19" s="16"/>
      <c r="U19" s="4"/>
      <c r="V19" s="4" t="s">
        <v>31</v>
      </c>
      <c r="X19" s="57"/>
      <c r="Y19" s="57"/>
      <c r="Z19" s="57"/>
      <c r="AA19" s="57"/>
      <c r="AB19" s="57"/>
      <c r="AC19" s="57"/>
    </row>
    <row r="20" spans="1:29" ht="38.25" customHeight="1" hidden="1">
      <c r="A20" s="343" t="s">
        <v>4</v>
      </c>
      <c r="B20" s="58" t="s">
        <v>28</v>
      </c>
      <c r="C20" s="59" t="s">
        <v>10</v>
      </c>
      <c r="D20" s="59" t="s">
        <v>9</v>
      </c>
      <c r="E20" s="285" t="s">
        <v>118</v>
      </c>
      <c r="F20" s="401" t="s">
        <v>7</v>
      </c>
      <c r="G20" s="401" t="s">
        <v>8</v>
      </c>
      <c r="H20" s="438" t="s">
        <v>146</v>
      </c>
      <c r="I20" s="439" t="s">
        <v>29</v>
      </c>
      <c r="J20" s="439" t="s">
        <v>145</v>
      </c>
      <c r="K20" s="401" t="s">
        <v>135</v>
      </c>
      <c r="L20" s="440"/>
      <c r="M20" s="381"/>
      <c r="N20" s="268" t="s">
        <v>15</v>
      </c>
      <c r="O20" s="269" t="s">
        <v>121</v>
      </c>
      <c r="P20" s="254"/>
      <c r="Q20" s="255"/>
      <c r="R20" s="280"/>
      <c r="S20" s="280"/>
      <c r="T20" s="281"/>
      <c r="V20" s="267"/>
      <c r="W20" s="268" t="s">
        <v>119</v>
      </c>
      <c r="X20" s="269" t="s">
        <v>153</v>
      </c>
      <c r="Y20" s="250"/>
      <c r="Z20" s="250"/>
      <c r="AA20" s="250" t="s">
        <v>150</v>
      </c>
      <c r="AB20" s="250"/>
      <c r="AC20" s="251"/>
    </row>
    <row r="21" spans="1:29" ht="12.75" customHeight="1" hidden="1">
      <c r="A21" s="344">
        <f>C7</f>
        <v>245</v>
      </c>
      <c r="B21" s="61">
        <f>E7</f>
        <v>2202</v>
      </c>
      <c r="C21" s="62">
        <f>A21/B21</f>
        <v>0.11126248864668484</v>
      </c>
      <c r="D21" s="63">
        <f>2*A21+H21^2</f>
        <v>493.84145882069413</v>
      </c>
      <c r="E21" s="63">
        <f>H21*SQRT((H21^2)+(4*A21*(1-C21)))</f>
        <v>57.97003007671832</v>
      </c>
      <c r="F21" s="441">
        <f>2*(B21+H21^2)</f>
        <v>4411.6829176413885</v>
      </c>
      <c r="G21" s="442" t="s">
        <v>11</v>
      </c>
      <c r="H21" s="443">
        <f>-NORMSINV(2.5/100)</f>
        <v>1.9599639845400538</v>
      </c>
      <c r="I21" s="444">
        <f>C21</f>
        <v>0.11126248864668484</v>
      </c>
      <c r="J21" s="445">
        <f>(D21-E21)/F21</f>
        <v>0.0987993554570792</v>
      </c>
      <c r="K21" s="446">
        <f>(D21+E21)/F21</f>
        <v>0.12507958962572646</v>
      </c>
      <c r="L21" s="440"/>
      <c r="M21" s="382">
        <f>E9/2</f>
        <v>2200.5</v>
      </c>
      <c r="N21" s="24" t="s">
        <v>16</v>
      </c>
      <c r="O21" s="8"/>
      <c r="P21" s="49"/>
      <c r="Q21" s="48"/>
      <c r="R21" s="50"/>
      <c r="S21" s="50"/>
      <c r="T21" s="257"/>
      <c r="V21" s="276">
        <f>ABS(C21-C22)</f>
        <v>0.04335324577805369</v>
      </c>
      <c r="W21" s="24" t="s">
        <v>154</v>
      </c>
      <c r="X21" s="8"/>
      <c r="Y21" s="24"/>
      <c r="Z21" s="24"/>
      <c r="AA21" s="24" t="s">
        <v>148</v>
      </c>
      <c r="AB21" s="24"/>
      <c r="AC21" s="263"/>
    </row>
    <row r="22" spans="1:29" ht="14.25" hidden="1">
      <c r="A22" s="344">
        <f>C8</f>
        <v>340</v>
      </c>
      <c r="B22" s="61">
        <f>E8</f>
        <v>2199</v>
      </c>
      <c r="C22" s="62">
        <f>A22/B22</f>
        <v>0.15461573442473853</v>
      </c>
      <c r="D22" s="63">
        <f>2*A22+H22^2</f>
        <v>683.8414588206941</v>
      </c>
      <c r="E22" s="63">
        <f>H22*SQRT((H22^2)+(4*A22*(1-C22)))</f>
        <v>66.56852734990044</v>
      </c>
      <c r="F22" s="441">
        <f>2*(B22+H22^2)</f>
        <v>4405.6829176413885</v>
      </c>
      <c r="G22" s="442" t="s">
        <v>11</v>
      </c>
      <c r="H22" s="443">
        <f>-NORMSINV(2.5/100)</f>
        <v>1.9599639845400538</v>
      </c>
      <c r="I22" s="444">
        <f>C22</f>
        <v>0.15461573442473853</v>
      </c>
      <c r="J22" s="445">
        <f>(D22-E22)/F22</f>
        <v>0.1401083425679792</v>
      </c>
      <c r="K22" s="446">
        <f>(D22+E22)/F22</f>
        <v>0.17032773356561293</v>
      </c>
      <c r="L22" s="440"/>
      <c r="M22" s="383">
        <f>I26</f>
        <v>0.04335324577805369</v>
      </c>
      <c r="N22" s="24" t="s">
        <v>17</v>
      </c>
      <c r="O22" s="24"/>
      <c r="P22" s="24"/>
      <c r="Q22" s="24"/>
      <c r="R22" s="24"/>
      <c r="S22" s="24"/>
      <c r="T22" s="252"/>
      <c r="V22" s="270">
        <f>SQRT((C23*(1-C23)/B21)+(C23*(1-C23)/B22))</f>
        <v>0.010234936670567043</v>
      </c>
      <c r="W22" s="64" t="s">
        <v>143</v>
      </c>
      <c r="X22" s="24"/>
      <c r="Y22" s="24"/>
      <c r="Z22" s="24"/>
      <c r="AA22" s="24"/>
      <c r="AB22" s="24"/>
      <c r="AC22" s="263"/>
    </row>
    <row r="23" spans="1:29" ht="12.75" hidden="1">
      <c r="A23" s="345">
        <f>A21+A22</f>
        <v>585</v>
      </c>
      <c r="B23" s="65">
        <f>B21+B22</f>
        <v>4401</v>
      </c>
      <c r="C23" s="66">
        <f>A23/B23</f>
        <v>0.1329243353783231</v>
      </c>
      <c r="D23" s="67"/>
      <c r="E23" s="67"/>
      <c r="F23" s="447"/>
      <c r="G23" s="369"/>
      <c r="H23" s="329"/>
      <c r="I23" s="448"/>
      <c r="J23" s="448"/>
      <c r="K23" s="448"/>
      <c r="L23" s="440"/>
      <c r="M23" s="384">
        <f>(A21+A22)/(B21+B22)</f>
        <v>0.1329243353783231</v>
      </c>
      <c r="N23" s="24" t="s">
        <v>6</v>
      </c>
      <c r="O23" s="8"/>
      <c r="P23" s="49"/>
      <c r="Q23" s="48"/>
      <c r="R23" s="50"/>
      <c r="S23" s="50"/>
      <c r="T23" s="263"/>
      <c r="V23" s="271">
        <f>V21/V22</f>
        <v>4.235809870981039</v>
      </c>
      <c r="W23" s="24" t="s">
        <v>48</v>
      </c>
      <c r="X23" s="8"/>
      <c r="Y23" s="24"/>
      <c r="Z23" s="24"/>
      <c r="AA23" s="24"/>
      <c r="AB23" s="24"/>
      <c r="AC23" s="263"/>
    </row>
    <row r="24" spans="1:29" ht="15" hidden="1">
      <c r="A24" s="346"/>
      <c r="B24" s="51" t="s">
        <v>14</v>
      </c>
      <c r="C24" s="55"/>
      <c r="D24" s="55"/>
      <c r="E24" s="54"/>
      <c r="F24" s="377"/>
      <c r="G24" s="377"/>
      <c r="H24" s="377"/>
      <c r="I24" s="377"/>
      <c r="J24" s="378"/>
      <c r="K24" s="328"/>
      <c r="L24" s="440"/>
      <c r="M24" s="385">
        <f>SQRT(M21*M22^2/(2*M23*(1-M23)))-H21</f>
        <v>2.2758468705571957</v>
      </c>
      <c r="N24" s="24" t="s">
        <v>155</v>
      </c>
      <c r="O24" s="24"/>
      <c r="P24" s="24"/>
      <c r="Q24" s="24"/>
      <c r="R24" s="24"/>
      <c r="S24" s="11"/>
      <c r="T24" s="257"/>
      <c r="V24" s="272">
        <f>NORMSDIST(-V23)</f>
        <v>1.1386470636972068E-05</v>
      </c>
      <c r="W24" s="47" t="s">
        <v>147</v>
      </c>
      <c r="X24" s="24"/>
      <c r="Y24" s="11"/>
      <c r="Z24" s="11"/>
      <c r="AA24" s="11"/>
      <c r="AB24" s="11"/>
      <c r="AC24" s="252"/>
    </row>
    <row r="25" spans="1:29" ht="13.5" hidden="1" thickBot="1">
      <c r="A25" s="346"/>
      <c r="B25" s="51" t="s">
        <v>120</v>
      </c>
      <c r="C25" s="52"/>
      <c r="D25" s="53"/>
      <c r="E25" s="54"/>
      <c r="F25" s="377"/>
      <c r="G25" s="328"/>
      <c r="H25" s="328"/>
      <c r="I25" s="386"/>
      <c r="J25" s="386"/>
      <c r="K25" s="386"/>
      <c r="L25" s="440"/>
      <c r="M25" s="387">
        <f>NORMSDIST(M24)</f>
        <v>0.9885724118375432</v>
      </c>
      <c r="N25" s="47" t="s">
        <v>18</v>
      </c>
      <c r="O25" s="68"/>
      <c r="P25" s="24"/>
      <c r="Q25" s="24"/>
      <c r="R25" s="24"/>
      <c r="S25" s="24"/>
      <c r="T25" s="263"/>
      <c r="V25" s="273">
        <f>1-V24</f>
        <v>0.9999886135293631</v>
      </c>
      <c r="W25" s="69" t="s">
        <v>149</v>
      </c>
      <c r="X25" s="68"/>
      <c r="Y25" s="11"/>
      <c r="Z25" s="11"/>
      <c r="AA25" s="11"/>
      <c r="AB25" s="11"/>
      <c r="AC25" s="252"/>
    </row>
    <row r="26" spans="1:29" ht="15" customHeight="1" hidden="1" thickBot="1">
      <c r="A26" s="347" t="s">
        <v>92</v>
      </c>
      <c r="B26" s="70"/>
      <c r="D26" s="52"/>
      <c r="E26" s="71" t="s">
        <v>61</v>
      </c>
      <c r="F26" s="328"/>
      <c r="G26" s="328"/>
      <c r="H26" s="388" t="s">
        <v>25</v>
      </c>
      <c r="I26" s="389">
        <f>C22-C21</f>
        <v>0.04335324577805369</v>
      </c>
      <c r="J26" s="390">
        <f>I26-SQRT((C22-J22)^2+(K21-C21)^2)</f>
        <v>0.023318857892455584</v>
      </c>
      <c r="K26" s="391">
        <f>I26+SQRT((C21-J21)^2+(K22-C22)^2)</f>
        <v>0.06340808574013485</v>
      </c>
      <c r="L26" s="369"/>
      <c r="M26" s="392">
        <f>1-M25</f>
        <v>0.011427588162456814</v>
      </c>
      <c r="N26" s="282" t="s">
        <v>151</v>
      </c>
      <c r="O26" s="258"/>
      <c r="P26" s="259"/>
      <c r="Q26" s="258"/>
      <c r="R26" s="258"/>
      <c r="S26" s="258"/>
      <c r="T26" s="262"/>
      <c r="V26" s="274"/>
      <c r="W26" s="253"/>
      <c r="X26" s="258"/>
      <c r="Y26" s="253"/>
      <c r="Z26" s="253"/>
      <c r="AA26" s="253"/>
      <c r="AB26" s="253"/>
      <c r="AC26" s="275"/>
    </row>
    <row r="27" spans="1:28" ht="13.5" hidden="1" thickBot="1">
      <c r="A27" s="184"/>
      <c r="C27" s="72"/>
      <c r="E27" s="73"/>
      <c r="F27" s="328"/>
      <c r="G27" s="328"/>
      <c r="H27" s="393" t="s">
        <v>26</v>
      </c>
      <c r="I27" s="394">
        <f>1/I26</f>
        <v>23.06632368703108</v>
      </c>
      <c r="J27" s="395">
        <f>1/J26</f>
        <v>42.88374690612669</v>
      </c>
      <c r="K27" s="396">
        <f>1/K26</f>
        <v>15.770859320659778</v>
      </c>
      <c r="L27" s="369"/>
      <c r="M27" s="328"/>
      <c r="N27" s="4"/>
      <c r="O27" s="4"/>
      <c r="T27" s="4"/>
      <c r="U27" s="4"/>
      <c r="V27" s="16"/>
      <c r="W27" s="16"/>
      <c r="X27" s="16"/>
      <c r="Y27" s="16"/>
      <c r="Z27" s="16"/>
      <c r="AA27" s="16"/>
      <c r="AB27" s="16"/>
    </row>
    <row r="28" spans="1:21" ht="14.25" hidden="1">
      <c r="A28" s="339"/>
      <c r="B28" s="74"/>
      <c r="C28" s="72"/>
      <c r="D28" s="75"/>
      <c r="F28" s="328"/>
      <c r="G28" s="328"/>
      <c r="H28" s="328"/>
      <c r="I28" s="397"/>
      <c r="J28" s="398"/>
      <c r="K28" s="398"/>
      <c r="L28" s="399"/>
      <c r="M28" s="381"/>
      <c r="N28" s="277"/>
      <c r="O28" s="277" t="s">
        <v>143</v>
      </c>
      <c r="P28" s="278">
        <f>SQRT((C23*(1-C23)/B21)+(C23*(1-C23)/B22))</f>
        <v>0.010234936670567043</v>
      </c>
      <c r="Q28" s="279"/>
      <c r="R28" s="279"/>
      <c r="S28" s="279"/>
      <c r="T28" s="251"/>
      <c r="U28" s="4"/>
    </row>
    <row r="29" spans="1:21" ht="31.5" hidden="1">
      <c r="A29" s="348"/>
      <c r="B29" s="36"/>
      <c r="C29" s="74"/>
      <c r="D29" s="75"/>
      <c r="E29" s="496"/>
      <c r="F29" s="497"/>
      <c r="G29" s="498" t="s">
        <v>83</v>
      </c>
      <c r="H29" s="402" t="s">
        <v>84</v>
      </c>
      <c r="I29" s="403">
        <f>I27</f>
        <v>23.06632368703108</v>
      </c>
      <c r="J29" s="403">
        <f>J27</f>
        <v>42.88374690612669</v>
      </c>
      <c r="K29" s="403">
        <f>K27</f>
        <v>15.770859320659778</v>
      </c>
      <c r="L29" s="328"/>
      <c r="M29" s="404" t="s">
        <v>139</v>
      </c>
      <c r="N29" s="265"/>
      <c r="O29" s="24" t="s">
        <v>137</v>
      </c>
      <c r="P29" s="24"/>
      <c r="Q29" s="49"/>
      <c r="R29" s="264" t="s">
        <v>141</v>
      </c>
      <c r="S29" s="24"/>
      <c r="T29" s="263"/>
      <c r="U29" s="4"/>
    </row>
    <row r="30" spans="1:20" s="11" customFormat="1" ht="14.25" hidden="1">
      <c r="A30" s="349"/>
      <c r="B30" s="75"/>
      <c r="C30" s="75"/>
      <c r="D30" s="77"/>
      <c r="E30" s="78"/>
      <c r="F30" s="449"/>
      <c r="G30" s="405"/>
      <c r="H30" s="490" t="s">
        <v>87</v>
      </c>
      <c r="I30" s="406">
        <f>(1-C22)*I27</f>
        <v>19.499907109682027</v>
      </c>
      <c r="J30" s="406">
        <f>(1-C22)*J27</f>
        <v>36.2532448833513</v>
      </c>
      <c r="K30" s="406">
        <f>(1-C22)*K27</f>
        <v>13.332436324286734</v>
      </c>
      <c r="L30" s="328"/>
      <c r="M30" s="407"/>
      <c r="N30" s="256" t="s">
        <v>140</v>
      </c>
      <c r="P30" s="266" t="s">
        <v>136</v>
      </c>
      <c r="Q30" s="256" t="s">
        <v>144</v>
      </c>
      <c r="R30" s="24"/>
      <c r="S30" s="24"/>
      <c r="T30" s="252"/>
    </row>
    <row r="31" spans="1:20" s="11" customFormat="1" ht="14.25" hidden="1">
      <c r="A31" s="339"/>
      <c r="B31" s="74"/>
      <c r="C31" s="74"/>
      <c r="D31" s="74"/>
      <c r="E31" s="79"/>
      <c r="F31" s="408"/>
      <c r="G31" s="408"/>
      <c r="H31" s="491" t="s">
        <v>90</v>
      </c>
      <c r="I31" s="409">
        <f>I27*I26</f>
        <v>1</v>
      </c>
      <c r="J31" s="409">
        <f>J27*J26</f>
        <v>1</v>
      </c>
      <c r="K31" s="409">
        <f>K27*K26</f>
        <v>1</v>
      </c>
      <c r="L31" s="332"/>
      <c r="M31" s="385">
        <f>ABS((I26/P28))-H21</f>
        <v>2.275845886440985</v>
      </c>
      <c r="N31" s="256" t="s">
        <v>142</v>
      </c>
      <c r="O31" s="24"/>
      <c r="P31" s="24"/>
      <c r="Q31" s="48"/>
      <c r="R31" s="50"/>
      <c r="S31" s="50"/>
      <c r="T31" s="257"/>
    </row>
    <row r="32" spans="1:20" s="11" customFormat="1" ht="12.75" hidden="1">
      <c r="A32" s="350"/>
      <c r="B32" s="81"/>
      <c r="D32" s="34"/>
      <c r="F32" s="450"/>
      <c r="G32" s="410"/>
      <c r="H32" s="492" t="s">
        <v>91</v>
      </c>
      <c r="I32" s="411">
        <f>(C22-I26)*I27</f>
        <v>2.5664165773490533</v>
      </c>
      <c r="J32" s="411">
        <f>(C22-J26)*J27</f>
        <v>5.630502022775387</v>
      </c>
      <c r="K32" s="411">
        <f>(C22-K26)*K27</f>
        <v>1.4384229963730444</v>
      </c>
      <c r="L32" s="332"/>
      <c r="M32" s="387">
        <f>NORMSDIST(M31)</f>
        <v>0.988572382376551</v>
      </c>
      <c r="N32" s="64" t="s">
        <v>138</v>
      </c>
      <c r="O32" s="68"/>
      <c r="P32" s="24"/>
      <c r="Q32" s="24"/>
      <c r="R32" s="24"/>
      <c r="S32" s="24"/>
      <c r="T32" s="252"/>
    </row>
    <row r="33" spans="1:20" s="11" customFormat="1" ht="12.75" hidden="1">
      <c r="A33" s="350"/>
      <c r="F33" s="412"/>
      <c r="G33" s="412"/>
      <c r="H33" s="412"/>
      <c r="I33" s="398"/>
      <c r="J33" s="398"/>
      <c r="K33" s="398"/>
      <c r="L33" s="332"/>
      <c r="M33" s="392">
        <f>1-M32</f>
        <v>0.011427617623449016</v>
      </c>
      <c r="N33" s="258" t="s">
        <v>152</v>
      </c>
      <c r="O33" s="258"/>
      <c r="P33" s="259"/>
      <c r="Q33" s="260"/>
      <c r="R33" s="261"/>
      <c r="S33" s="261"/>
      <c r="T33" s="262"/>
    </row>
    <row r="34" spans="1:21" s="11" customFormat="1" ht="31.5" hidden="1">
      <c r="A34" s="339"/>
      <c r="E34" s="499"/>
      <c r="F34" s="500"/>
      <c r="G34" s="498" t="s">
        <v>85</v>
      </c>
      <c r="H34" s="402" t="s">
        <v>86</v>
      </c>
      <c r="I34" s="403">
        <f>ABS(I27)</f>
        <v>23.06632368703108</v>
      </c>
      <c r="J34" s="403">
        <f>ABS(K27)</f>
        <v>15.770859320659778</v>
      </c>
      <c r="K34" s="403">
        <f>ABS(J27)</f>
        <v>42.88374690612669</v>
      </c>
      <c r="L34" s="332"/>
      <c r="M34" s="369"/>
      <c r="N34" s="24"/>
      <c r="O34" s="24"/>
      <c r="P34" s="24"/>
      <c r="Q34" s="24"/>
      <c r="R34" s="24"/>
      <c r="S34" s="24"/>
      <c r="T34" s="24"/>
      <c r="U34" s="24"/>
    </row>
    <row r="35" spans="1:21" s="11" customFormat="1" ht="13.5" customHeight="1" hidden="1">
      <c r="A35" s="339"/>
      <c r="F35" s="451"/>
      <c r="G35" s="413"/>
      <c r="H35" s="493" t="s">
        <v>87</v>
      </c>
      <c r="I35" s="406">
        <f>ABS((1-(C22-I26))*I27)</f>
        <v>20.499907109682027</v>
      </c>
      <c r="J35" s="406">
        <f>ABS((1-(C22-K26))*K27)</f>
        <v>14.332436324286734</v>
      </c>
      <c r="K35" s="406">
        <f>ABS((1-(C22-J26))*J27)</f>
        <v>37.2532448833513</v>
      </c>
      <c r="L35" s="332"/>
      <c r="M35" s="369"/>
      <c r="N35" s="24"/>
      <c r="O35" s="24"/>
      <c r="P35" s="24"/>
      <c r="Q35" s="24"/>
      <c r="R35" s="24"/>
      <c r="S35" s="24"/>
      <c r="T35" s="24"/>
      <c r="U35" s="24"/>
    </row>
    <row r="36" spans="1:21" s="11" customFormat="1" ht="12.75" hidden="1">
      <c r="A36" s="339"/>
      <c r="E36" s="87"/>
      <c r="F36" s="452"/>
      <c r="G36" s="414"/>
      <c r="H36" s="494" t="s">
        <v>88</v>
      </c>
      <c r="I36" s="415">
        <f>I27*I26</f>
        <v>1</v>
      </c>
      <c r="J36" s="416">
        <f>K27*K26</f>
        <v>1</v>
      </c>
      <c r="K36" s="416">
        <f>J27*J26</f>
        <v>1</v>
      </c>
      <c r="L36" s="332"/>
      <c r="M36" s="369"/>
      <c r="N36" s="24"/>
      <c r="O36" s="24"/>
      <c r="P36" s="24"/>
      <c r="Q36" s="24"/>
      <c r="R36" s="24"/>
      <c r="S36" s="24"/>
      <c r="T36" s="24"/>
      <c r="U36" s="24"/>
    </row>
    <row r="37" spans="1:21" ht="15.75" hidden="1">
      <c r="A37" s="351" t="s">
        <v>161</v>
      </c>
      <c r="B37" s="88"/>
      <c r="C37" s="88"/>
      <c r="D37" s="88"/>
      <c r="E37" s="82"/>
      <c r="F37" s="453"/>
      <c r="G37" s="417"/>
      <c r="H37" s="495" t="s">
        <v>89</v>
      </c>
      <c r="I37" s="411">
        <f>ABS(C22*I27)</f>
        <v>3.566416577349053</v>
      </c>
      <c r="J37" s="411">
        <f>ABS(C22*K27)</f>
        <v>2.4384229963730446</v>
      </c>
      <c r="K37" s="411">
        <f>ABS(C22*J27)</f>
        <v>6.630502022775387</v>
      </c>
      <c r="L37" s="328"/>
      <c r="M37" s="369"/>
      <c r="N37" s="24"/>
      <c r="O37" s="24"/>
      <c r="P37" s="24"/>
      <c r="Q37" s="24"/>
      <c r="R37" s="24"/>
      <c r="S37" s="24"/>
      <c r="T37" s="24"/>
      <c r="U37" s="24"/>
    </row>
    <row r="38" spans="1:17" s="16" customFormat="1" ht="12.75" hidden="1">
      <c r="A38" s="184"/>
      <c r="B38" s="89" t="s">
        <v>22</v>
      </c>
      <c r="C38" s="90" t="s">
        <v>23</v>
      </c>
      <c r="D38" s="24"/>
      <c r="E38" s="82"/>
      <c r="F38" s="412"/>
      <c r="G38" s="418"/>
      <c r="H38" s="419"/>
      <c r="I38" s="420"/>
      <c r="J38" s="420"/>
      <c r="K38" s="420"/>
      <c r="L38" s="378"/>
      <c r="M38" s="332"/>
      <c r="N38" s="11"/>
      <c r="O38" s="11"/>
      <c r="P38" s="11"/>
      <c r="Q38" s="11"/>
    </row>
    <row r="39" spans="1:21" ht="12.75" hidden="1">
      <c r="A39" s="352" t="s">
        <v>36</v>
      </c>
      <c r="B39" s="94" t="s">
        <v>3</v>
      </c>
      <c r="C39" s="95" t="s">
        <v>2</v>
      </c>
      <c r="D39" s="96" t="s">
        <v>24</v>
      </c>
      <c r="F39" s="328"/>
      <c r="G39" s="328"/>
      <c r="H39" s="328"/>
      <c r="I39" s="328"/>
      <c r="J39" s="328"/>
      <c r="K39" s="328"/>
      <c r="L39" s="328"/>
      <c r="M39" s="332"/>
      <c r="N39" s="11"/>
      <c r="O39" s="11"/>
      <c r="P39" s="11"/>
      <c r="Q39" s="11"/>
      <c r="T39" s="4"/>
      <c r="U39" s="4"/>
    </row>
    <row r="40" spans="1:21" ht="12.75" hidden="1">
      <c r="A40" s="353" t="s">
        <v>19</v>
      </c>
      <c r="B40" s="97">
        <f>E7*C9/E9</f>
        <v>292.6993865030675</v>
      </c>
      <c r="C40" s="97">
        <f>E7*D9/E9</f>
        <v>1909.3006134969326</v>
      </c>
      <c r="D40" s="97">
        <f>E7</f>
        <v>2202</v>
      </c>
      <c r="F40" s="454"/>
      <c r="G40" s="503" t="s">
        <v>34</v>
      </c>
      <c r="H40" s="421">
        <f>CHIINV(0.05,J41)</f>
        <v>3.8414588206941236</v>
      </c>
      <c r="I40" s="328"/>
      <c r="J40" s="328"/>
      <c r="K40" s="328"/>
      <c r="L40" s="328"/>
      <c r="M40" s="332"/>
      <c r="N40" s="83"/>
      <c r="O40" s="83"/>
      <c r="P40" s="83"/>
      <c r="Q40" s="11"/>
      <c r="T40" s="4"/>
      <c r="U40" s="4"/>
    </row>
    <row r="41" spans="1:21" ht="12.75" hidden="1">
      <c r="A41" s="354" t="s">
        <v>20</v>
      </c>
      <c r="B41" s="97">
        <f>E8*C9/E9</f>
        <v>292.3006134969325</v>
      </c>
      <c r="C41" s="97">
        <f>E8*D9/E9</f>
        <v>1906.6993865030674</v>
      </c>
      <c r="D41" s="97">
        <f>E8</f>
        <v>2199</v>
      </c>
      <c r="E41" s="16"/>
      <c r="F41" s="455"/>
      <c r="G41" s="455"/>
      <c r="H41" s="400"/>
      <c r="I41" s="502" t="s">
        <v>35</v>
      </c>
      <c r="J41" s="456">
        <f>(COUNT(B40:C40)-1)*(COUNT(B40:B41)-1)</f>
        <v>1</v>
      </c>
      <c r="K41" s="328"/>
      <c r="L41" s="328"/>
      <c r="M41" s="328"/>
      <c r="N41" s="83"/>
      <c r="O41" s="83"/>
      <c r="P41" s="83"/>
      <c r="Q41" s="11"/>
      <c r="T41" s="4"/>
      <c r="U41" s="4"/>
    </row>
    <row r="42" spans="1:21" ht="12.75" hidden="1">
      <c r="A42" s="346" t="s">
        <v>33</v>
      </c>
      <c r="B42" s="97">
        <f>SUM(B40:B41)</f>
        <v>585</v>
      </c>
      <c r="C42" s="97">
        <f>SUM(C40:C41)</f>
        <v>3816</v>
      </c>
      <c r="D42" s="98">
        <f>SUM(D40:D41)</f>
        <v>4401</v>
      </c>
      <c r="E42" s="16"/>
      <c r="F42" s="378"/>
      <c r="G42" s="501" t="s">
        <v>37</v>
      </c>
      <c r="H42" s="356" t="s">
        <v>38</v>
      </c>
      <c r="I42" s="328"/>
      <c r="J42" s="328"/>
      <c r="K42" s="328"/>
      <c r="L42" s="328"/>
      <c r="M42" s="328"/>
      <c r="N42" s="83"/>
      <c r="O42" s="84"/>
      <c r="P42" s="83"/>
      <c r="Q42" s="11"/>
      <c r="T42" s="4"/>
      <c r="U42" s="4"/>
    </row>
    <row r="43" spans="1:21" ht="12.75" hidden="1">
      <c r="A43" s="346"/>
      <c r="B43" s="99"/>
      <c r="C43" s="99"/>
      <c r="D43" s="100"/>
      <c r="E43" s="16"/>
      <c r="F43" s="378"/>
      <c r="G43" s="501" t="s">
        <v>39</v>
      </c>
      <c r="H43" s="356" t="s">
        <v>40</v>
      </c>
      <c r="I43" s="328"/>
      <c r="J43" s="328"/>
      <c r="K43" s="328"/>
      <c r="L43" s="328"/>
      <c r="M43" s="328"/>
      <c r="N43" s="85"/>
      <c r="O43" s="85"/>
      <c r="P43" s="85"/>
      <c r="Q43" s="11"/>
      <c r="T43" s="4"/>
      <c r="U43" s="4"/>
    </row>
    <row r="44" spans="1:21" ht="26.25" customHeight="1" hidden="1">
      <c r="A44" s="355"/>
      <c r="B44" s="622" t="s">
        <v>160</v>
      </c>
      <c r="C44" s="623"/>
      <c r="F44" s="328"/>
      <c r="G44" s="397"/>
      <c r="H44" s="328"/>
      <c r="I44" s="328"/>
      <c r="J44" s="328"/>
      <c r="K44" s="328"/>
      <c r="L44" s="328"/>
      <c r="M44" s="328"/>
      <c r="N44" s="4"/>
      <c r="O44" s="4"/>
      <c r="T44" s="4"/>
      <c r="U44" s="4"/>
    </row>
    <row r="45" spans="1:21" ht="12.75" hidden="1">
      <c r="A45" s="355"/>
      <c r="B45" s="101">
        <f>(C7-B40)^2/B40</f>
        <v>7.773270384853279</v>
      </c>
      <c r="C45" s="101">
        <f>(D7-C40)^2/C40</f>
        <v>1.1916570165459008</v>
      </c>
      <c r="E45" s="93"/>
      <c r="F45" s="457"/>
      <c r="G45" s="328"/>
      <c r="H45" s="328"/>
      <c r="I45" s="332"/>
      <c r="J45" s="332"/>
      <c r="K45" s="422"/>
      <c r="L45" s="328"/>
      <c r="M45" s="328"/>
      <c r="N45" s="4"/>
      <c r="O45" s="4"/>
      <c r="T45" s="4"/>
      <c r="U45" s="4"/>
    </row>
    <row r="46" spans="1:21" ht="12.75" hidden="1">
      <c r="A46" s="355"/>
      <c r="B46" s="101">
        <f>(C8-B41)^2/B41</f>
        <v>7.783875119348305</v>
      </c>
      <c r="C46" s="101">
        <f>(D8-C41)^2/C41</f>
        <v>1.193282742352921</v>
      </c>
      <c r="D46" s="20"/>
      <c r="E46" s="102" t="s">
        <v>41</v>
      </c>
      <c r="F46" s="458">
        <f>B48-H40</f>
        <v>14.100626442406282</v>
      </c>
      <c r="G46" s="328"/>
      <c r="H46" s="328"/>
      <c r="I46" s="332"/>
      <c r="J46" s="332"/>
      <c r="K46" s="328"/>
      <c r="L46" s="328"/>
      <c r="M46" s="328"/>
      <c r="N46" s="4"/>
      <c r="O46" s="4"/>
      <c r="T46" s="4"/>
      <c r="U46" s="4"/>
    </row>
    <row r="47" spans="1:21" ht="12.75" hidden="1">
      <c r="A47" s="356" t="s">
        <v>43</v>
      </c>
      <c r="C47" s="103"/>
      <c r="F47" s="187" t="s">
        <v>44</v>
      </c>
      <c r="G47" s="328"/>
      <c r="H47" s="328"/>
      <c r="I47" s="332"/>
      <c r="J47" s="332"/>
      <c r="K47" s="328"/>
      <c r="L47" s="328"/>
      <c r="M47" s="328"/>
      <c r="N47" s="4"/>
      <c r="O47" s="4"/>
      <c r="T47" s="4"/>
      <c r="U47" s="4"/>
    </row>
    <row r="48" spans="1:21" ht="13.5" customHeight="1" hidden="1">
      <c r="A48" s="357" t="s">
        <v>42</v>
      </c>
      <c r="B48" s="283">
        <f>SUM(B45:C46)</f>
        <v>17.942085263100406</v>
      </c>
      <c r="C48" s="24"/>
      <c r="F48" s="187" t="s">
        <v>45</v>
      </c>
      <c r="G48" s="328"/>
      <c r="H48" s="459"/>
      <c r="I48" s="332"/>
      <c r="J48" s="332"/>
      <c r="K48" s="423"/>
      <c r="L48" s="328"/>
      <c r="M48" s="328"/>
      <c r="N48" s="4"/>
      <c r="O48" s="4"/>
      <c r="T48" s="4"/>
      <c r="U48" s="4"/>
    </row>
    <row r="49" spans="1:21" ht="12.75" hidden="1">
      <c r="A49" s="358" t="s">
        <v>122</v>
      </c>
      <c r="B49" s="284">
        <f>CHIDIST(B48,1)</f>
        <v>2.2772941273944135E-05</v>
      </c>
      <c r="D49" s="24"/>
      <c r="E49" s="24"/>
      <c r="F49" s="369"/>
      <c r="G49" s="460"/>
      <c r="H49" s="369"/>
      <c r="I49" s="332"/>
      <c r="J49" s="332"/>
      <c r="K49" s="369"/>
      <c r="L49" s="328"/>
      <c r="M49" s="328"/>
      <c r="N49" s="4"/>
      <c r="O49" s="4"/>
      <c r="T49" s="4"/>
      <c r="U49" s="4"/>
    </row>
    <row r="50" spans="1:13" s="11" customFormat="1" ht="12.75" hidden="1">
      <c r="A50" s="339"/>
      <c r="D50" s="104"/>
      <c r="E50" s="104"/>
      <c r="F50" s="332"/>
      <c r="G50" s="332"/>
      <c r="H50" s="424"/>
      <c r="I50" s="332"/>
      <c r="J50" s="332"/>
      <c r="K50" s="332"/>
      <c r="L50" s="332"/>
      <c r="M50" s="332"/>
    </row>
    <row r="51" spans="1:21" ht="12.75" hidden="1">
      <c r="A51" s="184"/>
      <c r="F51" s="328"/>
      <c r="G51" s="328"/>
      <c r="H51" s="328"/>
      <c r="I51" s="332"/>
      <c r="J51" s="332"/>
      <c r="K51" s="328"/>
      <c r="L51" s="328"/>
      <c r="M51" s="328"/>
      <c r="N51" s="4"/>
      <c r="O51" s="4"/>
      <c r="T51" s="4"/>
      <c r="U51" s="4"/>
    </row>
    <row r="52" spans="1:21" ht="13.5" hidden="1" thickBot="1">
      <c r="A52" s="184"/>
      <c r="F52" s="397"/>
      <c r="G52" s="328"/>
      <c r="H52" s="328"/>
      <c r="I52" s="332"/>
      <c r="J52" s="332"/>
      <c r="K52" s="328"/>
      <c r="L52" s="328"/>
      <c r="M52" s="328"/>
      <c r="N52" s="4"/>
      <c r="O52" s="4"/>
      <c r="T52" s="4"/>
      <c r="U52" s="4"/>
    </row>
    <row r="53" spans="1:21" ht="13.5" hidden="1" thickBot="1">
      <c r="A53" s="359" t="s">
        <v>125</v>
      </c>
      <c r="B53" s="105"/>
      <c r="C53" s="105"/>
      <c r="D53" s="106" t="s">
        <v>74</v>
      </c>
      <c r="E53" s="106" t="s">
        <v>75</v>
      </c>
      <c r="F53" s="425" t="s">
        <v>76</v>
      </c>
      <c r="G53" s="426"/>
      <c r="H53" s="328"/>
      <c r="I53" s="332"/>
      <c r="J53" s="332"/>
      <c r="K53" s="328"/>
      <c r="L53" s="328"/>
      <c r="M53" s="328"/>
      <c r="N53" s="4"/>
      <c r="O53" s="4"/>
      <c r="T53" s="4"/>
      <c r="U53" s="4"/>
    </row>
    <row r="54" spans="1:21" ht="12.75" hidden="1">
      <c r="A54" s="360" t="s">
        <v>64</v>
      </c>
      <c r="B54" s="107">
        <f>ROUND(E7,0)</f>
        <v>2202</v>
      </c>
      <c r="C54" s="107">
        <f>ROUND(E8,0)</f>
        <v>2199</v>
      </c>
      <c r="D54" s="108">
        <f>ROUND(F14,2)</f>
        <v>0.72</v>
      </c>
      <c r="E54" s="109">
        <f>ROUND(I26,4)</f>
        <v>0.0434</v>
      </c>
      <c r="F54" s="427">
        <f>ROUND(I27,0)</f>
        <v>23</v>
      </c>
      <c r="G54" s="428"/>
      <c r="H54" s="328"/>
      <c r="I54" s="332"/>
      <c r="J54" s="332"/>
      <c r="K54" s="328"/>
      <c r="L54" s="328"/>
      <c r="M54" s="328"/>
      <c r="N54" s="4"/>
      <c r="O54" s="4"/>
      <c r="T54" s="4"/>
      <c r="U54" s="4"/>
    </row>
    <row r="55" spans="1:21" ht="12.75" hidden="1">
      <c r="A55" s="361" t="s">
        <v>66</v>
      </c>
      <c r="B55" s="107">
        <f>ROUND(C7,0)</f>
        <v>245</v>
      </c>
      <c r="C55" s="107">
        <f>ROUND(C8,0)</f>
        <v>340</v>
      </c>
      <c r="D55" s="108">
        <f>ROUND(G14,2)</f>
        <v>0.62</v>
      </c>
      <c r="E55" s="109">
        <f>ROUND(K26,4)</f>
        <v>0.0634</v>
      </c>
      <c r="F55" s="427">
        <f>ROUND(J27,0)</f>
        <v>43</v>
      </c>
      <c r="G55" s="428"/>
      <c r="H55" s="328"/>
      <c r="I55" s="332"/>
      <c r="J55" s="332"/>
      <c r="K55" s="328"/>
      <c r="L55" s="328"/>
      <c r="M55" s="328"/>
      <c r="N55" s="4"/>
      <c r="O55" s="4"/>
      <c r="T55" s="4"/>
      <c r="U55" s="4"/>
    </row>
    <row r="56" spans="1:13" s="16" customFormat="1" ht="12.75" hidden="1">
      <c r="A56" s="361" t="s">
        <v>65</v>
      </c>
      <c r="B56" s="109">
        <f>ROUND(C21,4)</f>
        <v>0.1113</v>
      </c>
      <c r="C56" s="109">
        <f>ROUND(C22,4)</f>
        <v>0.1546</v>
      </c>
      <c r="D56" s="108">
        <f>ROUND(H14,2)</f>
        <v>0.84</v>
      </c>
      <c r="E56" s="109">
        <f>ROUND(J26,4)</f>
        <v>0.0233</v>
      </c>
      <c r="F56" s="427">
        <f>ROUND(K27,0)</f>
        <v>16</v>
      </c>
      <c r="G56" s="429">
        <f>ROUND(M32,4)</f>
        <v>0.9886</v>
      </c>
      <c r="H56" s="378"/>
      <c r="I56" s="332"/>
      <c r="J56" s="332"/>
      <c r="K56" s="378"/>
      <c r="L56" s="378"/>
      <c r="M56" s="378"/>
    </row>
    <row r="57" spans="1:13" ht="12.75" hidden="1">
      <c r="A57" s="361" t="s">
        <v>67</v>
      </c>
      <c r="B57" s="110" t="s">
        <v>94</v>
      </c>
      <c r="C57" s="110" t="s">
        <v>95</v>
      </c>
      <c r="D57" s="110" t="s">
        <v>5</v>
      </c>
      <c r="E57" s="110" t="s">
        <v>77</v>
      </c>
      <c r="F57" s="430" t="s">
        <v>72</v>
      </c>
      <c r="G57" s="431" t="s">
        <v>78</v>
      </c>
      <c r="H57" s="328"/>
      <c r="I57" s="332"/>
      <c r="J57" s="332"/>
      <c r="K57" s="328"/>
      <c r="L57" s="328"/>
      <c r="M57" s="328"/>
    </row>
    <row r="58" spans="1:21" ht="12.75" hidden="1">
      <c r="A58" s="362" t="s">
        <v>21</v>
      </c>
      <c r="B58" s="111" t="str">
        <f>CONCATENATE(B55,A59,B54," ",A54,B56*100,A57,A56)</f>
        <v>245/2202 (11,13%)</v>
      </c>
      <c r="C58" s="111" t="str">
        <f>CONCATENATE(C55,A59,C54," ",A54,C56*100,A57,A56)</f>
        <v>340/2199 (15,46%)</v>
      </c>
      <c r="D58" s="111" t="str">
        <f>CONCATENATE(D54," ",A54,D55,A55,D56,A56)</f>
        <v>0,72 (0,62-0,84)</v>
      </c>
      <c r="E58" s="111" t="str">
        <f>CONCATENATE(E54*100,A57," ",A54,E55*100,A57," ",A58," ",E56*100,A57,A56)</f>
        <v>4,34% (6,34% a 2,33%)</v>
      </c>
      <c r="F58" s="432" t="str">
        <f>CONCATENATE(F54," ",A54,F56," ",A58," ",F55,A56)</f>
        <v>23 (16 a 43)</v>
      </c>
      <c r="G58" s="431" t="str">
        <f>CONCATENATE(G56*100,A57)</f>
        <v>98,86%</v>
      </c>
      <c r="H58" s="328"/>
      <c r="I58" s="332"/>
      <c r="J58" s="332"/>
      <c r="K58" s="328"/>
      <c r="L58" s="328"/>
      <c r="M58" s="328"/>
      <c r="N58" s="4"/>
      <c r="O58" s="4"/>
      <c r="T58" s="4"/>
      <c r="U58" s="4"/>
    </row>
    <row r="59" spans="1:21" ht="13.5" hidden="1" thickBot="1">
      <c r="A59" s="363" t="s">
        <v>73</v>
      </c>
      <c r="B59" s="112"/>
      <c r="C59" s="112"/>
      <c r="D59" s="112"/>
      <c r="E59" s="112"/>
      <c r="F59" s="433"/>
      <c r="G59" s="434"/>
      <c r="H59" s="328"/>
      <c r="I59" s="332"/>
      <c r="J59" s="332"/>
      <c r="K59" s="328"/>
      <c r="L59" s="328"/>
      <c r="M59" s="328"/>
      <c r="N59" s="4"/>
      <c r="O59" s="4"/>
      <c r="T59" s="4"/>
      <c r="U59" s="4"/>
    </row>
    <row r="60" spans="1:21" ht="12.75">
      <c r="A60" s="590"/>
      <c r="F60" s="328"/>
      <c r="G60" s="328"/>
      <c r="H60" s="328"/>
      <c r="I60" s="328"/>
      <c r="J60" s="328"/>
      <c r="K60" s="332"/>
      <c r="L60" s="328"/>
      <c r="M60" s="328"/>
      <c r="N60" s="4"/>
      <c r="O60" s="4"/>
      <c r="T60" s="4"/>
      <c r="U60" s="4"/>
    </row>
    <row r="61" spans="1:21" ht="27" customHeight="1">
      <c r="A61" s="184"/>
      <c r="B61" s="325" t="s">
        <v>94</v>
      </c>
      <c r="C61" s="325" t="s">
        <v>95</v>
      </c>
      <c r="D61" s="326" t="s">
        <v>68</v>
      </c>
      <c r="E61" s="326" t="s">
        <v>62</v>
      </c>
      <c r="F61" s="326" t="s">
        <v>63</v>
      </c>
      <c r="G61" s="326" t="s">
        <v>79</v>
      </c>
      <c r="H61" s="327"/>
      <c r="I61" s="326" t="s">
        <v>123</v>
      </c>
      <c r="K61" s="113"/>
      <c r="N61" s="4"/>
      <c r="O61" s="4"/>
      <c r="T61" s="4"/>
      <c r="U61" s="4"/>
    </row>
    <row r="62" spans="1:21" ht="21" customHeight="1">
      <c r="A62" s="184"/>
      <c r="B62" s="465" t="str">
        <f aca="true" t="shared" si="0" ref="B62:G62">B58</f>
        <v>245/2202 (11,13%)</v>
      </c>
      <c r="C62" s="465" t="str">
        <f t="shared" si="0"/>
        <v>340/2199 (15,46%)</v>
      </c>
      <c r="D62" s="465" t="str">
        <f t="shared" si="0"/>
        <v>0,72 (0,62-0,84)</v>
      </c>
      <c r="E62" s="465" t="str">
        <f t="shared" si="0"/>
        <v>4,34% (6,34% a 2,33%)</v>
      </c>
      <c r="F62" s="465" t="str">
        <f t="shared" si="0"/>
        <v>23 (16 a 43)</v>
      </c>
      <c r="G62" s="465" t="str">
        <f t="shared" si="0"/>
        <v>98,86%</v>
      </c>
      <c r="H62" s="466"/>
      <c r="I62" s="467">
        <f>B49</f>
        <v>2.2772941273944135E-05</v>
      </c>
      <c r="K62" s="115"/>
      <c r="N62" s="4"/>
      <c r="O62" s="4"/>
      <c r="T62" s="4"/>
      <c r="U62" s="4"/>
    </row>
    <row r="63" spans="1:14" ht="13.5" thickBot="1">
      <c r="A63" s="184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334"/>
    </row>
    <row r="64" spans="1:14" ht="28.5" customHeight="1" thickBot="1">
      <c r="A64" s="539" t="s">
        <v>413</v>
      </c>
      <c r="B64" s="231"/>
      <c r="C64" s="231"/>
      <c r="D64" s="231"/>
      <c r="E64" s="231"/>
      <c r="F64" s="231"/>
      <c r="G64" s="540"/>
      <c r="H64" s="468"/>
      <c r="I64" s="469"/>
      <c r="J64" s="187"/>
      <c r="K64" s="187"/>
      <c r="L64" s="187"/>
      <c r="M64" s="187"/>
      <c r="N64" s="334"/>
    </row>
    <row r="65" spans="1:14" ht="51" customHeight="1" thickBot="1">
      <c r="A65" s="512" t="s">
        <v>332</v>
      </c>
      <c r="B65" s="532" t="s">
        <v>435</v>
      </c>
      <c r="C65" s="532" t="s">
        <v>432</v>
      </c>
      <c r="D65" s="532" t="s">
        <v>68</v>
      </c>
      <c r="E65" s="532" t="s">
        <v>334</v>
      </c>
      <c r="F65" s="532" t="s">
        <v>333</v>
      </c>
      <c r="G65" s="532" t="s">
        <v>79</v>
      </c>
      <c r="H65" s="468"/>
      <c r="I65" s="469"/>
      <c r="J65" s="365"/>
      <c r="K65" s="365"/>
      <c r="L65" s="365"/>
      <c r="M65" s="365"/>
      <c r="N65" s="324"/>
    </row>
    <row r="66" spans="1:14" ht="9" customHeight="1" thickBot="1">
      <c r="A66" s="504"/>
      <c r="B66" s="504"/>
      <c r="C66" s="504"/>
      <c r="D66" s="504"/>
      <c r="E66" s="504"/>
      <c r="F66" s="504"/>
      <c r="G66" s="504"/>
      <c r="H66" s="468"/>
      <c r="I66" s="469"/>
      <c r="J66" s="365"/>
      <c r="K66" s="365"/>
      <c r="L66" s="365"/>
      <c r="M66" s="365"/>
      <c r="N66" s="324"/>
    </row>
    <row r="67" spans="1:21" s="506" customFormat="1" ht="41.25" customHeight="1" thickBot="1">
      <c r="A67" s="512" t="s">
        <v>422</v>
      </c>
      <c r="B67" s="527" t="s">
        <v>182</v>
      </c>
      <c r="C67" s="527" t="s">
        <v>190</v>
      </c>
      <c r="D67" s="527" t="s">
        <v>191</v>
      </c>
      <c r="E67" s="527" t="s">
        <v>192</v>
      </c>
      <c r="F67" s="528" t="s">
        <v>193</v>
      </c>
      <c r="G67" s="529">
        <v>0.9886</v>
      </c>
      <c r="H67" s="505"/>
      <c r="I67" s="469"/>
      <c r="J67" s="187"/>
      <c r="K67" s="187"/>
      <c r="L67" s="187"/>
      <c r="M67" s="187"/>
      <c r="N67" s="334"/>
      <c r="O67" s="489"/>
      <c r="T67" s="489"/>
      <c r="U67" s="489"/>
    </row>
    <row r="68" spans="1:21" s="506" customFormat="1" ht="15.75" customHeight="1" thickBot="1">
      <c r="A68" s="515"/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334"/>
      <c r="O68" s="489"/>
      <c r="T68" s="489"/>
      <c r="U68" s="489"/>
    </row>
    <row r="69" spans="1:21" s="506" customFormat="1" ht="26.25" customHeight="1">
      <c r="A69" s="534" t="s">
        <v>412</v>
      </c>
      <c r="B69" s="519" t="s">
        <v>184</v>
      </c>
      <c r="C69" s="519" t="s">
        <v>198</v>
      </c>
      <c r="D69" s="519" t="s">
        <v>199</v>
      </c>
      <c r="E69" s="519" t="s">
        <v>200</v>
      </c>
      <c r="F69" s="520" t="s">
        <v>201</v>
      </c>
      <c r="G69" s="521">
        <v>0.8584</v>
      </c>
      <c r="H69" s="505"/>
      <c r="I69" s="469"/>
      <c r="J69" s="187"/>
      <c r="K69" s="187"/>
      <c r="L69" s="187"/>
      <c r="M69" s="187"/>
      <c r="N69" s="334"/>
      <c r="O69" s="489"/>
      <c r="T69" s="489"/>
      <c r="U69" s="489"/>
    </row>
    <row r="70" spans="1:21" s="506" customFormat="1" ht="15.75" customHeight="1">
      <c r="A70" s="522" t="s">
        <v>410</v>
      </c>
      <c r="B70" s="465" t="s">
        <v>202</v>
      </c>
      <c r="C70" s="465" t="s">
        <v>203</v>
      </c>
      <c r="D70" s="465" t="s">
        <v>204</v>
      </c>
      <c r="E70" s="465" t="s">
        <v>205</v>
      </c>
      <c r="F70" s="465" t="s">
        <v>206</v>
      </c>
      <c r="G70" s="523">
        <v>0.4584</v>
      </c>
      <c r="H70" s="505"/>
      <c r="I70" s="469"/>
      <c r="J70" s="187"/>
      <c r="K70" s="187"/>
      <c r="L70" s="187"/>
      <c r="M70" s="187"/>
      <c r="N70" s="334"/>
      <c r="O70" s="489"/>
      <c r="T70" s="489"/>
      <c r="U70" s="489"/>
    </row>
    <row r="71" spans="1:21" s="506" customFormat="1" ht="15.75" customHeight="1" thickBot="1">
      <c r="A71" s="564" t="s">
        <v>331</v>
      </c>
      <c r="B71" s="524" t="s">
        <v>185</v>
      </c>
      <c r="C71" s="524" t="s">
        <v>186</v>
      </c>
      <c r="D71" s="524" t="s">
        <v>187</v>
      </c>
      <c r="E71" s="524" t="s">
        <v>188</v>
      </c>
      <c r="F71" s="525" t="s">
        <v>189</v>
      </c>
      <c r="G71" s="526">
        <v>0.9233</v>
      </c>
      <c r="H71" s="505"/>
      <c r="I71" s="469"/>
      <c r="J71" s="469"/>
      <c r="K71" s="187"/>
      <c r="L71" s="187"/>
      <c r="M71" s="187"/>
      <c r="N71" s="334"/>
      <c r="O71" s="489"/>
      <c r="T71" s="489"/>
      <c r="U71" s="489"/>
    </row>
    <row r="72" spans="1:21" s="506" customFormat="1" ht="6.75" customHeight="1" thickBot="1">
      <c r="A72" s="554"/>
      <c r="B72" s="547"/>
      <c r="C72" s="547"/>
      <c r="D72" s="547"/>
      <c r="E72" s="547"/>
      <c r="F72" s="548"/>
      <c r="G72" s="555"/>
      <c r="H72" s="505"/>
      <c r="I72" s="469"/>
      <c r="J72" s="187"/>
      <c r="K72" s="187"/>
      <c r="L72" s="187"/>
      <c r="M72" s="187"/>
      <c r="N72" s="334"/>
      <c r="O72" s="489"/>
      <c r="T72" s="489"/>
      <c r="U72" s="489"/>
    </row>
    <row r="73" spans="1:21" s="506" customFormat="1" ht="15.75" customHeight="1" thickBot="1">
      <c r="A73" s="512" t="s">
        <v>330</v>
      </c>
      <c r="B73" s="527" t="s">
        <v>183</v>
      </c>
      <c r="C73" s="527" t="s">
        <v>194</v>
      </c>
      <c r="D73" s="527" t="s">
        <v>195</v>
      </c>
      <c r="E73" s="527" t="s">
        <v>196</v>
      </c>
      <c r="F73" s="528" t="s">
        <v>197</v>
      </c>
      <c r="G73" s="529">
        <v>0.9861</v>
      </c>
      <c r="H73" s="505"/>
      <c r="I73" s="469"/>
      <c r="J73" s="187"/>
      <c r="K73" s="187"/>
      <c r="L73" s="187"/>
      <c r="M73" s="187"/>
      <c r="N73" s="334"/>
      <c r="O73" s="489"/>
      <c r="T73" s="489"/>
      <c r="U73" s="489"/>
    </row>
    <row r="74" spans="8:21" s="506" customFormat="1" ht="8.25" customHeight="1" thickBot="1">
      <c r="H74" s="505"/>
      <c r="I74" s="469"/>
      <c r="J74" s="187"/>
      <c r="K74" s="187"/>
      <c r="L74" s="187"/>
      <c r="M74" s="187"/>
      <c r="N74" s="334"/>
      <c r="O74" s="489"/>
      <c r="T74" s="489"/>
      <c r="U74" s="489"/>
    </row>
    <row r="75" spans="1:21" s="506" customFormat="1" ht="15.75" customHeight="1">
      <c r="A75" s="518" t="s">
        <v>237</v>
      </c>
      <c r="B75" s="519" t="s">
        <v>238</v>
      </c>
      <c r="C75" s="519" t="s">
        <v>239</v>
      </c>
      <c r="D75" s="519" t="s">
        <v>240</v>
      </c>
      <c r="E75" s="519" t="s">
        <v>241</v>
      </c>
      <c r="F75" s="519" t="s">
        <v>242</v>
      </c>
      <c r="G75" s="521">
        <v>0.4398</v>
      </c>
      <c r="H75" s="505"/>
      <c r="I75" s="469"/>
      <c r="J75" s="187"/>
      <c r="K75" s="187"/>
      <c r="L75" s="187"/>
      <c r="M75" s="187"/>
      <c r="N75" s="334"/>
      <c r="O75" s="489"/>
      <c r="T75" s="489"/>
      <c r="U75" s="489"/>
    </row>
    <row r="76" spans="1:21" s="506" customFormat="1" ht="15.75" customHeight="1">
      <c r="A76" s="530" t="s">
        <v>328</v>
      </c>
      <c r="B76" s="465" t="s">
        <v>207</v>
      </c>
      <c r="C76" s="465" t="s">
        <v>208</v>
      </c>
      <c r="D76" s="465" t="s">
        <v>209</v>
      </c>
      <c r="E76" s="465" t="s">
        <v>210</v>
      </c>
      <c r="F76" s="465" t="s">
        <v>211</v>
      </c>
      <c r="G76" s="523">
        <v>0.2052</v>
      </c>
      <c r="H76" s="505"/>
      <c r="I76" s="469"/>
      <c r="J76" s="187"/>
      <c r="K76" s="187"/>
      <c r="L76" s="187"/>
      <c r="M76" s="187"/>
      <c r="N76" s="334"/>
      <c r="O76" s="489"/>
      <c r="T76" s="489"/>
      <c r="U76" s="489"/>
    </row>
    <row r="77" spans="1:21" s="506" customFormat="1" ht="15.75" customHeight="1" thickBot="1">
      <c r="A77" s="531" t="s">
        <v>329</v>
      </c>
      <c r="B77" s="524" t="s">
        <v>212</v>
      </c>
      <c r="C77" s="524" t="s">
        <v>213</v>
      </c>
      <c r="D77" s="524" t="s">
        <v>214</v>
      </c>
      <c r="E77" s="524" t="s">
        <v>215</v>
      </c>
      <c r="F77" s="563" t="s">
        <v>421</v>
      </c>
      <c r="G77" s="526">
        <v>0.5019</v>
      </c>
      <c r="H77" s="505"/>
      <c r="I77" s="469"/>
      <c r="J77" s="187"/>
      <c r="K77" s="187"/>
      <c r="L77" s="187"/>
      <c r="M77" s="187"/>
      <c r="N77" s="334"/>
      <c r="O77" s="489"/>
      <c r="T77" s="489"/>
      <c r="U77" s="489"/>
    </row>
    <row r="78" spans="1:21" s="506" customFormat="1" ht="6.75" customHeight="1" thickBot="1">
      <c r="A78" s="515"/>
      <c r="B78" s="324"/>
      <c r="C78" s="324"/>
      <c r="D78" s="324"/>
      <c r="E78" s="324"/>
      <c r="F78" s="516"/>
      <c r="G78" s="517"/>
      <c r="H78" s="505"/>
      <c r="I78" s="469"/>
      <c r="J78" s="187"/>
      <c r="K78" s="187"/>
      <c r="L78" s="187"/>
      <c r="M78" s="187"/>
      <c r="N78" s="334"/>
      <c r="O78" s="489"/>
      <c r="T78" s="489"/>
      <c r="U78" s="489"/>
    </row>
    <row r="79" spans="1:21" s="506" customFormat="1" ht="15.75" customHeight="1" thickBot="1">
      <c r="A79" s="512" t="s">
        <v>411</v>
      </c>
      <c r="B79" s="527" t="s">
        <v>227</v>
      </c>
      <c r="C79" s="527" t="s">
        <v>228</v>
      </c>
      <c r="D79" s="527" t="s">
        <v>229</v>
      </c>
      <c r="E79" s="527" t="s">
        <v>230</v>
      </c>
      <c r="F79" s="528" t="s">
        <v>231</v>
      </c>
      <c r="G79" s="529">
        <v>0.9421</v>
      </c>
      <c r="H79" s="505"/>
      <c r="I79" s="469"/>
      <c r="J79" s="187"/>
      <c r="K79" s="187"/>
      <c r="L79" s="187"/>
      <c r="M79" s="187"/>
      <c r="N79" s="334"/>
      <c r="O79" s="489"/>
      <c r="T79" s="489"/>
      <c r="U79" s="489"/>
    </row>
    <row r="80" spans="1:21" s="507" customFormat="1" ht="9.75" customHeight="1" thickBot="1">
      <c r="A80" s="515"/>
      <c r="B80" s="515"/>
      <c r="C80" s="515"/>
      <c r="D80" s="515"/>
      <c r="E80" s="515"/>
      <c r="F80" s="515"/>
      <c r="G80" s="515"/>
      <c r="H80" s="504"/>
      <c r="I80" s="504"/>
      <c r="J80" s="504"/>
      <c r="K80" s="504"/>
      <c r="L80" s="504"/>
      <c r="M80" s="365"/>
      <c r="N80" s="324"/>
      <c r="O80" s="508"/>
      <c r="T80" s="508"/>
      <c r="U80" s="508"/>
    </row>
    <row r="81" spans="1:21" s="506" customFormat="1" ht="15.75" customHeight="1">
      <c r="A81" s="593" t="s">
        <v>221</v>
      </c>
      <c r="B81" s="594" t="s">
        <v>216</v>
      </c>
      <c r="C81" s="594" t="s">
        <v>217</v>
      </c>
      <c r="D81" s="594" t="s">
        <v>218</v>
      </c>
      <c r="E81" s="594" t="s">
        <v>219</v>
      </c>
      <c r="F81" s="595" t="s">
        <v>220</v>
      </c>
      <c r="G81" s="596">
        <v>0.7112</v>
      </c>
      <c r="H81" s="505"/>
      <c r="I81" s="469"/>
      <c r="J81" s="187"/>
      <c r="K81" s="187"/>
      <c r="L81" s="187"/>
      <c r="M81" s="187"/>
      <c r="N81" s="334"/>
      <c r="O81" s="489"/>
      <c r="T81" s="489"/>
      <c r="U81" s="489"/>
    </row>
    <row r="82" spans="1:21" s="506" customFormat="1" ht="15.75" customHeight="1">
      <c r="A82" s="597" t="s">
        <v>419</v>
      </c>
      <c r="B82" s="598" t="s">
        <v>222</v>
      </c>
      <c r="C82" s="598" t="s">
        <v>223</v>
      </c>
      <c r="D82" s="598" t="s">
        <v>224</v>
      </c>
      <c r="E82" s="598" t="s">
        <v>225</v>
      </c>
      <c r="F82" s="599" t="s">
        <v>226</v>
      </c>
      <c r="G82" s="600">
        <v>0.9644</v>
      </c>
      <c r="H82" s="505"/>
      <c r="I82" s="469"/>
      <c r="J82" s="187"/>
      <c r="K82" s="187"/>
      <c r="L82" s="187"/>
      <c r="M82" s="187"/>
      <c r="N82" s="334"/>
      <c r="O82" s="489"/>
      <c r="T82" s="489"/>
      <c r="U82" s="489"/>
    </row>
    <row r="83" spans="1:21" s="506" customFormat="1" ht="17.25" customHeight="1">
      <c r="A83" s="597" t="s">
        <v>418</v>
      </c>
      <c r="B83" s="598" t="s">
        <v>232</v>
      </c>
      <c r="C83" s="598" t="s">
        <v>233</v>
      </c>
      <c r="D83" s="598" t="s">
        <v>234</v>
      </c>
      <c r="E83" s="598" t="s">
        <v>235</v>
      </c>
      <c r="F83" s="599" t="s">
        <v>236</v>
      </c>
      <c r="G83" s="600">
        <v>0.9698</v>
      </c>
      <c r="H83" s="505"/>
      <c r="I83" s="469"/>
      <c r="J83" s="187"/>
      <c r="K83" s="187"/>
      <c r="L83" s="187"/>
      <c r="M83" s="187"/>
      <c r="N83" s="334"/>
      <c r="O83" s="489"/>
      <c r="T83" s="489"/>
      <c r="U83" s="489"/>
    </row>
    <row r="84" spans="1:21" s="506" customFormat="1" ht="16.5" customHeight="1">
      <c r="A84" s="597" t="s">
        <v>387</v>
      </c>
      <c r="B84" s="598" t="s">
        <v>243</v>
      </c>
      <c r="C84" s="598" t="s">
        <v>244</v>
      </c>
      <c r="D84" s="598" t="s">
        <v>245</v>
      </c>
      <c r="E84" s="598" t="s">
        <v>246</v>
      </c>
      <c r="F84" s="599" t="s">
        <v>247</v>
      </c>
      <c r="G84" s="600">
        <v>0.9668</v>
      </c>
      <c r="H84" s="505"/>
      <c r="I84" s="469"/>
      <c r="J84" s="187"/>
      <c r="K84" s="187"/>
      <c r="L84" s="187"/>
      <c r="M84" s="187"/>
      <c r="N84" s="334"/>
      <c r="O84" s="489"/>
      <c r="T84" s="489"/>
      <c r="U84" s="489"/>
    </row>
    <row r="85" spans="1:21" s="506" customFormat="1" ht="17.25" customHeight="1">
      <c r="A85" s="597" t="s">
        <v>416</v>
      </c>
      <c r="B85" s="598" t="s">
        <v>248</v>
      </c>
      <c r="C85" s="598" t="s">
        <v>249</v>
      </c>
      <c r="D85" s="598" t="s">
        <v>250</v>
      </c>
      <c r="E85" s="598" t="s">
        <v>251</v>
      </c>
      <c r="F85" s="599" t="s">
        <v>252</v>
      </c>
      <c r="G85" s="600">
        <v>0.9358</v>
      </c>
      <c r="H85" s="505"/>
      <c r="I85" s="469"/>
      <c r="J85" s="187"/>
      <c r="K85" s="187"/>
      <c r="L85" s="187"/>
      <c r="M85" s="187"/>
      <c r="N85" s="334"/>
      <c r="O85" s="489"/>
      <c r="T85" s="489"/>
      <c r="U85" s="489"/>
    </row>
    <row r="86" spans="1:21" s="506" customFormat="1" ht="16.5" customHeight="1" thickBot="1">
      <c r="A86" s="601" t="s">
        <v>417</v>
      </c>
      <c r="B86" s="602" t="s">
        <v>185</v>
      </c>
      <c r="C86" s="602" t="s">
        <v>253</v>
      </c>
      <c r="D86" s="602" t="s">
        <v>254</v>
      </c>
      <c r="E86" s="602" t="s">
        <v>255</v>
      </c>
      <c r="F86" s="603" t="s">
        <v>256</v>
      </c>
      <c r="G86" s="604">
        <v>0.5351</v>
      </c>
      <c r="H86" s="505"/>
      <c r="I86" s="469"/>
      <c r="J86" s="187"/>
      <c r="K86" s="187"/>
      <c r="L86" s="187"/>
      <c r="M86" s="187"/>
      <c r="N86" s="334"/>
      <c r="O86" s="489"/>
      <c r="T86" s="489"/>
      <c r="U86" s="489"/>
    </row>
    <row r="87" spans="1:21" s="507" customFormat="1" ht="16.5" customHeight="1">
      <c r="A87" s="591"/>
      <c r="B87" s="592"/>
      <c r="C87" s="592"/>
      <c r="D87" s="592"/>
      <c r="E87" s="592"/>
      <c r="F87" s="592"/>
      <c r="G87" s="592"/>
      <c r="H87" s="592"/>
      <c r="I87" s="592"/>
      <c r="J87" s="365"/>
      <c r="K87" s="365"/>
      <c r="L87" s="365"/>
      <c r="M87" s="365"/>
      <c r="N87" s="324"/>
      <c r="O87" s="508"/>
      <c r="T87" s="508"/>
      <c r="U87" s="508"/>
    </row>
    <row r="88" spans="1:21" s="507" customFormat="1" ht="16.5" customHeight="1" thickBot="1">
      <c r="A88" s="591"/>
      <c r="B88" s="592"/>
      <c r="C88" s="592"/>
      <c r="D88" s="592"/>
      <c r="E88" s="592"/>
      <c r="F88" s="592"/>
      <c r="G88" s="592"/>
      <c r="H88" s="592"/>
      <c r="I88" s="592"/>
      <c r="J88" s="365"/>
      <c r="K88" s="365"/>
      <c r="L88" s="365"/>
      <c r="M88" s="365"/>
      <c r="N88" s="324"/>
      <c r="O88" s="508"/>
      <c r="T88" s="508"/>
      <c r="U88" s="508"/>
    </row>
    <row r="89" spans="1:21" s="506" customFormat="1" ht="30" customHeight="1" thickBot="1">
      <c r="A89" s="615" t="s">
        <v>415</v>
      </c>
      <c r="B89" s="616"/>
      <c r="C89" s="616"/>
      <c r="D89" s="616"/>
      <c r="E89" s="616"/>
      <c r="F89" s="616"/>
      <c r="G89" s="617"/>
      <c r="H89" s="505"/>
      <c r="I89" s="469"/>
      <c r="J89" s="187"/>
      <c r="K89" s="187"/>
      <c r="L89" s="187"/>
      <c r="M89" s="187"/>
      <c r="N89" s="334"/>
      <c r="O89" s="489"/>
      <c r="T89" s="489"/>
      <c r="U89" s="489"/>
    </row>
    <row r="90" spans="1:21" s="506" customFormat="1" ht="32.25" customHeight="1" thickBot="1">
      <c r="A90" s="512" t="s">
        <v>332</v>
      </c>
      <c r="B90" s="532" t="s">
        <v>408</v>
      </c>
      <c r="C90" s="532" t="s">
        <v>409</v>
      </c>
      <c r="D90" s="532" t="s">
        <v>68</v>
      </c>
      <c r="E90" s="532" t="s">
        <v>334</v>
      </c>
      <c r="F90" s="532" t="s">
        <v>333</v>
      </c>
      <c r="G90" s="532" t="s">
        <v>79</v>
      </c>
      <c r="H90" s="505"/>
      <c r="I90" s="469"/>
      <c r="J90" s="187"/>
      <c r="K90" s="187"/>
      <c r="L90" s="187"/>
      <c r="M90" s="187"/>
      <c r="N90" s="334"/>
      <c r="O90" s="489"/>
      <c r="T90" s="489"/>
      <c r="U90" s="489"/>
    </row>
    <row r="91" spans="1:21" s="506" customFormat="1" ht="18" customHeight="1">
      <c r="A91" s="514" t="s">
        <v>257</v>
      </c>
      <c r="B91" s="465" t="s">
        <v>258</v>
      </c>
      <c r="C91" s="465" t="s">
        <v>259</v>
      </c>
      <c r="D91" s="465" t="s">
        <v>260</v>
      </c>
      <c r="E91" s="465" t="s">
        <v>261</v>
      </c>
      <c r="F91" s="510" t="s">
        <v>262</v>
      </c>
      <c r="G91" s="509">
        <v>0.8814</v>
      </c>
      <c r="H91" s="505"/>
      <c r="I91" s="469"/>
      <c r="J91" s="187"/>
      <c r="K91" s="187"/>
      <c r="L91" s="187"/>
      <c r="M91" s="187"/>
      <c r="N91" s="334"/>
      <c r="O91" s="489"/>
      <c r="T91" s="489"/>
      <c r="U91" s="489"/>
    </row>
    <row r="92" spans="1:21" s="506" customFormat="1" ht="18" customHeight="1">
      <c r="A92" s="511" t="s">
        <v>336</v>
      </c>
      <c r="B92" s="465" t="s">
        <v>263</v>
      </c>
      <c r="C92" s="465" t="s">
        <v>264</v>
      </c>
      <c r="D92" s="465" t="s">
        <v>265</v>
      </c>
      <c r="E92" s="465" t="s">
        <v>266</v>
      </c>
      <c r="F92" s="510" t="s">
        <v>267</v>
      </c>
      <c r="G92" s="509">
        <v>0.6001</v>
      </c>
      <c r="H92" s="505"/>
      <c r="I92" s="469"/>
      <c r="J92" s="187"/>
      <c r="K92" s="187"/>
      <c r="L92" s="187"/>
      <c r="M92" s="187"/>
      <c r="N92" s="334"/>
      <c r="O92" s="489"/>
      <c r="T92" s="489"/>
      <c r="U92" s="489"/>
    </row>
    <row r="93" spans="1:21" s="506" customFormat="1" ht="18" customHeight="1">
      <c r="A93" s="511" t="s">
        <v>335</v>
      </c>
      <c r="B93" s="465" t="s">
        <v>268</v>
      </c>
      <c r="C93" s="465" t="s">
        <v>269</v>
      </c>
      <c r="D93" s="465" t="s">
        <v>270</v>
      </c>
      <c r="E93" s="465" t="s">
        <v>271</v>
      </c>
      <c r="F93" s="465" t="s">
        <v>272</v>
      </c>
      <c r="G93" s="509">
        <v>0.5071</v>
      </c>
      <c r="H93" s="505"/>
      <c r="I93" s="469"/>
      <c r="J93" s="187"/>
      <c r="K93" s="187"/>
      <c r="L93" s="187"/>
      <c r="M93" s="187"/>
      <c r="N93" s="334"/>
      <c r="O93" s="489"/>
      <c r="T93" s="489"/>
      <c r="U93" s="489"/>
    </row>
    <row r="94" spans="1:21" s="506" customFormat="1" ht="18" customHeight="1">
      <c r="A94" s="514" t="s">
        <v>273</v>
      </c>
      <c r="B94" s="465" t="s">
        <v>274</v>
      </c>
      <c r="C94" s="465" t="s">
        <v>275</v>
      </c>
      <c r="D94" s="465" t="s">
        <v>276</v>
      </c>
      <c r="E94" s="465" t="s">
        <v>277</v>
      </c>
      <c r="F94" s="465" t="s">
        <v>278</v>
      </c>
      <c r="G94" s="509">
        <v>0.0883</v>
      </c>
      <c r="H94" s="505"/>
      <c r="I94" s="469"/>
      <c r="J94" s="187"/>
      <c r="K94" s="187"/>
      <c r="L94" s="187"/>
      <c r="M94" s="187"/>
      <c r="N94" s="334"/>
      <c r="O94" s="489"/>
      <c r="T94" s="489"/>
      <c r="U94" s="489"/>
    </row>
    <row r="95" spans="1:21" s="506" customFormat="1" ht="18" customHeight="1">
      <c r="A95" s="514" t="s">
        <v>279</v>
      </c>
      <c r="B95" s="465" t="s">
        <v>280</v>
      </c>
      <c r="C95" s="465" t="s">
        <v>281</v>
      </c>
      <c r="D95" s="465" t="s">
        <v>282</v>
      </c>
      <c r="E95" s="465" t="s">
        <v>283</v>
      </c>
      <c r="F95" s="465" t="s">
        <v>284</v>
      </c>
      <c r="G95" s="509">
        <v>0.0311</v>
      </c>
      <c r="H95" s="505"/>
      <c r="I95" s="469"/>
      <c r="J95" s="187"/>
      <c r="K95" s="187"/>
      <c r="L95" s="187"/>
      <c r="M95" s="187"/>
      <c r="N95" s="334"/>
      <c r="O95" s="489"/>
      <c r="T95" s="489"/>
      <c r="U95" s="489"/>
    </row>
    <row r="96" spans="1:21" s="506" customFormat="1" ht="18" customHeight="1">
      <c r="A96" s="514" t="s">
        <v>285</v>
      </c>
      <c r="B96" s="465" t="s">
        <v>288</v>
      </c>
      <c r="C96" s="465" t="s">
        <v>289</v>
      </c>
      <c r="D96" s="465" t="s">
        <v>290</v>
      </c>
      <c r="E96" s="465" t="s">
        <v>291</v>
      </c>
      <c r="F96" s="465" t="s">
        <v>292</v>
      </c>
      <c r="G96" s="509">
        <v>0.3729</v>
      </c>
      <c r="H96" s="505"/>
      <c r="I96" s="469"/>
      <c r="J96" s="187"/>
      <c r="K96" s="187"/>
      <c r="L96" s="187"/>
      <c r="M96" s="187"/>
      <c r="N96" s="334"/>
      <c r="O96" s="489"/>
      <c r="T96" s="489"/>
      <c r="U96" s="489"/>
    </row>
    <row r="97" spans="1:21" s="506" customFormat="1" ht="18" customHeight="1">
      <c r="A97" s="511" t="s">
        <v>286</v>
      </c>
      <c r="B97" s="465" t="s">
        <v>293</v>
      </c>
      <c r="C97" s="465" t="s">
        <v>294</v>
      </c>
      <c r="D97" s="465" t="s">
        <v>295</v>
      </c>
      <c r="E97" s="465" t="s">
        <v>296</v>
      </c>
      <c r="F97" s="465" t="s">
        <v>297</v>
      </c>
      <c r="G97" s="509">
        <v>0.329</v>
      </c>
      <c r="H97" s="505"/>
      <c r="I97" s="469"/>
      <c r="J97" s="187"/>
      <c r="K97" s="187"/>
      <c r="L97" s="187"/>
      <c r="M97" s="187"/>
      <c r="N97" s="334"/>
      <c r="O97" s="489"/>
      <c r="T97" s="489"/>
      <c r="U97" s="489"/>
    </row>
    <row r="98" spans="1:21" s="506" customFormat="1" ht="18" customHeight="1">
      <c r="A98" s="514" t="s">
        <v>287</v>
      </c>
      <c r="B98" s="465" t="s">
        <v>298</v>
      </c>
      <c r="C98" s="465" t="s">
        <v>299</v>
      </c>
      <c r="D98" s="465" t="s">
        <v>300</v>
      </c>
      <c r="E98" s="465" t="s">
        <v>301</v>
      </c>
      <c r="F98" s="465" t="s">
        <v>302</v>
      </c>
      <c r="G98" s="509">
        <v>0.0415</v>
      </c>
      <c r="H98" s="505"/>
      <c r="I98" s="469"/>
      <c r="J98" s="187"/>
      <c r="K98" s="187"/>
      <c r="L98" s="187"/>
      <c r="M98" s="187"/>
      <c r="N98" s="334"/>
      <c r="O98" s="489"/>
      <c r="T98" s="489"/>
      <c r="U98" s="489"/>
    </row>
    <row r="99" spans="1:21" s="506" customFormat="1" ht="18" customHeight="1">
      <c r="A99" s="514" t="s">
        <v>303</v>
      </c>
      <c r="B99" s="465" t="s">
        <v>304</v>
      </c>
      <c r="C99" s="465" t="s">
        <v>305</v>
      </c>
      <c r="D99" s="465" t="s">
        <v>306</v>
      </c>
      <c r="E99" s="465" t="s">
        <v>307</v>
      </c>
      <c r="F99" s="465" t="s">
        <v>308</v>
      </c>
      <c r="G99" s="509">
        <v>0.2041</v>
      </c>
      <c r="H99" s="505"/>
      <c r="I99" s="469"/>
      <c r="J99" s="187"/>
      <c r="K99" s="187"/>
      <c r="L99" s="187"/>
      <c r="M99" s="187"/>
      <c r="N99" s="334"/>
      <c r="O99" s="489"/>
      <c r="T99" s="489"/>
      <c r="U99" s="489"/>
    </row>
    <row r="100" spans="1:21" s="506" customFormat="1" ht="18" customHeight="1">
      <c r="A100" s="514" t="s">
        <v>309</v>
      </c>
      <c r="B100" s="465" t="s">
        <v>312</v>
      </c>
      <c r="C100" s="465" t="s">
        <v>313</v>
      </c>
      <c r="D100" s="465" t="s">
        <v>314</v>
      </c>
      <c r="E100" s="465" t="s">
        <v>315</v>
      </c>
      <c r="F100" s="465" t="s">
        <v>316</v>
      </c>
      <c r="G100" s="509">
        <v>0.4072</v>
      </c>
      <c r="H100" s="505"/>
      <c r="I100" s="469"/>
      <c r="J100" s="187"/>
      <c r="K100" s="187"/>
      <c r="L100" s="187"/>
      <c r="M100" s="187"/>
      <c r="N100" s="334"/>
      <c r="O100" s="489"/>
      <c r="T100" s="489"/>
      <c r="U100" s="489"/>
    </row>
    <row r="101" spans="1:21" s="506" customFormat="1" ht="18" customHeight="1">
      <c r="A101" s="514" t="s">
        <v>310</v>
      </c>
      <c r="B101" s="465" t="s">
        <v>317</v>
      </c>
      <c r="C101" s="465" t="s">
        <v>318</v>
      </c>
      <c r="D101" s="465" t="s">
        <v>319</v>
      </c>
      <c r="E101" s="465" t="s">
        <v>320</v>
      </c>
      <c r="F101" s="465" t="s">
        <v>321</v>
      </c>
      <c r="G101" s="509">
        <v>0.1476</v>
      </c>
      <c r="H101" s="365"/>
      <c r="I101" s="469"/>
      <c r="J101" s="187"/>
      <c r="K101" s="187"/>
      <c r="L101" s="187"/>
      <c r="M101" s="187"/>
      <c r="N101" s="334"/>
      <c r="O101" s="489"/>
      <c r="T101" s="489"/>
      <c r="U101" s="489"/>
    </row>
    <row r="102" spans="1:21" s="506" customFormat="1" ht="18" customHeight="1">
      <c r="A102" s="514" t="s">
        <v>311</v>
      </c>
      <c r="B102" s="465" t="s">
        <v>322</v>
      </c>
      <c r="C102" s="465" t="s">
        <v>323</v>
      </c>
      <c r="D102" s="465" t="s">
        <v>324</v>
      </c>
      <c r="E102" s="465" t="s">
        <v>325</v>
      </c>
      <c r="F102" s="513" t="s">
        <v>326</v>
      </c>
      <c r="G102" s="509">
        <v>0.8234</v>
      </c>
      <c r="H102" s="365"/>
      <c r="I102" s="469"/>
      <c r="J102" s="187"/>
      <c r="K102" s="187"/>
      <c r="L102" s="187"/>
      <c r="M102" s="187"/>
      <c r="N102" s="334"/>
      <c r="O102" s="489"/>
      <c r="T102" s="489"/>
      <c r="U102" s="489"/>
    </row>
    <row r="103" spans="1:21" s="506" customFormat="1" ht="15.75" customHeight="1">
      <c r="A103" s="356"/>
      <c r="B103" s="356"/>
      <c r="C103" s="356"/>
      <c r="D103" s="356"/>
      <c r="E103" s="356"/>
      <c r="F103" s="356"/>
      <c r="G103" s="356"/>
      <c r="H103" s="365"/>
      <c r="I103" s="469"/>
      <c r="J103" s="187"/>
      <c r="K103" s="187"/>
      <c r="L103" s="187"/>
      <c r="M103" s="187"/>
      <c r="N103" s="334"/>
      <c r="O103" s="489"/>
      <c r="T103" s="489"/>
      <c r="U103" s="489"/>
    </row>
    <row r="104" spans="1:21" s="506" customFormat="1" ht="15.75" customHeight="1">
      <c r="A104" s="356"/>
      <c r="B104" s="356"/>
      <c r="C104" s="356"/>
      <c r="D104" s="356"/>
      <c r="E104" s="356"/>
      <c r="F104" s="356"/>
      <c r="G104" s="356"/>
      <c r="H104" s="365"/>
      <c r="I104" s="469"/>
      <c r="J104" s="187"/>
      <c r="K104" s="187"/>
      <c r="L104" s="187"/>
      <c r="M104" s="187"/>
      <c r="N104" s="334"/>
      <c r="O104" s="489"/>
      <c r="T104" s="489"/>
      <c r="U104" s="489"/>
    </row>
    <row r="105" spans="1:21" s="506" customFormat="1" ht="16.5" customHeight="1">
      <c r="A105" s="356"/>
      <c r="B105" s="356"/>
      <c r="C105" s="356"/>
      <c r="D105" s="356"/>
      <c r="E105" s="356"/>
      <c r="F105" s="356"/>
      <c r="G105" s="356"/>
      <c r="H105" s="365"/>
      <c r="I105" s="469"/>
      <c r="J105" s="187"/>
      <c r="K105" s="187"/>
      <c r="L105" s="187"/>
      <c r="M105" s="187"/>
      <c r="N105" s="334"/>
      <c r="O105" s="489"/>
      <c r="T105" s="489"/>
      <c r="U105" s="489"/>
    </row>
  </sheetData>
  <sheetProtection/>
  <mergeCells count="4">
    <mergeCell ref="A2:I2"/>
    <mergeCell ref="A3:I3"/>
    <mergeCell ref="B44:C44"/>
    <mergeCell ref="A89:G8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2"/>
  <sheetViews>
    <sheetView zoomScalePageLayoutView="0" workbookViewId="0" topLeftCell="A1">
      <selection activeCell="M14" sqref="M14"/>
    </sheetView>
  </sheetViews>
  <sheetFormatPr defaultColWidth="25.28125" defaultRowHeight="12.75"/>
  <cols>
    <col min="1" max="1" width="1.7109375" style="0" customWidth="1"/>
    <col min="2" max="2" width="27.00390625" style="0" customWidth="1"/>
    <col min="3" max="3" width="17.28125" style="0" customWidth="1"/>
    <col min="4" max="4" width="10.7109375" style="0" customWidth="1"/>
    <col min="5" max="5" width="10.28125" style="0" customWidth="1"/>
    <col min="6" max="6" width="3.140625" style="0" customWidth="1"/>
    <col min="7" max="7" width="12.421875" style="0" customWidth="1"/>
    <col min="8" max="9" width="11.421875" style="0" customWidth="1"/>
    <col min="10" max="10" width="21.421875" style="0" customWidth="1"/>
    <col min="11" max="11" width="0.9921875" style="0" customWidth="1"/>
    <col min="12" max="12" width="5.140625" style="0" customWidth="1"/>
    <col min="13" max="255" width="11.421875" style="0" customWidth="1"/>
  </cols>
  <sheetData>
    <row r="1" ht="7.5" customHeight="1" thickBot="1"/>
    <row r="2" spans="2:9" ht="19.5" thickBot="1">
      <c r="B2" s="624" t="s">
        <v>99</v>
      </c>
      <c r="C2" s="625"/>
      <c r="D2" s="625"/>
      <c r="E2" s="625"/>
      <c r="F2" s="625"/>
      <c r="G2" s="625"/>
      <c r="H2" s="625"/>
      <c r="I2" s="626"/>
    </row>
    <row r="3" spans="2:9" ht="26.25" customHeight="1">
      <c r="B3" s="611" t="s">
        <v>163</v>
      </c>
      <c r="C3" s="611"/>
      <c r="D3" s="611"/>
      <c r="E3" s="611"/>
      <c r="F3" s="611"/>
      <c r="G3" s="611"/>
      <c r="H3" s="611"/>
      <c r="I3" s="611"/>
    </row>
    <row r="4" spans="2:9" ht="5.25" customHeight="1" thickBot="1">
      <c r="B4" s="286"/>
      <c r="C4" s="286"/>
      <c r="D4" s="286"/>
      <c r="E4" s="286"/>
      <c r="F4" s="286"/>
      <c r="G4" s="286"/>
      <c r="H4" s="286"/>
      <c r="I4" s="286"/>
    </row>
    <row r="5" spans="2:19" s="199" customFormat="1" ht="18.75">
      <c r="B5" s="287" t="s">
        <v>164</v>
      </c>
      <c r="C5" s="288" t="s">
        <v>165</v>
      </c>
      <c r="D5" s="289" t="s">
        <v>166</v>
      </c>
      <c r="E5" s="288"/>
      <c r="F5" s="288"/>
      <c r="G5" s="288"/>
      <c r="H5" s="288"/>
      <c r="I5" s="290"/>
      <c r="Q5" s="235"/>
      <c r="R5" s="201"/>
      <c r="S5" s="201"/>
    </row>
    <row r="6" spans="2:19" s="199" customFormat="1" ht="18">
      <c r="B6" s="291" t="s">
        <v>167</v>
      </c>
      <c r="C6" s="292">
        <v>0.06</v>
      </c>
      <c r="D6" s="220" t="s">
        <v>168</v>
      </c>
      <c r="E6" s="293">
        <v>3.78</v>
      </c>
      <c r="F6" s="222" t="s">
        <v>76</v>
      </c>
      <c r="G6" s="294"/>
      <c r="H6" s="295" t="s">
        <v>169</v>
      </c>
      <c r="I6" s="296">
        <f>E6*C6</f>
        <v>0.22679999999999997</v>
      </c>
      <c r="Q6" s="235"/>
      <c r="R6" s="201"/>
      <c r="S6" s="201"/>
    </row>
    <row r="7" spans="2:19" s="199" customFormat="1" ht="15">
      <c r="B7" s="297" t="s">
        <v>170</v>
      </c>
      <c r="C7" s="298">
        <v>0.8</v>
      </c>
      <c r="D7" s="222"/>
      <c r="E7" s="222"/>
      <c r="F7" s="222"/>
      <c r="G7" s="222"/>
      <c r="H7" s="222"/>
      <c r="I7" s="221"/>
      <c r="R7" s="201"/>
      <c r="S7" s="201"/>
    </row>
    <row r="8" spans="2:9" s="199" customFormat="1" ht="19.5" thickBot="1">
      <c r="B8" s="299" t="s">
        <v>171</v>
      </c>
      <c r="C8" s="300">
        <f>1-((1-I6)^C7)</f>
        <v>0.1859829972661875</v>
      </c>
      <c r="D8" s="301"/>
      <c r="E8" s="301"/>
      <c r="F8" s="301"/>
      <c r="G8" s="301"/>
      <c r="H8" s="301"/>
      <c r="I8" s="228"/>
    </row>
    <row r="9" s="199" customFormat="1" ht="10.5" customHeight="1" thickBot="1"/>
    <row r="10" spans="2:13" s="201" customFormat="1" ht="15.75" hidden="1" thickBot="1">
      <c r="B10" s="203"/>
      <c r="C10" s="204"/>
      <c r="D10" s="205"/>
      <c r="E10" s="206"/>
      <c r="G10" s="199"/>
      <c r="H10" s="199"/>
      <c r="I10" s="199"/>
      <c r="M10" s="199"/>
    </row>
    <row r="11" spans="2:20" s="199" customFormat="1" ht="15.75" hidden="1" thickBot="1">
      <c r="B11" s="200" t="s">
        <v>51</v>
      </c>
      <c r="N11" s="201"/>
      <c r="S11" s="201"/>
      <c r="T11" s="201"/>
    </row>
    <row r="12" spans="2:20" s="199" customFormat="1" ht="19.5" hidden="1" thickBot="1">
      <c r="B12" s="199" t="s">
        <v>52</v>
      </c>
      <c r="D12" s="202" t="s">
        <v>172</v>
      </c>
      <c r="N12" s="201"/>
      <c r="S12" s="201"/>
      <c r="T12" s="201"/>
    </row>
    <row r="13" spans="2:20" s="199" customFormat="1" ht="18" hidden="1" thickBot="1">
      <c r="B13" s="209" t="s">
        <v>53</v>
      </c>
      <c r="D13" s="202"/>
      <c r="G13" s="202" t="s">
        <v>173</v>
      </c>
      <c r="N13" s="201"/>
      <c r="S13" s="201"/>
      <c r="T13" s="201"/>
    </row>
    <row r="14" spans="2:20" s="199" customFormat="1" ht="33" customHeight="1" thickBot="1">
      <c r="B14" s="627" t="s">
        <v>100</v>
      </c>
      <c r="C14" s="628"/>
      <c r="D14" s="628"/>
      <c r="E14" s="629"/>
      <c r="F14" s="471"/>
      <c r="G14" s="630" t="s">
        <v>431</v>
      </c>
      <c r="H14" s="630"/>
      <c r="I14" s="630"/>
      <c r="J14" s="630"/>
      <c r="K14" s="4"/>
      <c r="M14" s="201"/>
      <c r="N14" s="201"/>
      <c r="S14" s="201"/>
      <c r="T14" s="201"/>
    </row>
    <row r="15" spans="2:14" s="199" customFormat="1" ht="15.75">
      <c r="B15" s="302" t="s">
        <v>97</v>
      </c>
      <c r="C15" s="303">
        <f>I6</f>
        <v>0.22679999999999997</v>
      </c>
      <c r="D15" s="304" t="s">
        <v>54</v>
      </c>
      <c r="E15" s="305">
        <f>1-C15</f>
        <v>0.7732</v>
      </c>
      <c r="F15" s="471"/>
      <c r="G15" s="472"/>
      <c r="H15" s="475"/>
      <c r="I15" s="474"/>
      <c r="J15" s="474"/>
      <c r="K15" s="4"/>
      <c r="M15" s="201"/>
      <c r="N15" s="201"/>
    </row>
    <row r="16" spans="2:14" s="199" customFormat="1" ht="15.75">
      <c r="B16" s="214" t="s">
        <v>101</v>
      </c>
      <c r="C16" s="306">
        <f>C8</f>
        <v>0.1859829972661875</v>
      </c>
      <c r="D16" s="215" t="s">
        <v>55</v>
      </c>
      <c r="E16" s="216">
        <f>1-C16</f>
        <v>0.8140170027338125</v>
      </c>
      <c r="F16" s="471"/>
      <c r="G16" s="472"/>
      <c r="H16" s="475"/>
      <c r="I16" s="474"/>
      <c r="J16" s="474"/>
      <c r="K16" s="4"/>
      <c r="M16" s="201"/>
      <c r="N16" s="201"/>
    </row>
    <row r="17" spans="2:14" s="199" customFormat="1" ht="15.75">
      <c r="B17" s="217" t="s">
        <v>98</v>
      </c>
      <c r="C17" s="218">
        <f>(C15+C16)/2</f>
        <v>0.20639149863309375</v>
      </c>
      <c r="D17" s="215" t="s">
        <v>56</v>
      </c>
      <c r="E17" s="216">
        <f>1-C17</f>
        <v>0.7936085013669063</v>
      </c>
      <c r="F17" s="471"/>
      <c r="G17" s="474"/>
      <c r="H17" s="474"/>
      <c r="I17" s="476"/>
      <c r="J17" s="474"/>
      <c r="K17" s="4"/>
      <c r="M17" s="201"/>
      <c r="N17" s="201"/>
    </row>
    <row r="18" spans="2:20" s="199" customFormat="1" ht="15.75">
      <c r="B18" s="219" t="s">
        <v>406</v>
      </c>
      <c r="C18" s="533">
        <v>0.05</v>
      </c>
      <c r="D18" s="307" t="s">
        <v>57</v>
      </c>
      <c r="E18" s="216">
        <f>-NORMSINV((C18*100/2)/100)</f>
        <v>1.9599639845400538</v>
      </c>
      <c r="F18" s="471"/>
      <c r="G18" s="477" t="s">
        <v>111</v>
      </c>
      <c r="H18" s="478"/>
      <c r="I18" s="479"/>
      <c r="J18" s="480"/>
      <c r="K18" s="4"/>
      <c r="M18" s="201"/>
      <c r="N18" s="201"/>
      <c r="S18" s="201"/>
      <c r="T18" s="201"/>
    </row>
    <row r="19" spans="2:20" s="199" customFormat="1" ht="15.75">
      <c r="B19" s="219" t="s">
        <v>407</v>
      </c>
      <c r="C19" s="308">
        <v>0.1</v>
      </c>
      <c r="D19" s="309" t="s">
        <v>58</v>
      </c>
      <c r="E19" s="216">
        <f>-NORMSINV(C19)</f>
        <v>1.2815515655446006</v>
      </c>
      <c r="F19" s="471"/>
      <c r="G19" s="481">
        <f>C22*C15</f>
        <v>468.7955999999999</v>
      </c>
      <c r="H19" s="482" t="s">
        <v>112</v>
      </c>
      <c r="I19" s="483"/>
      <c r="J19" s="480"/>
      <c r="K19" s="4"/>
      <c r="M19" s="201"/>
      <c r="N19" s="201"/>
      <c r="S19" s="201"/>
      <c r="T19" s="201"/>
    </row>
    <row r="20" spans="2:20" s="199" customFormat="1" ht="15.75">
      <c r="B20" s="219" t="s">
        <v>102</v>
      </c>
      <c r="C20" s="310">
        <f>2*C17*E17*(E18+E19)^2</f>
        <v>3.442106712989379</v>
      </c>
      <c r="D20" s="220"/>
      <c r="E20" s="221"/>
      <c r="F20" s="471"/>
      <c r="G20" s="484">
        <f>C22*C16</f>
        <v>384.4268553492096</v>
      </c>
      <c r="H20" s="485" t="s">
        <v>127</v>
      </c>
      <c r="I20" s="486"/>
      <c r="J20" s="487"/>
      <c r="K20" s="4"/>
      <c r="M20" s="201"/>
      <c r="N20" s="201"/>
      <c r="S20" s="201"/>
      <c r="T20" s="201"/>
    </row>
    <row r="21" spans="2:20" s="199" customFormat="1" ht="15.75">
      <c r="B21" s="219" t="s">
        <v>103</v>
      </c>
      <c r="C21" s="311">
        <f>(C15-C16)^2</f>
        <v>0.0016660277121720549</v>
      </c>
      <c r="D21" s="222"/>
      <c r="E21" s="221"/>
      <c r="F21" s="471"/>
      <c r="G21" s="488">
        <f>SUM(G19:G20)</f>
        <v>853.2224553492094</v>
      </c>
      <c r="H21" s="477" t="s">
        <v>113</v>
      </c>
      <c r="I21" s="478"/>
      <c r="J21" s="480"/>
      <c r="K21" s="4"/>
      <c r="M21" s="201"/>
      <c r="N21" s="201"/>
      <c r="S21" s="201"/>
      <c r="T21" s="201"/>
    </row>
    <row r="22" spans="2:20" s="199" customFormat="1" ht="15">
      <c r="B22" s="223" t="s">
        <v>49</v>
      </c>
      <c r="C22" s="213">
        <f>ROUNDUP(C20/C21,0)</f>
        <v>2067</v>
      </c>
      <c r="D22" s="224"/>
      <c r="E22" s="221"/>
      <c r="F22" s="471"/>
      <c r="G22" s="471"/>
      <c r="H22" s="471"/>
      <c r="I22" s="471"/>
      <c r="J22" s="471"/>
      <c r="K22" s="4"/>
      <c r="M22" s="201"/>
      <c r="N22" s="201"/>
      <c r="S22" s="201"/>
      <c r="T22" s="201"/>
    </row>
    <row r="23" spans="2:20" s="199" customFormat="1" ht="15.75" thickBot="1">
      <c r="B23" s="225" t="s">
        <v>50</v>
      </c>
      <c r="C23" s="226">
        <f>C22*2</f>
        <v>4134</v>
      </c>
      <c r="D23" s="227"/>
      <c r="E23" s="228"/>
      <c r="F23" s="471"/>
      <c r="G23" s="471"/>
      <c r="H23" s="471"/>
      <c r="I23" s="473"/>
      <c r="J23" s="471"/>
      <c r="M23" s="201"/>
      <c r="N23" s="201"/>
      <c r="S23" s="201"/>
      <c r="T23" s="201"/>
    </row>
    <row r="24" s="199" customFormat="1" ht="6.75" customHeight="1">
      <c r="H24" s="210"/>
    </row>
    <row r="25" spans="2:4" s="199" customFormat="1" ht="15">
      <c r="B25" s="207"/>
      <c r="C25" s="208"/>
      <c r="D25" s="207"/>
    </row>
    <row r="26" spans="2:8" s="199" customFormat="1" ht="15">
      <c r="B26" s="211" t="s">
        <v>128</v>
      </c>
      <c r="C26" s="212">
        <v>0.06</v>
      </c>
      <c r="D26" s="209" t="s">
        <v>126</v>
      </c>
      <c r="E26" s="213">
        <f>C22*1/(1-C26)</f>
        <v>2198.9361702127662</v>
      </c>
      <c r="F26" s="199" t="s">
        <v>174</v>
      </c>
      <c r="G26" s="208"/>
      <c r="H26" s="208"/>
    </row>
    <row r="27" s="312" customFormat="1" ht="6.75" customHeight="1">
      <c r="I27" s="4"/>
    </row>
    <row r="28" spans="4:9" s="312" customFormat="1" ht="15">
      <c r="D28" s="313"/>
      <c r="E28" s="314"/>
      <c r="I28" s="4"/>
    </row>
    <row r="29" spans="4:16" s="312" customFormat="1" ht="15">
      <c r="D29" s="313"/>
      <c r="E29" s="314"/>
      <c r="I29" s="4"/>
      <c r="J29" s="11"/>
      <c r="K29" s="11"/>
      <c r="L29" s="11"/>
      <c r="M29" s="11"/>
      <c r="N29" s="11"/>
      <c r="O29" s="11"/>
      <c r="P29" s="11"/>
    </row>
    <row r="30" spans="10:16" ht="12.75">
      <c r="J30" s="315"/>
      <c r="K30" s="316"/>
      <c r="L30" s="316"/>
      <c r="M30" s="315"/>
      <c r="N30" s="316"/>
      <c r="O30" s="316"/>
      <c r="P30" s="317"/>
    </row>
    <row r="31" spans="5:16" ht="12.75">
      <c r="E31" s="318"/>
      <c r="J31" s="319"/>
      <c r="K31" s="320"/>
      <c r="L31" s="320"/>
      <c r="M31" s="320"/>
      <c r="N31" s="321"/>
      <c r="O31" s="320"/>
      <c r="P31" s="322"/>
    </row>
    <row r="32" spans="7:9" ht="12.75">
      <c r="G32" s="323"/>
      <c r="H32" s="323"/>
      <c r="I32" s="323"/>
    </row>
  </sheetData>
  <sheetProtection/>
  <mergeCells count="4">
    <mergeCell ref="B2:I2"/>
    <mergeCell ref="B3:I3"/>
    <mergeCell ref="B14:E14"/>
    <mergeCell ref="G14:J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2020-02-20T10:30:00Z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0x010100A1FFC71D0F72DC43880CCA98CD08CC77</vt:lpwstr>
  </property>
</Properties>
</file>