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595" windowHeight="8955" activeTab="0"/>
  </bookViews>
  <sheets>
    <sheet name="contraste r" sheetId="1" r:id="rId1"/>
    <sheet name="RegrLin Mïn Cuadrados" sheetId="2" r:id="rId2"/>
    <sheet name="rho Spearman" sheetId="3" r:id="rId3"/>
  </sheets>
  <externalReferences>
    <externalReference r:id="rId6"/>
    <externalReference r:id="rId7"/>
  </externalReferences>
  <definedNames>
    <definedName name="_xlfn.COVARIANCE.S" hidden="1">#NAME?</definedName>
    <definedName name="_xlfn.STDEV.S" hidden="1">#NAME?</definedName>
    <definedName name="_xlfn.VAR.S" hidden="1">#NAME?</definedName>
  </definedNames>
  <calcPr fullCalcOnLoad="1"/>
</workbook>
</file>

<file path=xl/sharedStrings.xml><?xml version="1.0" encoding="utf-8"?>
<sst xmlns="http://schemas.openxmlformats.org/spreadsheetml/2006/main" count="857" uniqueCount="638">
  <si>
    <t>Enn realidad imposible de calcular porque no se puede acceder a toda la población</t>
  </si>
  <si>
    <t>cuasivarianza= varianza * (n/n-1)</t>
  </si>
  <si>
    <t>Media aritmética</t>
  </si>
  <si>
    <t>“=PROMEDIO(D61:D70)</t>
  </si>
  <si>
    <t>“=MEDIA.GEOM(D61:D70)</t>
  </si>
  <si>
    <t>“=MEDIA.ARMO(D61:D70)</t>
  </si>
  <si>
    <t>“=MEDIANA(D61:D70)</t>
  </si>
  <si>
    <t>Mediana</t>
  </si>
  <si>
    <t>“=MODA(D61:D70)</t>
  </si>
  <si>
    <t>Varianza</t>
  </si>
  <si>
    <t>Desviación estándar</t>
  </si>
  <si>
    <t>Mínimo</t>
  </si>
  <si>
    <t>Máximo</t>
  </si>
  <si>
    <t>Moda** (No funcionará si ningún valor se repite, en caso de multimodal, presenta el valor inferior</t>
  </si>
  <si>
    <t>Media geométrica * (no funiona si hay algún valor =&lt;0</t>
  </si>
  <si>
    <t>Media armónica * (no funiona si hay algún valor =&lt;0</t>
  </si>
  <si>
    <t>“=VAR(D61:D70)</t>
  </si>
  <si>
    <t>“=DESVEST(D61:D70)</t>
  </si>
  <si>
    <t>“=MIN(D61:D70)</t>
  </si>
  <si>
    <t>“=MAX(D61:D70)</t>
  </si>
  <si>
    <t>Grados de libertad = (Nº filas - 1 ) x (Nº columnas -1) =</t>
  </si>
  <si>
    <t>χ² cal= Suma (observado i - esperado i)^2 / esperado i)</t>
  </si>
  <si>
    <t>Corresponde a p=</t>
  </si>
  <si>
    <t>grad. Libertad = (filas-1) * (columnas-1)=</t>
  </si>
  <si>
    <t>no es correcto usar la t de Student, pues esto supondría hacer varios tests por parejas, incrementándose globalmente la tasa de error. El análisis de la varianza ANOVA</t>
  </si>
  <si>
    <t>DE UNA VÍA (UN FACTOR) es el test indicado entonces para comparar las medias de 3 o más grupos independientes.</t>
  </si>
  <si>
    <t>se dispone de una técnica no paramétrica que es el test de Kruskal-Wallis.</t>
  </si>
  <si>
    <t>Hipótesis nula asume que "mu 1" = "mu 2" = … "mu n", Hipotesis alternativa asume que "al menos una de las medias es distinta"</t>
  </si>
  <si>
    <t>El ANOVA es como si tuviera dos colas (porque busca si son los grupos son distintos entre sí, ya sea por el sentido de lo mayor como de lo menor).</t>
  </si>
  <si>
    <t>Ejamplo realizado con 72 personas con diversos grados de exposición a marihuana que encontró un efecto perjudicial significativo (Herning, 2005)</t>
  </si>
  <si>
    <t>Se compara el índice de pulsatilidad en la arteria cerebral media en 5 personas no expuestas a marihuana (grupo control), en 5 personas con exposición activa a marihuana</t>
  </si>
  <si>
    <t>y en 6 exusuarios de marihuana (tras una abstinencia monitorizada de 28 días)</t>
  </si>
  <si>
    <t>Control, n=</t>
  </si>
  <si>
    <t>Usuarios activos, n=</t>
  </si>
  <si>
    <t>Índice de pulsatilidad (IP) de la arteria cerebral media en tres grupos de personas clasificadas en función de su exposición a marihuana</t>
  </si>
  <si>
    <t>Exusuarios, n=</t>
  </si>
  <si>
    <t>TOTAL</t>
  </si>
  <si>
    <t>Medias "m"</t>
  </si>
  <si>
    <t>Nº sujetos "n"</t>
  </si>
  <si>
    <t>FUENTE</t>
  </si>
  <si>
    <t>ANOVA (DE FISCHER) DE UNA VÍA A condición de normalidad y homocedasticidad en cada grupo (varianzas homogéneas en cada grupo) (pág. 419 Est. Amigable)</t>
  </si>
  <si>
    <t>Lo primero es transformar "rho" en "rho transformada" para que se me facilite tratarlo como perteneciente a una distribución normal.</t>
  </si>
  <si>
    <t>El IC 95= = rho trans +- Z alfa/2 . EE "rho trans"</t>
  </si>
  <si>
    <t>rho trans</t>
  </si>
  <si>
    <t>EE "rho trans"</t>
  </si>
  <si>
    <t>Se conoce como "suma de cuadrados" al cuadrado de la diferencia entre cada valor y la media: SC= Sumat (xi - mi)^2. Se puede calcular a mano, pero también podemos calcularlo</t>
  </si>
  <si>
    <t>Dentro =Residual</t>
  </si>
  <si>
    <t>"= N - 1</t>
  </si>
  <si>
    <t>"= N - k</t>
  </si>
  <si>
    <t>"= k - 1</t>
  </si>
  <si>
    <t>GRADOS DE LIBERTAD; g.l.</t>
  </si>
  <si>
    <t>SUMA DE CUADRADOS; SC = (N-1)*s^2</t>
  </si>
  <si>
    <t>SCT = (Nt-1)*st^2</t>
  </si>
  <si>
    <t>B) Calcular los grados de libertad y las varianzas correspondientes</t>
  </si>
  <si>
    <t>A) Calcular la suma de cuadrados (SC)</t>
  </si>
  <si>
    <t>C) Test F: La varianza "dentro de los grupos (=residual)" corresponde al "error" o "ruido" (=&gt; varianza residual = error), mientras que la "varianza entre grupos" (=inter-grupos)</t>
  </si>
  <si>
    <t xml:space="preserve">corresponde al "efecto" (="señal"). Al cociente entre "efecto"/"error" (="señal"/"ruido") se le llama test F, que tendrá dos tipos de grados de libertad: los del numerador </t>
  </si>
  <si>
    <t>Test F, "F" (obtenido)</t>
  </si>
  <si>
    <t>NORMA GENERAL: Si p&gt;0,10 no se podrá rechazar la hipótesis nula. Entre p=0,05 y 0,10 hay que presentar el valor de p y que el lector juzgue.</t>
  </si>
  <si>
    <t>Operando en este ejemplo, pues por los requisitos que cumple, éste es la fórmula que debemos aplicar.</t>
  </si>
  <si>
    <t>Media</t>
  </si>
  <si>
    <t>DesvEst s</t>
  </si>
  <si>
    <t>Var s^2</t>
  </si>
  <si>
    <t>t teórico=</t>
  </si>
  <si>
    <t>grados de libertad (n1+n2-2)=</t>
  </si>
  <si>
    <t>“=DISTR.T.INV(α/2 =α; gr. de libertad)</t>
  </si>
  <si>
    <t>Lo que equivale a una probabilidad=</t>
  </si>
  <si>
    <t>"=DISTR.T(t,grad lib;colas)</t>
  </si>
  <si>
    <t>Cuasivarianza= varianza * (n/n-1)</t>
  </si>
  <si>
    <t>Raíz [(1 / n1)+(1 / n2)] =</t>
  </si>
  <si>
    <t>t cal = (m1-m2) / Covarianza "p" .  Raíz [(1 / n1)+(1 / n2)] =</t>
  </si>
  <si>
    <t>DesvEst "s"</t>
  </si>
  <si>
    <t>Var "s^2"</t>
  </si>
  <si>
    <t>Media "M"</t>
  </si>
  <si>
    <t>3.2.1) Si n1 es distinto de  n2</t>
  </si>
  <si>
    <t>Es &lt; 0 =&gt;Acepto Ho =&gt; No detecto diferencia estadísticiamente significativa emtre ambas medias=&gt; grupos equilibrados en sus pronósticos</t>
  </si>
  <si>
    <t>Covarianza "p" = Raíz [ ( Cuasivarianza1*(n1-1) + Cuasivarianza2*(n2-1) ) / (n1+n2-2)] =</t>
  </si>
  <si>
    <t>(m1-m2) =</t>
  </si>
  <si>
    <t>grados de libertad (n1+n2-2) =</t>
  </si>
  <si>
    <t>t teórico =</t>
  </si>
  <si>
    <t>t cal - t teórico =</t>
  </si>
  <si>
    <t>Test de la "t de Student": Ho =&gt; m1 = m2 (las medias poblacionales son iguales). Si t calculado &lt; t teórico, entonces se acepta Ho.</t>
  </si>
  <si>
    <t>El nombre ANOVA (Anals Of Variance) en realidad no compara varianzas, sino medias. Su hipótesis nula Ho establece que hay igualdad de tres o más medias poblacionales.</t>
  </si>
  <si>
    <t>r</t>
  </si>
  <si>
    <t>No existe correlación</t>
  </si>
  <si>
    <t>&lt;30</t>
  </si>
  <si>
    <t>30 a 70</t>
  </si>
  <si>
    <t>Asociación moderada</t>
  </si>
  <si>
    <t>Asociación débil</t>
  </si>
  <si>
    <t>Asociación fuerte</t>
  </si>
  <si>
    <t>&gt;70</t>
  </si>
  <si>
    <t>MMSE</t>
  </si>
  <si>
    <t>Deterioro cognitivo sí</t>
  </si>
  <si>
    <t>Deterioro cognitivo no</t>
  </si>
  <si>
    <t>Dependencia funcional</t>
  </si>
  <si>
    <t>Se acepta Ho, si el valor absoluto de r &lt; r teórico (realmente una "t teórica de Student")</t>
  </si>
  <si>
    <t xml:space="preserve">Voy a la tabla y veo que el valor teórico de "t con n-2 (=3) grados de libertad, para 0,05 con 2 colas" = </t>
  </si>
  <si>
    <t>Límite inferior Coeficiente r = `[(e^2*lím inf r trans) -1] / [(e^2*lím inf r trans) +1] =</t>
  </si>
  <si>
    <t>Límite superior Coeficiente r = [(e^2*lím sup r trans) -1] / [(e^2*lím sup r trans) +1] =</t>
  </si>
  <si>
    <t>“=ESTIMACION.LINEAL(B15:B26;C15:C26;VERDADERO;VERDADERO)</t>
  </si>
  <si>
    <t>VER REGRESIÓN LINEAL EN EXCELL (Pág 595 Estadíst Amigable)</t>
  </si>
  <si>
    <t>Condiciones de aplicación de la correlación:</t>
  </si>
  <si>
    <t>a) Variables cuantitativas, pues para variables ordinales se puede usar el coeficiente de Spearman.</t>
  </si>
  <si>
    <t>b) Normalidad: la normalidad de ambas variables es un requisito en el caso del coesficiente de correlació de Pearson, pero no en el de Spearman</t>
  </si>
  <si>
    <t>c) Independencia: Las observaciones han de ser independientes; es decir, sólo hay una observación para cada individuo. No tendría sentido, por ejemplo, aplicar la correlación</t>
  </si>
  <si>
    <t>en un estudio que relacionace la ingesta diaria de sal y la tensión intraocular si se tomaran las mediciones de ambos ojos en cada individuo, porque en ese caso habría dos observaciones</t>
  </si>
  <si>
    <t>pero estarían autocorrelacionadas (no serían independientes). Habría que considerar N como el nº de pacientes y no como el nº de ojos.</t>
  </si>
  <si>
    <t>d) Tampoco es aplicable cuando una variable se incluye dentro de otra; por ejemplo, al relacionar la ingesta de proteínas con la ingesta de calorías.</t>
  </si>
  <si>
    <t>Como sucede con otros métodos no paramétricos, se basa en la sustitución de los valores originales de las dos variables por sus números de orden o rangos.</t>
  </si>
  <si>
    <t>País</t>
  </si>
  <si>
    <t>Grecia</t>
  </si>
  <si>
    <t>Luxemburgo</t>
  </si>
  <si>
    <t>Italia</t>
  </si>
  <si>
    <t>irlanda</t>
  </si>
  <si>
    <t>Bélgica</t>
  </si>
  <si>
    <t>Holanda</t>
  </si>
  <si>
    <t>Portugal</t>
  </si>
  <si>
    <t>Dinamarca</t>
  </si>
  <si>
    <t>Alemania</t>
  </si>
  <si>
    <t>Reino Unido</t>
  </si>
  <si>
    <t>España</t>
  </si>
  <si>
    <t>Austria</t>
  </si>
  <si>
    <t>Finalandia</t>
  </si>
  <si>
    <t>Suecia</t>
  </si>
  <si>
    <t>Finaladia</t>
  </si>
  <si>
    <t>Precio real</t>
  </si>
  <si>
    <t>Influencia del precio</t>
  </si>
  <si>
    <t>"x"</t>
  </si>
  <si>
    <t>"y"</t>
  </si>
  <si>
    <t>rango y</t>
  </si>
  <si>
    <t>rango x</t>
  </si>
  <si>
    <t>Media rango x</t>
  </si>
  <si>
    <t>Media rango y</t>
  </si>
  <si>
    <t>Cuasivarianza=Varianza * (n/n-1)</t>
  </si>
  <si>
    <t>Al estudiar una variable bidimensional, es necesario estudiar también las variables unidimensionales que la forman, caracterizándolas por su media y su desviación típica.</t>
  </si>
  <si>
    <t>La variable precio es el precio relativo que realmente tienen los alimentos en ese país tomando como referencia a Suecia. Si en Suecia 100, en España 71 pesetas</t>
  </si>
  <si>
    <t>Se rechaza Ho =&gt; existe heterogeneidad o dependencia de la intervención estudiada</t>
  </si>
  <si>
    <t>Es &gt; 0 =&gt;Rechazo Ho =&gt; heterogeneidad o dependencia (tratamieno eficaz)</t>
  </si>
  <si>
    <t>"=&gt; Se debe rechazar Ho =&gt; Hay heterogeneidad de medias</t>
  </si>
  <si>
    <t>"-----------------------&gt;</t>
  </si>
  <si>
    <t>Inventado para practicar</t>
  </si>
  <si>
    <t>% Mort/año</t>
  </si>
  <si>
    <t>Col total mg/dl</t>
  </si>
  <si>
    <t>Ojo: Correlación no es causa</t>
  </si>
  <si>
    <t>S rx (Desv Estánd)</t>
  </si>
  <si>
    <t>S ry (Desv Estánd)</t>
  </si>
  <si>
    <t>SP xy</t>
  </si>
  <si>
    <t>Raíz(SCx*SCy)</t>
  </si>
  <si>
    <t>SP =Suma de los productos = (x i-media)(y i-media)</t>
  </si>
  <si>
    <t>SCx= Suma de los cuadrados = DesvEst^2 * n-1</t>
  </si>
  <si>
    <t>Es un estimador no paramétrico que se utiliza en aquellos casos donde las variables examinadas no cumplen necesariamente criterios de normalidad o cuando las variables son ordinales..</t>
  </si>
  <si>
    <t>Esta relación es moderada o intermedia, pues está en torno al 50% de la máxima posible.</t>
  </si>
  <si>
    <t>Otra ventaja es que no requiere supuestos previos sobre distribución de datos (como es suponer la normalidad).</t>
  </si>
  <si>
    <t>Y el intervalo de confianza se obtiene lo mismo que para la r de Pearson</t>
  </si>
  <si>
    <t>Límite inferior Coeficiente r = (e^2.lím inf r trans -1) / (e^2.lím inf r trans +1) =</t>
  </si>
  <si>
    <t>Límite superior Coeficiente r = (e^2.lím sup r trans -1) / (e^2.lím isup r trans +1) =</t>
  </si>
  <si>
    <t>Ojo: Esto no se interpreta como el IC del RR. En este caso el IC está entre -0,006 y +0,800. Confiamos en que el verdadero rho poblacional está entre ese intervalo. Este intervalo es muy</t>
  </si>
  <si>
    <t>A estas preguntas contestan las pruebas de contrastes que siguen a un ANOVA significativo (para lo que se dedica otro apartado).</t>
  </si>
  <si>
    <t>Ejamplo : Se quiere saber si el lago 1 está contaminado, para lo que distintas medidas del fósforo en este lago. Eso mismo se hace con otros lagos y se hace un ANOVA.</t>
  </si>
  <si>
    <t>Medida del fósforo en distintas partes del lago</t>
  </si>
  <si>
    <t>Lago 1 (problema)</t>
  </si>
  <si>
    <t>Lago 2</t>
  </si>
  <si>
    <t>Lago 3</t>
  </si>
  <si>
    <t>Lago 4</t>
  </si>
  <si>
    <t>SCE = SCT - SCR ó tb Sumat(xi-mt)^2</t>
  </si>
  <si>
    <t>"=&gt; No se puede rechazar Ho =&gt; Hay homogeneidad de medias (el lago no está contaminado)</t>
  </si>
  <si>
    <t>Observadas</t>
  </si>
  <si>
    <t>Enfermos</t>
  </si>
  <si>
    <t>Sanos</t>
  </si>
  <si>
    <t>Tratados</t>
  </si>
  <si>
    <t>No tratados</t>
  </si>
  <si>
    <t>Totales</t>
  </si>
  <si>
    <t>Esperadas</t>
  </si>
  <si>
    <t>Teórico</t>
  </si>
  <si>
    <t>a</t>
  </si>
  <si>
    <t>b</t>
  </si>
  <si>
    <t>c</t>
  </si>
  <si>
    <t>d</t>
  </si>
  <si>
    <t xml:space="preserve">n= contar = </t>
  </si>
  <si>
    <t>Lo primero es trasnformar "r" en "r transformada" para que se me facilite tratarlo como perteneciente a una distribución normal.</t>
  </si>
  <si>
    <t>Recta de "y" sobre "x" (y/x)=</t>
  </si>
  <si>
    <t>Recta de "x" sobre "y" (x/y)=</t>
  </si>
  <si>
    <t>χ² cal= N . [(a.d) -(b.c)]^2 / (Te.Ts.T+.T-)</t>
  </si>
  <si>
    <t>Te</t>
  </si>
  <si>
    <t>Ts</t>
  </si>
  <si>
    <t>N</t>
  </si>
  <si>
    <t>[(a.d) -(b.c)]^2  =</t>
  </si>
  <si>
    <t>(Te.Ts.T+.T-) =</t>
  </si>
  <si>
    <t>N =</t>
  </si>
  <si>
    <t xml:space="preserve">χ² cal = </t>
  </si>
  <si>
    <t>Si χ² cal &lt; χ² teórico =&gt;</t>
  </si>
  <si>
    <t>Se acepta Ho =&gt; existe homogeneidad o independencia de la intervención estudiada</t>
  </si>
  <si>
    <t>Si χ² cal &gt; χ² teórico =&gt;</t>
  </si>
  <si>
    <t>χ² cal - χ² teórico =</t>
  </si>
  <si>
    <t>Es &lt; 0 =&gt;Acepto Ho =&gt; Homogeneidad o independencia (tratamiento no eficaz)</t>
  </si>
  <si>
    <t xml:space="preserve">Altura en </t>
  </si>
  <si>
    <t>solana (cm)</t>
  </si>
  <si>
    <t>Altura en</t>
  </si>
  <si>
    <t>Media (m)</t>
  </si>
  <si>
    <t>Solana</t>
  </si>
  <si>
    <t>Umbría</t>
  </si>
  <si>
    <t>Suma</t>
  </si>
  <si>
    <t>n =</t>
  </si>
  <si>
    <t>N = (n1 + n2)</t>
  </si>
  <si>
    <t>El método más tradicional para comparar dos medias es el Test de la t. Este estadístico sigue la distribución de la "t de Student".</t>
  </si>
  <si>
    <t>El análisis de la varianza (ANOVA) puede emplearse también para analizar las diferencias entre las medias de dos grupos, sin embargo,</t>
  </si>
  <si>
    <t>es un método más general que permite las comparaciones entre las medidas de dos o más grupos</t>
  </si>
  <si>
    <t>Como es menor que F teórico</t>
  </si>
  <si>
    <t>Es &lt; 0 =&gt;Acepto Ho =&gt; Las varianzas poblacionales son significativamente iguales</t>
  </si>
  <si>
    <t>F obt - F teór =</t>
  </si>
  <si>
    <t>F teórico para alfa 0,01 =</t>
  </si>
  <si>
    <t>Operando en este ejemplo, pues, por los requisitos que cumple, éste es la fórmula que debemos aplicar.</t>
  </si>
  <si>
    <t>En este caso no es necesario comporbar si la Varianza1 = Varianza2, ya que aunque sean distintas, se usa la mísma fórmula</t>
  </si>
  <si>
    <t>3.2.1) Si n1 = n2</t>
  </si>
  <si>
    <t>t cal = (m1-m2) / Covarianza "p" .  Raíz [(1 / n1)+(1 / n2)]</t>
  </si>
  <si>
    <t>Siendo</t>
  </si>
  <si>
    <t>Covarianza "p" = Raíz [ ( Cuasivarianza1.(n1-1) + Cuasivarianza2.(n2-1) ) / (n1+n2-2)]</t>
  </si>
  <si>
    <t xml:space="preserve">Siendo </t>
  </si>
  <si>
    <t>n1+n2-2 = grados de libertad (g.l)</t>
  </si>
  <si>
    <t xml:space="preserve">t teórico, para alfa 0,01, con 18 grados de libertad = </t>
  </si>
  <si>
    <t xml:space="preserve">t teórico, para alfa 0,05, con 18 grados de libertad = </t>
  </si>
  <si>
    <t xml:space="preserve">(m1-m2)= </t>
  </si>
  <si>
    <t>Raíz [(Cuazivar1 / n1)+(Cuasivar2 / n2)]</t>
  </si>
  <si>
    <t xml:space="preserve">t cal = </t>
  </si>
  <si>
    <t>t cal - t teórico=</t>
  </si>
  <si>
    <t>Es &lt; 0 =&gt;Acepto Ho =&gt; Estadísticamente, las especies crecen igual en solana que en umbría</t>
  </si>
  <si>
    <t>2)</t>
  </si>
  <si>
    <t>Entre grupos</t>
  </si>
  <si>
    <t>1)</t>
  </si>
  <si>
    <t>TIPOS DE VARIABLES</t>
  </si>
  <si>
    <t>VARIABLES CUANTITATIVAS</t>
  </si>
  <si>
    <t>Se trata de variables medibles (altura, peso…). Pueden tomar valores enteros o decimales</t>
  </si>
  <si>
    <t>Son variables de cualidad. Los datos que se toman son el número de individuos que presentan dicha cualidad (frecuencias de aparición), y por tanto números enteros.</t>
  </si>
  <si>
    <t>TRATAMIENTOS ESTADÍSTICOS</t>
  </si>
  <si>
    <t>VARIABLES CUALITATIVAS</t>
  </si>
  <si>
    <t>Chi cuadrado de Pearson (un ejemplo de variable cualitativa).</t>
  </si>
  <si>
    <t>CORRELACIÓN / Regresión</t>
  </si>
  <si>
    <t>La correlación es una medida del grado de relación (lineal) entre dos variables.</t>
  </si>
  <si>
    <t>La regresión es un modelo estadístico que sirve para predecir un comportamiento real de una población mediante un modelo matemático (ecuación).</t>
  </si>
  <si>
    <t>sentido ajustar su relación mediante una recta o una curva.</t>
  </si>
  <si>
    <t>Nº Poa bulbosa (x)</t>
  </si>
  <si>
    <t>Nº plantas anuales (y)</t>
  </si>
  <si>
    <t>r = [Cov (xy) / Raíz (Var x . Var y)] = [-1&lt;r&lt;1]</t>
  </si>
  <si>
    <t xml:space="preserve">Cov (xy)= [(Suma (xy))/ n ] - (media x . media y) </t>
  </si>
  <si>
    <t>Var x = [(Suma (x^2))/n] - media x^2</t>
  </si>
  <si>
    <t>Nº de cuadro</t>
  </si>
  <si>
    <t>xi</t>
  </si>
  <si>
    <t>yi</t>
  </si>
  <si>
    <t>xy</t>
  </si>
  <si>
    <t>x^2</t>
  </si>
  <si>
    <t>Total</t>
  </si>
  <si>
    <t>media y=</t>
  </si>
  <si>
    <t>media x=</t>
  </si>
  <si>
    <t>media x^2 =</t>
  </si>
  <si>
    <t xml:space="preserve">media y^2= </t>
  </si>
  <si>
    <t>y^2</t>
  </si>
  <si>
    <t>"r teórico" para alfa 0,05 =</t>
  </si>
  <si>
    <t>3)</t>
  </si>
  <si>
    <t>Ho = no hay correlación a nivel poblacional entre las dos variables (variables incorreladas) p = 0</t>
  </si>
  <si>
    <t>Es &gt; 0 =&gt;Rechazo Ho =&gt; Existe evidencia estadística de que existe correlación entre variables (que es negativa).</t>
  </si>
  <si>
    <t xml:space="preserve">Valor absoluto r - r teórico= </t>
  </si>
  <si>
    <t>2) Elaborar (ajustar) la ecuación de regresión.</t>
  </si>
  <si>
    <t>Ajusar las variables de una regresión. Aunque las regresiones pueden ser lineales (y=A+B), logarítmicas, etc., en este tipo de aplicaciones la regresión</t>
  </si>
  <si>
    <t>(y/x): (x - media x)= [Cov (x, y ) / Var y] . (y - media y)</t>
  </si>
  <si>
    <t>Para nuestro ejemplo anterior, calculamos la recta (y/x):</t>
  </si>
  <si>
    <t>(y - media y)= [Cov (x, y ) / Var x] . (x - media x)</t>
  </si>
  <si>
    <t>(y - media y)=</t>
  </si>
  <si>
    <t>[Cov (x, y ) / Var x]=</t>
  </si>
  <si>
    <t>(x - media x)=</t>
  </si>
  <si>
    <t>(y - 6)</t>
  </si>
  <si>
    <t>"=-9,4 / 9,2"</t>
  </si>
  <si>
    <t>(x - 4)</t>
  </si>
  <si>
    <t>La ecuación (y/x) queda así:</t>
  </si>
  <si>
    <t>y= -1,02 x + 10,08</t>
  </si>
  <si>
    <t>y</t>
  </si>
  <si>
    <t>x</t>
  </si>
  <si>
    <t>(x - media x)= [Cov (x, y ) / Var y] . (y - media y)</t>
  </si>
  <si>
    <t>[Cov (x, y ) / Var y]=</t>
  </si>
  <si>
    <t>"=-9,4 / 10"</t>
  </si>
  <si>
    <t>(y- 6)</t>
  </si>
  <si>
    <t>x= -0,94 y - 7,76</t>
  </si>
  <si>
    <t>La ecuación (x/y) queda así:</t>
  </si>
  <si>
    <t>Tangente</t>
  </si>
  <si>
    <t>en grados</t>
  </si>
  <si>
    <t>Arco tangente</t>
  </si>
  <si>
    <t>cm^2</t>
  </si>
  <si>
    <t>La cuasivarianza es igual que la varianza, pero dividido por N-1 en lugar de N</t>
  </si>
  <si>
    <t>1) Calcular el coeficiente de correlación de Pearson "r".</t>
  </si>
  <si>
    <t>n=</t>
  </si>
  <si>
    <t>Tt</t>
  </si>
  <si>
    <t>Tn</t>
  </si>
  <si>
    <t>χ² cal= N . [(a.d) -(b.c)]^2 / (Te.Ts.Tt.Tn)</t>
  </si>
  <si>
    <t>CONTRASTE PARA IGUADAD DE MEDIAS (DATOS CUANTITATIVOS); t de Studen, ANOVA.</t>
  </si>
  <si>
    <t>GRADO DE ASOCIACIÓN ENTRE DOS VARIABLES.</t>
  </si>
  <si>
    <t>χ² cal= Suma [(ao-ae)^2/ae +(bo-be)^2/be + (co-ce)^2/ce + (do-de)^2/de)</t>
  </si>
  <si>
    <t>Teórico= esperado</t>
  </si>
  <si>
    <t>χ² cal=</t>
  </si>
  <si>
    <t>que da el mismo valor que de la otra forma</t>
  </si>
  <si>
    <t>COMPRENSIÓN DE LA SITUACIÓN PARA LA UTILIZACIÓN DE ANOVA</t>
  </si>
  <si>
    <t>grupo 1</t>
  </si>
  <si>
    <t>grupo 2</t>
  </si>
  <si>
    <t>grupo 3</t>
  </si>
  <si>
    <t>a la media universo. NO HAY DIFERENCIAS ENTRE GRUPOS NI HAY DIFERENCIAS DENTRO DE LOS GRUPOS.</t>
  </si>
  <si>
    <t>1) Supongamos una población de las notas y i.i de un universo de 9 alumnos de tres grupos distintos, así</t>
  </si>
  <si>
    <t>2) Supongamos que aplicamos un métido de enseñanza (facto de exposición) que afecta subiendo las notas del primer grupo en 1 punto,</t>
  </si>
  <si>
    <t>5+1=6</t>
  </si>
  <si>
    <t>5+2=7</t>
  </si>
  <si>
    <t>3) Pero la situación más habitual es que haya alumnos que rindan más que otros (por diversas razones aleatorias o que en principio no dependen</t>
  </si>
  <si>
    <t>5+1-1=5</t>
  </si>
  <si>
    <t>5+1-2=4</t>
  </si>
  <si>
    <t>5+1+0=6</t>
  </si>
  <si>
    <t>5+2+2=9</t>
  </si>
  <si>
    <t>5+2+0=7</t>
  </si>
  <si>
    <t>5+2+1=8</t>
  </si>
  <si>
    <t>5+0+3=8</t>
  </si>
  <si>
    <t>5+0+4=9</t>
  </si>
  <si>
    <t>5+0+0=5</t>
  </si>
  <si>
    <t>5+0=5</t>
  </si>
  <si>
    <t xml:space="preserve">siendo "alfa i": 1, 2 y 0; es decir, los EFECTOS QUE PRODUCEN EL FACTOR DE EXPOSICIÓN EN CADA NIVEL. </t>
  </si>
  <si>
    <t>PARECE CLARO QUE EL FACTOR INFLUYE EN ESTABLECER DIFERENCIAS INTERGRUPOS,  pero no dentro de los grupos (intragrupo)</t>
  </si>
  <si>
    <t>Evidentemente, en este caso la media global es 5, y de cada grupo también; y i.j = Media universo. Cada valor es igual</t>
  </si>
  <si>
    <t xml:space="preserve">en el segundo 2 puntos y no modificando el tercer grupo. Así, ahora la nota de un alumno sería y i.j = Media Universo + alfa i,  </t>
  </si>
  <si>
    <t xml:space="preserve">de un factor de exposición), por lo que son comportamientos aleatorios individuales, que denominamos "épsilon i.j", como podría ser así: </t>
  </si>
  <si>
    <t xml:space="preserve">En el ejemplo, los efectos aleatorios "épsilon i.j" serían: 11, -2, 0, 2, 0, 1, 3, 4, 0; que fomentan la VARIABILIDAD DENTRO DE LOS GRUPOS (INTRAGRUPOS)  </t>
  </si>
  <si>
    <t>Entonces para cada valor tndremos el modelo  y i.j = Media universo + alfa i + épsilon i.j</t>
  </si>
  <si>
    <t>Tenemos dos tipos de variabilidad: la entre grupos (debida al factor) y la intragrupos (debida a la aleatoriedad).</t>
  </si>
  <si>
    <t>Intervención</t>
  </si>
  <si>
    <t>Control</t>
  </si>
  <si>
    <t>Para poder afirmar que el factor produce efectos, la variabilidad intergrupos ha de ser SIGNIFICATIVAMENTE GRANDE respecto a la intrarupos.</t>
  </si>
  <si>
    <t>NOTA: El modelo de efectos fijos considera sólo la variabilidad intraestudio, considerando que no existe varabilidad interestudio. El de efectos aleatorios considera las dos.</t>
  </si>
  <si>
    <t xml:space="preserve">En el caso del metaanálisis de Ray, el modelo de efectos fijos consideraría que el factor (control intensivo glucemia) es significativamente igual en los 5 ECA incluidos, y que las únicas </t>
  </si>
  <si>
    <t>diferencias son las propias de la variabilidad de los individuos (aleatoria) intragrupo. Sin embargo, Ray utilizó el modelo de efectos aleatorios, porque consideró que, además de la variabilidad</t>
  </si>
  <si>
    <t>aleatoria de los individuos dentro de cada grupo, también podría haber diferencias en el factor de exposición (control intensivo), de modo que, por ejemplo, el efecto en el UKPDS</t>
  </si>
  <si>
    <t>sería 1 (que habría que sumar en todos los individuos del UKPDS), en el ADVANCE 1,33 (que habría que restar a todos los individuos del ADVANCE), y así en los demás.</t>
  </si>
  <si>
    <t xml:space="preserve">χ² teórico alfa 0,01, 1 g.l = </t>
  </si>
  <si>
    <t xml:space="preserve">χ² teórico alfa 0,05, y 1 g.l = </t>
  </si>
  <si>
    <t>IAM sí</t>
  </si>
  <si>
    <t>IAM no</t>
  </si>
  <si>
    <t>UKPDS 33</t>
  </si>
  <si>
    <t>ADVANCE</t>
  </si>
  <si>
    <t>Antes de fabricar el modelo matemático (la ecuación), es necesario saber si existe una correlacón entre variables, ya que si son incorreladas, no tiene</t>
  </si>
  <si>
    <t>Media (m)^2</t>
  </si>
  <si>
    <t>a la que se ajustan las variables corelacionadas es una recta. Se pueden obener dos rectas diferentes, según se tome como variable independiente a la "y" o a la "x".</t>
  </si>
  <si>
    <t>Si χ² calculado &lt; χ² teórico =&gt;</t>
  </si>
  <si>
    <t>Si χ² calculado &gt; χ² teórico =&gt;</t>
  </si>
  <si>
    <t xml:space="preserve">χ² calculado = </t>
  </si>
  <si>
    <t>Al numerador también se le denomina "Suma de los Productos xy" (SPxy)</t>
  </si>
  <si>
    <t>Cuando las dos variables "x" e "y" varían casi enteramente al unísono, a este concepto se le denomina COVARIANZA.</t>
  </si>
  <si>
    <t>y después comparar la "t obtenida" con la "t teórica para n-2 grados de libertad"</t>
  </si>
  <si>
    <t>Valor absoluto de "t obtenido" - "t teórico" =</t>
  </si>
  <si>
    <t>Veamos que voy por buen camino, mediante una fórmula de excell:</t>
  </si>
  <si>
    <t>que es estadísticamente significativa</t>
  </si>
  <si>
    <t>SEGUNDO MÉTODO, MÁS FÁCIL Y AUTÓMONO</t>
  </si>
  <si>
    <t>Para esto sabemos, por las tablas que:</t>
  </si>
  <si>
    <t>H1 = existe correlación entre variables p distinto de 0</t>
  </si>
  <si>
    <t>r tans = 1/2 . ln (1+r / 1-r) =</t>
  </si>
  <si>
    <t>EE "r trasn" = 1 / Raíz (n-3) =</t>
  </si>
  <si>
    <t>El IC 95= = r trans +- Z alfa/2 . EE "r trans"</t>
  </si>
  <si>
    <t>Operamos =&gt;</t>
  </si>
  <si>
    <t>"+-"</t>
  </si>
  <si>
    <t>Z alfa/2 (0,05)</t>
  </si>
  <si>
    <t>Aplicando el +</t>
  </si>
  <si>
    <t>"+"</t>
  </si>
  <si>
    <t>Aplicando el -</t>
  </si>
  <si>
    <t>"-"</t>
  </si>
  <si>
    <t>EE "r trans"</t>
  </si>
  <si>
    <t>r trans</t>
  </si>
  <si>
    <t>ln de límite superior para el coeficiente transformado (ojo, aún no es el original)</t>
  </si>
  <si>
    <t>ln de límite inferior para el coeficiente transformado (ojo, aún no es el original)</t>
  </si>
  <si>
    <t>Seguidamente calculo el error estándar de "r transf" =</t>
  </si>
  <si>
    <t>e=</t>
  </si>
  <si>
    <t>)</t>
  </si>
  <si>
    <t>COMODÍN PARA LOS CÁLCULOS</t>
  </si>
  <si>
    <t>Y continuamos así</t>
  </si>
  <si>
    <t>IC 95% (</t>
  </si>
  <si>
    <t xml:space="preserve">a </t>
  </si>
  <si>
    <t xml:space="preserve"> =COEF.DE.CORREL(C185:C189;D185:D189) =</t>
  </si>
  <si>
    <t>"=-DISTR.NORM.ESTAND.INV(2,5/100)</t>
  </si>
  <si>
    <t>DIST.T("t" obtenida; grados de libertad; nº de colas) =</t>
  </si>
  <si>
    <t>Si F obtenido &lt; F teórico, entonces se acepta Ho</t>
  </si>
  <si>
    <t>F obtenido = Cuasivarianza 1 / Cuasivarianza 2</t>
  </si>
  <si>
    <t>F obtenido = Cuasivarianza 1 / Cuasivarianza 2=</t>
  </si>
  <si>
    <t>y de si el tamaño muestral (n1+n2) es grande (&gt;30) o pequeño, se aplican diferentes fórmulas para generalizar el "Test t de Student".</t>
  </si>
  <si>
    <t>Ho = m1 = m2 (las varianzas poblacionales son significativamente iguales), denominando m1 a la media de la primera población y m2 de la segunda</t>
  </si>
  <si>
    <t xml:space="preserve"> = Suma de los productos / Raíz de la suma de los cuadrados</t>
  </si>
  <si>
    <t xml:space="preserve">La relación entre dos variables unimensionales puede ser: a) de dependencia funcional, si las dos variables se ajustan a la gráfica de una función; </t>
  </si>
  <si>
    <t>y b) de dependencia aleatoria o correlación, si sus valores no se ajustan a la gráfica de una función, pero guardan cierta relación.</t>
  </si>
  <si>
    <t>El diagrama de dispersión nos indica el tipo de relación que existe entre dos variables</t>
  </si>
  <si>
    <t>Este proceso se llama estudio de las distribuciones marginales asociadas a la variable bidimensional.</t>
  </si>
  <si>
    <t>Además de los parámetros unidimensionales dados por las distribuciones marginales, es necesario introducir un nuevo parámetro que tenga en cuanta la posible relación entre las variables marginales.</t>
  </si>
  <si>
    <t>Ejemplo: La tabla de este ejemplo representa los días transcurridos desde que se plantó y la altura (en cm) alcanzada por una cierta planta.</t>
  </si>
  <si>
    <t>Nº de días, xi</t>
  </si>
  <si>
    <t>Altura cm, yi</t>
  </si>
  <si>
    <t>xi^2</t>
  </si>
  <si>
    <t>yi^2</t>
  </si>
  <si>
    <t>Distribución marginal de la variable X</t>
  </si>
  <si>
    <t xml:space="preserve">Media de x = </t>
  </si>
  <si>
    <t>Desv típ x =</t>
  </si>
  <si>
    <t>Contar:</t>
  </si>
  <si>
    <t>Distribución marginal de la variable Y</t>
  </si>
  <si>
    <t>días . cm</t>
  </si>
  <si>
    <t>Ej.: Se ha medido la superficie en dm2 ocupada por Poa bulbosa (x) y plantas anuales (y) en 5 cuadros de muestras de 10 dm2, para comprobar si se asocian o no.</t>
  </si>
  <si>
    <t>Desv típ x= Sx=</t>
  </si>
  <si>
    <t>Desv típ y= Sy=</t>
  </si>
  <si>
    <t>Var x= Sx^2=</t>
  </si>
  <si>
    <t>Var y= Sy^^2=</t>
  </si>
  <si>
    <t>Sx . Sy =</t>
  </si>
  <si>
    <t>S[X,Y]=</t>
  </si>
  <si>
    <t>Véase la relación entre - 9,40 y 9,59, porque eso es el Cfte Correlación</t>
  </si>
  <si>
    <t>El coeficiente de correlación es igual a la covarianza (en cm^2) dividido por el producto de las dos desviaciones típicas (en cm . cm = cm^2).</t>
  </si>
  <si>
    <t>El numerador ¿debe? Ser  más pequeño que el denominador. Pero cuanto más se acerque al denominador, la asociación entre las variables unidimensionales será mayor.</t>
  </si>
  <si>
    <t>"=COVAR(B21:B26;C21:C26)</t>
  </si>
  <si>
    <t>Esperadas, tb multiplico marginales y divido por total</t>
  </si>
  <si>
    <t xml:space="preserve">Varianza muestral = s^2 = {Suma de [ (xi - m)^2 ] / (n-1) } </t>
  </si>
  <si>
    <t xml:space="preserve">Varianza poblacional = "siigma"^2 = {Suma de [ (xi - "mu")^2 ] / N } </t>
  </si>
  <si>
    <t>Es n-1 porque son los grados de libertad (ver pág 54 Estad Amigable)</t>
  </si>
  <si>
    <t>xi * yi</t>
  </si>
  <si>
    <t>Comparación entre el precio real de los alimentos y el papel que ejerce al determinar la elección de los alimentos en los 15 países de la entonces UE.</t>
  </si>
  <si>
    <t xml:space="preserve">La variable influencia del precio corresponde al % de adultos que en una encuesta mencionó que el precio le influía mucho al elegir sus alimentos. </t>
  </si>
  <si>
    <t>Los rangos van por el orden: 65 es el rango 1, 65 es el 2. Cuando dos valores coinciden, se hace el promedio para ambos. En este caso 65 y 65 seguidos hacen el 1,5 y 1,5 porque son los dos primeros</t>
  </si>
  <si>
    <t>Por tanto, en vista de que no todas las relaciones que se encuentran son lineales, debería usarse más (Altman, 1991).</t>
  </si>
  <si>
    <t>d^2</t>
  </si>
  <si>
    <t>rho = 1 - [(6*Sumat d^2)/n*(n^2 - 1)]</t>
  </si>
  <si>
    <t>(6*Sumat d^2)</t>
  </si>
  <si>
    <t>n*(n^2 - 1)</t>
  </si>
  <si>
    <t>Sumat d^2=</t>
  </si>
  <si>
    <t>rho tansf = 1/2 . ln (1+rho / 1-rho) =</t>
  </si>
  <si>
    <t>EE "rho trasnf" = 1 / Raíz (n-3) =</t>
  </si>
  <si>
    <t>Estudio de homogeneidad (independencia) o heterogeneidad (dependencia) de la intervención</t>
  </si>
  <si>
    <t>COVARIANZA = Suma de los productos xy / n-1 =&gt; Sumat [(xi - media x)*(yi - media y)] / n-1</t>
  </si>
  <si>
    <t>Al punto [Media de x, Media de Y] se le llama centro de gravedad o de masas de la variable bidimensional.</t>
  </si>
  <si>
    <t>"=COVAR</t>
  </si>
  <si>
    <r>
      <t xml:space="preserve">DE= </t>
    </r>
    <r>
      <rPr>
        <i/>
        <sz val="10"/>
        <rFont val="Calibri"/>
        <family val="2"/>
      </rPr>
      <t>s</t>
    </r>
  </si>
  <si>
    <r>
      <t>x</t>
    </r>
    <r>
      <rPr>
        <vertAlign val="subscript"/>
        <sz val="10"/>
        <rFont val="Calibri"/>
        <family val="2"/>
      </rPr>
      <t>i</t>
    </r>
    <r>
      <rPr>
        <sz val="10"/>
        <rFont val="Calibri"/>
        <family val="2"/>
      </rPr>
      <t xml:space="preserve"> - x</t>
    </r>
    <r>
      <rPr>
        <vertAlign val="subscript"/>
        <sz val="10"/>
        <rFont val="Calibri"/>
        <family val="2"/>
      </rPr>
      <t>media</t>
    </r>
  </si>
  <si>
    <r>
      <t>y</t>
    </r>
    <r>
      <rPr>
        <vertAlign val="subscript"/>
        <sz val="10"/>
        <rFont val="Calibri"/>
        <family val="2"/>
      </rPr>
      <t>i</t>
    </r>
    <r>
      <rPr>
        <sz val="10"/>
        <rFont val="Calibri"/>
        <family val="2"/>
      </rPr>
      <t xml:space="preserve"> - y</t>
    </r>
    <r>
      <rPr>
        <vertAlign val="subscript"/>
        <sz val="10"/>
        <rFont val="Calibri"/>
        <family val="2"/>
      </rPr>
      <t>media</t>
    </r>
  </si>
  <si>
    <r>
      <t>(x</t>
    </r>
    <r>
      <rPr>
        <vertAlign val="subscript"/>
        <sz val="10"/>
        <rFont val="Calibri"/>
        <family val="2"/>
      </rPr>
      <t>i</t>
    </r>
    <r>
      <rPr>
        <sz val="10"/>
        <rFont val="Calibri"/>
        <family val="2"/>
      </rPr>
      <t xml:space="preserve"> - x</t>
    </r>
    <r>
      <rPr>
        <vertAlign val="subscript"/>
        <sz val="10"/>
        <rFont val="Calibri"/>
        <family val="2"/>
      </rPr>
      <t>media</t>
    </r>
    <r>
      <rPr>
        <sz val="10"/>
        <rFont val="Calibri"/>
        <family val="2"/>
      </rPr>
      <t>)</t>
    </r>
    <r>
      <rPr>
        <vertAlign val="superscript"/>
        <sz val="10"/>
        <rFont val="Calibri"/>
        <family val="2"/>
      </rPr>
      <t>2</t>
    </r>
  </si>
  <si>
    <r>
      <t>(y</t>
    </r>
    <r>
      <rPr>
        <vertAlign val="subscript"/>
        <sz val="10"/>
        <rFont val="Calibri"/>
        <family val="2"/>
      </rPr>
      <t>i</t>
    </r>
    <r>
      <rPr>
        <sz val="10"/>
        <rFont val="Calibri"/>
        <family val="2"/>
      </rPr>
      <t xml:space="preserve"> - y</t>
    </r>
    <r>
      <rPr>
        <vertAlign val="subscript"/>
        <sz val="10"/>
        <rFont val="Calibri"/>
        <family val="2"/>
      </rPr>
      <t>media</t>
    </r>
    <r>
      <rPr>
        <sz val="10"/>
        <rFont val="Calibri"/>
        <family val="2"/>
      </rPr>
      <t>)</t>
    </r>
    <r>
      <rPr>
        <vertAlign val="superscript"/>
        <sz val="10"/>
        <rFont val="Calibri"/>
        <family val="2"/>
      </rPr>
      <t>2</t>
    </r>
  </si>
  <si>
    <r>
      <t>(x</t>
    </r>
    <r>
      <rPr>
        <vertAlign val="subscript"/>
        <sz val="10"/>
        <rFont val="Calibri"/>
        <family val="2"/>
      </rPr>
      <t>i</t>
    </r>
    <r>
      <rPr>
        <sz val="10"/>
        <rFont val="Calibri"/>
        <family val="2"/>
      </rPr>
      <t xml:space="preserve"> - x</t>
    </r>
    <r>
      <rPr>
        <vertAlign val="subscript"/>
        <sz val="10"/>
        <rFont val="Calibri"/>
        <family val="2"/>
      </rPr>
      <t>media</t>
    </r>
    <r>
      <rPr>
        <sz val="10"/>
        <rFont val="Calibri"/>
        <family val="2"/>
      </rPr>
      <t>) * (y</t>
    </r>
    <r>
      <rPr>
        <vertAlign val="subscript"/>
        <sz val="10"/>
        <rFont val="Calibri"/>
        <family val="2"/>
      </rPr>
      <t>i</t>
    </r>
    <r>
      <rPr>
        <sz val="10"/>
        <rFont val="Calibri"/>
        <family val="2"/>
      </rPr>
      <t xml:space="preserve"> - y</t>
    </r>
    <r>
      <rPr>
        <vertAlign val="subscript"/>
        <sz val="10"/>
        <rFont val="Calibri"/>
        <family val="2"/>
      </rPr>
      <t>media</t>
    </r>
    <r>
      <rPr>
        <sz val="10"/>
        <rFont val="Calibri"/>
        <family val="2"/>
      </rPr>
      <t>)</t>
    </r>
  </si>
  <si>
    <r>
      <t>(x</t>
    </r>
    <r>
      <rPr>
        <vertAlign val="subscript"/>
        <sz val="10"/>
        <rFont val="Calibri"/>
        <family val="2"/>
      </rPr>
      <t>i</t>
    </r>
    <r>
      <rPr>
        <sz val="10"/>
        <rFont val="Calibri"/>
        <family val="2"/>
      </rPr>
      <t xml:space="preserve"> - x</t>
    </r>
    <r>
      <rPr>
        <vertAlign val="subscript"/>
        <sz val="10"/>
        <rFont val="Calibri"/>
        <family val="2"/>
      </rPr>
      <t>media</t>
    </r>
    <r>
      <rPr>
        <sz val="10"/>
        <rFont val="Calibri"/>
        <family val="2"/>
      </rPr>
      <t>)</t>
    </r>
    <r>
      <rPr>
        <vertAlign val="superscript"/>
        <sz val="10"/>
        <rFont val="Calibri"/>
        <family val="2"/>
      </rPr>
      <t>2</t>
    </r>
    <r>
      <rPr>
        <sz val="10"/>
        <rFont val="Calibri"/>
        <family val="2"/>
      </rPr>
      <t xml:space="preserve"> * (y</t>
    </r>
    <r>
      <rPr>
        <vertAlign val="subscript"/>
        <sz val="10"/>
        <rFont val="Calibri"/>
        <family val="2"/>
      </rPr>
      <t>i</t>
    </r>
    <r>
      <rPr>
        <sz val="10"/>
        <rFont val="Calibri"/>
        <family val="2"/>
      </rPr>
      <t xml:space="preserve"> - y</t>
    </r>
    <r>
      <rPr>
        <vertAlign val="subscript"/>
        <sz val="10"/>
        <rFont val="Calibri"/>
        <family val="2"/>
      </rPr>
      <t>media</t>
    </r>
    <r>
      <rPr>
        <sz val="10"/>
        <rFont val="Calibri"/>
        <family val="2"/>
      </rPr>
      <t>)</t>
    </r>
    <r>
      <rPr>
        <vertAlign val="superscript"/>
        <sz val="10"/>
        <rFont val="Calibri"/>
        <family val="2"/>
      </rPr>
      <t>2</t>
    </r>
  </si>
  <si>
    <t>Suma de los productos</t>
  </si>
  <si>
    <r>
      <t>z</t>
    </r>
    <r>
      <rPr>
        <vertAlign val="subscript"/>
        <sz val="10"/>
        <rFont val="Calibri"/>
        <family val="2"/>
      </rPr>
      <t>x</t>
    </r>
  </si>
  <si>
    <r>
      <t>z</t>
    </r>
    <r>
      <rPr>
        <vertAlign val="subscript"/>
        <sz val="10"/>
        <rFont val="Calibri"/>
        <family val="2"/>
      </rPr>
      <t>y</t>
    </r>
  </si>
  <si>
    <r>
      <t>z</t>
    </r>
    <r>
      <rPr>
        <vertAlign val="subscript"/>
        <sz val="10"/>
        <rFont val="Calibri"/>
        <family val="2"/>
      </rPr>
      <t>x</t>
    </r>
    <r>
      <rPr>
        <sz val="10"/>
        <rFont val="Calibri"/>
        <family val="2"/>
      </rPr>
      <t xml:space="preserve"> * z</t>
    </r>
    <r>
      <rPr>
        <vertAlign val="subscript"/>
        <sz val="10"/>
        <rFont val="Calibri"/>
        <family val="2"/>
      </rPr>
      <t>y</t>
    </r>
  </si>
  <si>
    <t>umbría (cm)</t>
  </si>
  <si>
    <t>Para comparar dos medias se emplean la t de Student y procedimientos no paramétricos como los tests U de Mann-Whitney. Pero cuando hay más de dos grupos</t>
  </si>
  <si>
    <t>El ANOVA es un método paramétrico (porque no presupone ningún tipo de distribución conocida) y exige el cumplimiento de unos supuestos, pues cuando no se cumplen,</t>
  </si>
  <si>
    <t xml:space="preserve">si conocemos la varianza (s^2), porque Var (s^2) = SC / (N-1), y, despejando SC = (N-1) * s^2. </t>
  </si>
  <si>
    <t xml:space="preserve">    Veremos que SCE se puede calcular SCT-SCR o tb Sumat (xi-mt)^2 = (0,9-0,944)^2+…(0,9-0,944)^3</t>
  </si>
  <si>
    <t xml:space="preserve">    Veamos la tabla de más abajo en la que denominamos SCE la Suma de los Cuadrados entre Grupos; SCR la Suma de los Cuadrados Residual, y SCT la Suma de los Cuadrados Total.</t>
  </si>
  <si>
    <t>SCT = (Nt-1)*st^2 =</t>
  </si>
  <si>
    <t>SCE = SCT - SCR ó tb Sumat(xi-mt)^2 =</t>
  </si>
  <si>
    <t xml:space="preserve">F = Var entre grupos / Var resididual = </t>
  </si>
  <si>
    <t>actuales (0,980), siendo mínima en el grupo control (0,860). El test (p=0,01) nos ha informado que las medias de los tres grupos no pueden considerarse iguales.</t>
  </si>
  <si>
    <t>Habrá que valorar si hay diferencias significativas entre las tres posibles comparaciones de los grupos dos a dos (por parejas): 1) entre usuarios activos y control;</t>
  </si>
  <si>
    <t>Va de -1 a +1.</t>
  </si>
  <si>
    <t>La conclusión es que al aumentar el precio real de los comestibles, aumenta la influencia que tiene el precio al determinar la elección de los alimentos.</t>
  </si>
  <si>
    <t>Seguidamente calculo el error estándar de "rho transformado" =</t>
  </si>
  <si>
    <r>
      <t>Coeficiente de correlación de Pearson</t>
    </r>
    <r>
      <rPr>
        <b/>
        <i/>
        <sz val="14"/>
        <rFont val="Calibri"/>
        <family val="2"/>
      </rPr>
      <t xml:space="preserve"> r</t>
    </r>
    <r>
      <rPr>
        <b/>
        <sz val="14"/>
        <rFont val="Calibri"/>
        <family val="2"/>
      </rPr>
      <t xml:space="preserve"> y CURVA DE REGRESIÓN LINEAL SIMPLE</t>
    </r>
  </si>
  <si>
    <t>Personas dependientes</t>
  </si>
  <si>
    <t>Personas independientes</t>
  </si>
  <si>
    <r>
      <t>Coef. Correlación</t>
    </r>
    <r>
      <rPr>
        <b/>
        <i/>
        <sz val="12"/>
        <rFont val="Calibri"/>
        <family val="2"/>
      </rPr>
      <t xml:space="preserve"> r</t>
    </r>
    <r>
      <rPr>
        <sz val="10"/>
        <rFont val="Calibri"/>
        <family val="2"/>
      </rPr>
      <t xml:space="preserve"> =</t>
    </r>
  </si>
  <si>
    <t>La forma más sencilla de calcular el coeficiente de Spearman es usar los rangos, en vez de los datos originales de las variables y, con los rangos, calcular un coeficiente de Pearson.</t>
  </si>
  <si>
    <t>d = rango x - rango y</t>
  </si>
  <si>
    <t>A diferencia del coefiente de correlación de Pearson, este métdo no estima específicamente una asociación lineal entre las variables, sino sólo una asociación general.</t>
  </si>
  <si>
    <t>Este método no paramétrico (a diferencia de otros métodos no paramétricos) sí permite obtener el intervalo de confianza (que es el mismo que para el cfte r de Pearson)</t>
  </si>
  <si>
    <t>amplio, pues va desde la zona negativa hasta el 80% de la zona positiva. Esto indica que el estudio es poco preciso (pequeña intensidad de asociación entre ambas variables)</t>
  </si>
  <si>
    <t>Con que frecuencia visitas Facebook</t>
  </si>
  <si>
    <t>Me gusta organizar los eventos por Facebook</t>
  </si>
  <si>
    <t>Con que frecuencia actualizas información en Facebook</t>
  </si>
  <si>
    <r>
      <t xml:space="preserve">Varianza = S^2 </t>
    </r>
    <r>
      <rPr>
        <sz val="10"/>
        <color indexed="12"/>
        <rFont val="Calibri"/>
        <family val="2"/>
      </rPr>
      <t xml:space="preserve">= {Suma de [ (xi - Media de x)^2 ] / n } =&gt; Cuidado, porque nos da una idea de la dispersión, pero en unidades al cuadrado </t>
    </r>
    <r>
      <rPr>
        <b/>
        <u val="single"/>
        <sz val="10"/>
        <color indexed="12"/>
        <rFont val="Calibri"/>
        <family val="2"/>
      </rPr>
      <t>(cm^2)</t>
    </r>
    <r>
      <rPr>
        <sz val="10"/>
        <color indexed="12"/>
        <rFont val="Calibri"/>
        <family val="2"/>
      </rPr>
      <t>, con lo que no se intuye bien la dispersión..</t>
    </r>
  </si>
  <si>
    <r>
      <t xml:space="preserve">Desv típica = S </t>
    </r>
    <r>
      <rPr>
        <sz val="10"/>
        <color indexed="12"/>
        <rFont val="Calibri"/>
        <family val="2"/>
      </rPr>
      <t>= RAÍZ (Varianza: S^2) =&gt; permite operar matemáticamente porque se expresa enlas mismas unidades</t>
    </r>
    <r>
      <rPr>
        <b/>
        <u val="single"/>
        <sz val="10"/>
        <color indexed="12"/>
        <rFont val="Calibri"/>
        <family val="2"/>
      </rPr>
      <t xml:space="preserve"> (cm)</t>
    </r>
    <r>
      <rPr>
        <sz val="10"/>
        <color indexed="12"/>
        <rFont val="Calibri"/>
        <family val="2"/>
      </rPr>
      <t xml:space="preserve"> que las de la distribución unidimensional. La dispersión se intuye bien</t>
    </r>
  </si>
  <si>
    <r>
      <t>Varianza s</t>
    </r>
    <r>
      <rPr>
        <b/>
        <vertAlign val="superscript"/>
        <sz val="10"/>
        <color indexed="12"/>
        <rFont val="Calibri"/>
        <family val="2"/>
      </rPr>
      <t>2</t>
    </r>
  </si>
  <si>
    <r>
      <t>Cuasivarianza S</t>
    </r>
    <r>
      <rPr>
        <vertAlign val="superscript"/>
        <sz val="10"/>
        <color indexed="12"/>
        <rFont val="Calibri"/>
        <family val="2"/>
      </rPr>
      <t>2</t>
    </r>
  </si>
  <si>
    <r>
      <t xml:space="preserve">EJEMPLO: PARA VER LA </t>
    </r>
    <r>
      <rPr>
        <b/>
        <i/>
        <sz val="10"/>
        <color indexed="12"/>
        <rFont val="Calibri"/>
        <family val="2"/>
      </rPr>
      <t>p</t>
    </r>
    <r>
      <rPr>
        <b/>
        <sz val="10"/>
        <color indexed="12"/>
        <rFont val="Calibri"/>
        <family val="2"/>
      </rPr>
      <t xml:space="preserve"> ENTRE DOS MEDIAS </t>
    </r>
  </si>
  <si>
    <r>
      <t xml:space="preserve">y los del denominador. </t>
    </r>
    <r>
      <rPr>
        <b/>
        <sz val="10"/>
        <rFont val="Calibri"/>
        <family val="2"/>
      </rPr>
      <t>Test F = Var entre grupos "efecto=señal" / Var residual "error=ruido"</t>
    </r>
  </si>
  <si>
    <r>
      <t xml:space="preserve">VARIANZAS, </t>
    </r>
    <r>
      <rPr>
        <b/>
        <i/>
        <sz val="9"/>
        <rFont val="Calibri"/>
        <family val="2"/>
      </rPr>
      <t>s</t>
    </r>
    <r>
      <rPr>
        <b/>
        <sz val="9"/>
        <rFont val="Calibri"/>
        <family val="2"/>
      </rPr>
      <t>^2</t>
    </r>
  </si>
  <si>
    <r>
      <t>SCR = Sumat (</t>
    </r>
    <r>
      <rPr>
        <b/>
        <i/>
        <sz val="9"/>
        <rFont val="Calibri"/>
        <family val="2"/>
      </rPr>
      <t>n</t>
    </r>
    <r>
      <rPr>
        <vertAlign val="subscript"/>
        <sz val="9"/>
        <rFont val="Calibri"/>
        <family val="2"/>
      </rPr>
      <t>i</t>
    </r>
    <r>
      <rPr>
        <sz val="9"/>
        <rFont val="Calibri"/>
        <family val="2"/>
      </rPr>
      <t>-1)*</t>
    </r>
    <r>
      <rPr>
        <b/>
        <i/>
        <sz val="9"/>
        <rFont val="Calibri"/>
        <family val="2"/>
      </rPr>
      <t>s</t>
    </r>
    <r>
      <rPr>
        <vertAlign val="subscript"/>
        <sz val="9"/>
        <rFont val="Calibri"/>
        <family val="2"/>
      </rPr>
      <t>i</t>
    </r>
    <r>
      <rPr>
        <sz val="9"/>
        <rFont val="Calibri"/>
        <family val="2"/>
      </rPr>
      <t>^2 =</t>
    </r>
  </si>
  <si>
    <r>
      <t xml:space="preserve">"=DISTR.F("F obtenida";g lib "entre grupos" ;g lib "residual") = devuelve la </t>
    </r>
    <r>
      <rPr>
        <b/>
        <i/>
        <sz val="10"/>
        <rFont val="Calibri"/>
        <family val="2"/>
      </rPr>
      <t>p=</t>
    </r>
  </si>
  <si>
    <r>
      <t>Desv stand "</t>
    </r>
    <r>
      <rPr>
        <i/>
        <sz val="10"/>
        <color indexed="12"/>
        <rFont val="Calibri"/>
        <family val="2"/>
      </rPr>
      <t>s"</t>
    </r>
  </si>
  <si>
    <r>
      <t xml:space="preserve">VARIANZAS, </t>
    </r>
    <r>
      <rPr>
        <b/>
        <i/>
        <sz val="9"/>
        <color indexed="12"/>
        <rFont val="Calibri"/>
        <family val="2"/>
      </rPr>
      <t>s</t>
    </r>
    <r>
      <rPr>
        <b/>
        <sz val="9"/>
        <color indexed="12"/>
        <rFont val="Calibri"/>
        <family val="2"/>
      </rPr>
      <t>^2</t>
    </r>
  </si>
  <si>
    <r>
      <t>s</t>
    </r>
    <r>
      <rPr>
        <sz val="10"/>
        <color indexed="12"/>
        <rFont val="Calibri"/>
        <family val="2"/>
      </rPr>
      <t>t^2 = SCE / (N-1)</t>
    </r>
  </si>
  <si>
    <r>
      <t>SCR = Sumat (</t>
    </r>
    <r>
      <rPr>
        <b/>
        <i/>
        <sz val="9"/>
        <color indexed="12"/>
        <rFont val="Calibri"/>
        <family val="2"/>
      </rPr>
      <t>n</t>
    </r>
    <r>
      <rPr>
        <sz val="9"/>
        <color indexed="12"/>
        <rFont val="Calibri"/>
        <family val="2"/>
      </rPr>
      <t>i-1)*</t>
    </r>
    <r>
      <rPr>
        <b/>
        <i/>
        <sz val="9"/>
        <color indexed="12"/>
        <rFont val="Calibri"/>
        <family val="2"/>
      </rPr>
      <t>s</t>
    </r>
    <r>
      <rPr>
        <sz val="9"/>
        <color indexed="12"/>
        <rFont val="Calibri"/>
        <family val="2"/>
      </rPr>
      <t>i^2</t>
    </r>
  </si>
  <si>
    <r>
      <t>s</t>
    </r>
    <r>
      <rPr>
        <sz val="10"/>
        <color indexed="12"/>
        <rFont val="Calibri"/>
        <family val="2"/>
      </rPr>
      <t>r^2 = SCR / (N-k); que corresponde al "ruido" (="error")</t>
    </r>
  </si>
  <si>
    <r>
      <t>s</t>
    </r>
    <r>
      <rPr>
        <sz val="10"/>
        <color indexed="12"/>
        <rFont val="Calibri"/>
        <family val="2"/>
      </rPr>
      <t>e^2 = SCE / (k-1); que corresponde al "efecto" (="señal")</t>
    </r>
  </si>
  <si>
    <r>
      <t xml:space="preserve">"=DISTR.F("F obtenida";g lib "entre grupos" ;g lib "residual") = devuelve la </t>
    </r>
    <r>
      <rPr>
        <b/>
        <i/>
        <sz val="10"/>
        <color indexed="12"/>
        <rFont val="Calibri"/>
        <family val="2"/>
      </rPr>
      <t>p=</t>
    </r>
  </si>
  <si>
    <r>
      <t>Calculemos; a) los parámetros de las distribuciones marginales de X e Y; y b)</t>
    </r>
    <r>
      <rPr>
        <sz val="10"/>
        <color indexed="53"/>
        <rFont val="Calibri"/>
        <family val="2"/>
      </rPr>
      <t xml:space="preserve"> la COVARIANZA de la variable [</t>
    </r>
    <r>
      <rPr>
        <i/>
        <sz val="10"/>
        <color indexed="53"/>
        <rFont val="Calibri"/>
        <family val="2"/>
      </rPr>
      <t>X,Y</t>
    </r>
    <r>
      <rPr>
        <sz val="10"/>
        <color indexed="53"/>
        <rFont val="Calibri"/>
        <family val="2"/>
      </rPr>
      <t xml:space="preserve">] = </t>
    </r>
    <r>
      <rPr>
        <i/>
        <sz val="10"/>
        <color indexed="53"/>
        <rFont val="Calibri"/>
        <family val="2"/>
      </rPr>
      <t>S[X,Y]</t>
    </r>
  </si>
  <si>
    <r>
      <t xml:space="preserve">COVARIANZA: </t>
    </r>
    <r>
      <rPr>
        <i/>
        <sz val="10"/>
        <color indexed="53"/>
        <rFont val="Calibri"/>
        <family val="2"/>
      </rPr>
      <t>S[X,Y] =</t>
    </r>
  </si>
  <si>
    <r>
      <t xml:space="preserve">Obsérvese que la COVARIANZA es como si fuera la varianza </t>
    </r>
    <r>
      <rPr>
        <b/>
        <u val="single"/>
        <sz val="10"/>
        <color indexed="14"/>
        <rFont val="Calibri"/>
        <family val="2"/>
      </rPr>
      <t>(en cm^2)</t>
    </r>
    <r>
      <rPr>
        <sz val="10"/>
        <color indexed="14"/>
        <rFont val="Calibri"/>
        <family val="2"/>
      </rPr>
      <t xml:space="preserve"> de la distribución bidimensional, ya que estamos multiplicando</t>
    </r>
  </si>
  <si>
    <r>
      <t xml:space="preserve">la desviación del dato unidimensional </t>
    </r>
    <r>
      <rPr>
        <b/>
        <u val="single"/>
        <sz val="10"/>
        <color indexed="14"/>
        <rFont val="Calibri"/>
        <family val="2"/>
      </rPr>
      <t>(cm)</t>
    </r>
    <r>
      <rPr>
        <sz val="10"/>
        <color indexed="14"/>
        <rFont val="Calibri"/>
        <family val="2"/>
      </rPr>
      <t xml:space="preserve"> respecto a su media de una dimensión por el de la otra dimensión </t>
    </r>
    <r>
      <rPr>
        <b/>
        <u val="single"/>
        <sz val="10"/>
        <color indexed="14"/>
        <rFont val="Calibri"/>
        <family val="2"/>
      </rPr>
      <t>(cm)</t>
    </r>
    <r>
      <rPr>
        <sz val="10"/>
        <color indexed="14"/>
        <rFont val="Calibri"/>
        <family val="2"/>
      </rPr>
      <t>, y luego sumamos todos</t>
    </r>
  </si>
  <si>
    <r>
      <t xml:space="preserve">esos productos de esas desviaciones, y luego lo dividimos por n, que es justo lo que hacemos para calcular la varianza </t>
    </r>
    <r>
      <rPr>
        <b/>
        <u val="single"/>
        <sz val="10"/>
        <color indexed="14"/>
        <rFont val="Calibri"/>
        <family val="2"/>
      </rPr>
      <t>(cm^2)</t>
    </r>
    <r>
      <rPr>
        <sz val="10"/>
        <color indexed="14"/>
        <rFont val="Calibri"/>
        <family val="2"/>
      </rPr>
      <t xml:space="preserve"> dimensión.</t>
    </r>
  </si>
  <si>
    <r>
      <t xml:space="preserve">Podríamos ver la relación que hay entre la covarianza de las dos dimensiones (es decir, la "varianza bidimensional </t>
    </r>
    <r>
      <rPr>
        <b/>
        <u val="single"/>
        <sz val="10"/>
        <color indexed="53"/>
        <rFont val="Calibri"/>
        <family val="2"/>
      </rPr>
      <t>(en cm^2)</t>
    </r>
    <r>
      <rPr>
        <sz val="10"/>
        <color indexed="53"/>
        <rFont val="Calibri"/>
        <family val="2"/>
      </rPr>
      <t xml:space="preserve">" respecto a las </t>
    </r>
  </si>
  <si>
    <r>
      <t xml:space="preserve">desviaciones tìpicas unidimensionales </t>
    </r>
    <r>
      <rPr>
        <b/>
        <u val="single"/>
        <sz val="10"/>
        <color indexed="53"/>
        <rFont val="Calibri"/>
        <family val="2"/>
      </rPr>
      <t>(en cm)</t>
    </r>
    <r>
      <rPr>
        <sz val="10"/>
        <color indexed="53"/>
        <rFont val="Calibri"/>
        <family val="2"/>
      </rPr>
      <t xml:space="preserve">. De esa forma tendríamos una idea de con qué cantidad se relaciona la desviación bidimensional respecto </t>
    </r>
  </si>
  <si>
    <r>
      <t xml:space="preserve">al producto de las dos desviaciones unidimensionales </t>
    </r>
    <r>
      <rPr>
        <b/>
        <u val="single"/>
        <sz val="10"/>
        <color indexed="53"/>
        <rFont val="Calibri"/>
        <family val="2"/>
      </rPr>
      <t>(cm . cm = cm^2)</t>
    </r>
    <r>
      <rPr>
        <sz val="10"/>
        <color indexed="53"/>
        <rFont val="Calibri"/>
        <family val="2"/>
      </rPr>
      <t>. De esa forma tendremos una idea de cuánto se parece el valor de la desviación bidimensional</t>
    </r>
  </si>
  <si>
    <r>
      <t>(en cm^2)</t>
    </r>
    <r>
      <rPr>
        <sz val="10"/>
        <color indexed="53"/>
        <rFont val="Calibri"/>
        <family val="2"/>
      </rPr>
      <t xml:space="preserve"> respecto al producto de las dos desviaciones unidimensionales </t>
    </r>
    <r>
      <rPr>
        <b/>
        <sz val="10"/>
        <color indexed="53"/>
        <rFont val="Calibri"/>
        <family val="2"/>
      </rPr>
      <t>(en cm . cm = cm^2)</t>
    </r>
    <r>
      <rPr>
        <sz val="10"/>
        <color indexed="53"/>
        <rFont val="Calibri"/>
        <family val="2"/>
      </rPr>
      <t>. A eso se le llama</t>
    </r>
    <r>
      <rPr>
        <b/>
        <sz val="10"/>
        <color indexed="53"/>
        <rFont val="Calibri"/>
        <family val="2"/>
      </rPr>
      <t xml:space="preserve"> COEFICIENTE DE CORRELACIÓN.</t>
    </r>
  </si>
  <si>
    <r>
      <t>Cov (xy)= S[</t>
    </r>
    <r>
      <rPr>
        <i/>
        <sz val="10"/>
        <color indexed="53"/>
        <rFont val="Calibri"/>
        <family val="2"/>
      </rPr>
      <t>X,Y</t>
    </r>
    <r>
      <rPr>
        <sz val="10"/>
        <color indexed="53"/>
        <rFont val="Calibri"/>
        <family val="2"/>
      </rPr>
      <t>]</t>
    </r>
  </si>
  <si>
    <r>
      <t xml:space="preserve">Otra forma de expresarlo,  </t>
    </r>
    <r>
      <rPr>
        <b/>
        <i/>
        <sz val="10"/>
        <color indexed="61"/>
        <rFont val="Calibri"/>
        <family val="2"/>
      </rPr>
      <t>r</t>
    </r>
    <r>
      <rPr>
        <b/>
        <sz val="10"/>
        <color indexed="61"/>
        <rFont val="Calibri"/>
        <family val="2"/>
      </rPr>
      <t xml:space="preserve"> = [Suma (xi - media x) . (yi - media y) ] / Raíz [Suma (xi - media x)^2 . (yi - media y)^2]</t>
    </r>
  </si>
  <si>
    <r>
      <t>PRIMER MÉTODO PARA VER LA SIGNIFCACIÓN ESTADÍSTICA DEl "</t>
    </r>
    <r>
      <rPr>
        <b/>
        <i/>
        <u val="single"/>
        <sz val="10"/>
        <color indexed="12"/>
        <rFont val="Calibri"/>
        <family val="2"/>
      </rPr>
      <t>r</t>
    </r>
    <r>
      <rPr>
        <b/>
        <u val="single"/>
        <sz val="10"/>
        <color indexed="12"/>
        <rFont val="Calibri"/>
        <family val="2"/>
      </rPr>
      <t>" OBTENIDO:</t>
    </r>
  </si>
  <si>
    <r>
      <t>Puedo si el valor de "r" es estadísticamente significativo (comparando con la "t" teórica) de otra manera, incluso más fácil:</t>
    </r>
    <r>
      <rPr>
        <b/>
        <sz val="10"/>
        <color indexed="52"/>
        <rFont val="Calibri"/>
        <family val="2"/>
      </rPr>
      <t xml:space="preserve"> t n-2 = r . Raíz (n-2 / 1-r*2)</t>
    </r>
  </si>
  <si>
    <r>
      <t>t</t>
    </r>
    <r>
      <rPr>
        <b/>
        <sz val="10"/>
        <color indexed="52"/>
        <rFont val="Calibri"/>
        <family val="2"/>
      </rPr>
      <t xml:space="preserve"> n-2 = </t>
    </r>
    <r>
      <rPr>
        <b/>
        <i/>
        <sz val="10"/>
        <color indexed="52"/>
        <rFont val="Calibri"/>
        <family val="2"/>
      </rPr>
      <t xml:space="preserve">r . </t>
    </r>
    <r>
      <rPr>
        <b/>
        <sz val="10"/>
        <color indexed="52"/>
        <rFont val="Calibri"/>
        <family val="2"/>
      </rPr>
      <t>Raíz (n-2 / 1-</t>
    </r>
    <r>
      <rPr>
        <b/>
        <i/>
        <sz val="10"/>
        <color indexed="52"/>
        <rFont val="Calibri"/>
        <family val="2"/>
      </rPr>
      <t>r</t>
    </r>
    <r>
      <rPr>
        <b/>
        <sz val="10"/>
        <color indexed="52"/>
        <rFont val="Calibri"/>
        <family val="2"/>
      </rPr>
      <t>*2) =</t>
    </r>
  </si>
  <si>
    <r>
      <t>p (2 colas)</t>
    </r>
    <r>
      <rPr>
        <b/>
        <sz val="10"/>
        <color indexed="52"/>
        <rFont val="Calibri"/>
        <family val="2"/>
      </rPr>
      <t xml:space="preserve"> =</t>
    </r>
  </si>
  <si>
    <r>
      <t xml:space="preserve">CÁLCULO DE LOS INTERVALOS DE CONFIANZA DE </t>
    </r>
    <r>
      <rPr>
        <b/>
        <i/>
        <u val="single"/>
        <sz val="10"/>
        <color indexed="61"/>
        <rFont val="Calibri"/>
        <family val="2"/>
      </rPr>
      <t>"r"</t>
    </r>
  </si>
  <si>
    <r>
      <t>e^2.</t>
    </r>
    <r>
      <rPr>
        <i/>
        <sz val="10"/>
        <color indexed="51"/>
        <rFont val="Calibri"/>
        <family val="2"/>
      </rPr>
      <t>r trans</t>
    </r>
    <r>
      <rPr>
        <sz val="10"/>
        <color indexed="51"/>
        <rFont val="Calibri"/>
        <family val="2"/>
      </rPr>
      <t xml:space="preserve"> - 1=</t>
    </r>
  </si>
  <si>
    <r>
      <t>r = (e^2.</t>
    </r>
    <r>
      <rPr>
        <b/>
        <i/>
        <sz val="10"/>
        <rFont val="Calibri"/>
        <family val="2"/>
      </rPr>
      <t>r trans</t>
    </r>
    <r>
      <rPr>
        <b/>
        <sz val="10"/>
        <rFont val="Calibri"/>
        <family val="2"/>
      </rPr>
      <t xml:space="preserve"> - 1) / (e^2.</t>
    </r>
    <r>
      <rPr>
        <b/>
        <i/>
        <sz val="10"/>
        <rFont val="Calibri"/>
        <family val="2"/>
      </rPr>
      <t>r trans</t>
    </r>
    <r>
      <rPr>
        <b/>
        <sz val="10"/>
        <rFont val="Calibri"/>
        <family val="2"/>
      </rPr>
      <t xml:space="preserve"> +1) =</t>
    </r>
  </si>
  <si>
    <r>
      <t>e^2.</t>
    </r>
    <r>
      <rPr>
        <i/>
        <sz val="10"/>
        <color indexed="51"/>
        <rFont val="Calibri"/>
        <family val="2"/>
      </rPr>
      <t>r trans</t>
    </r>
    <r>
      <rPr>
        <sz val="10"/>
        <color indexed="51"/>
        <rFont val="Calibri"/>
        <family val="2"/>
      </rPr>
      <t xml:space="preserve"> +1 1=</t>
    </r>
  </si>
  <si>
    <r>
      <t xml:space="preserve">e^2.lím inf </t>
    </r>
    <r>
      <rPr>
        <i/>
        <sz val="10"/>
        <color indexed="52"/>
        <rFont val="Calibri"/>
        <family val="2"/>
      </rPr>
      <t>r trans</t>
    </r>
    <r>
      <rPr>
        <sz val="10"/>
        <color indexed="52"/>
        <rFont val="Calibri"/>
        <family val="2"/>
      </rPr>
      <t xml:space="preserve"> - 1=</t>
    </r>
  </si>
  <si>
    <r>
      <t xml:space="preserve">e^2.lím inf </t>
    </r>
    <r>
      <rPr>
        <i/>
        <sz val="10"/>
        <color indexed="52"/>
        <rFont val="Calibri"/>
        <family val="2"/>
      </rPr>
      <t>r trans</t>
    </r>
    <r>
      <rPr>
        <sz val="10"/>
        <color indexed="52"/>
        <rFont val="Calibri"/>
        <family val="2"/>
      </rPr>
      <t xml:space="preserve"> + 1=</t>
    </r>
  </si>
  <si>
    <r>
      <t xml:space="preserve">e^2.lím sup </t>
    </r>
    <r>
      <rPr>
        <i/>
        <sz val="10"/>
        <color indexed="45"/>
        <rFont val="Calibri"/>
        <family val="2"/>
      </rPr>
      <t>r trans</t>
    </r>
    <r>
      <rPr>
        <sz val="10"/>
        <color indexed="45"/>
        <rFont val="Calibri"/>
        <family val="2"/>
      </rPr>
      <t xml:space="preserve"> - 1=</t>
    </r>
  </si>
  <si>
    <r>
      <t xml:space="preserve">e^2.lím sup </t>
    </r>
    <r>
      <rPr>
        <i/>
        <sz val="10"/>
        <color indexed="45"/>
        <rFont val="Calibri"/>
        <family val="2"/>
      </rPr>
      <t>r trans</t>
    </r>
    <r>
      <rPr>
        <sz val="10"/>
        <color indexed="45"/>
        <rFont val="Calibri"/>
        <family val="2"/>
      </rPr>
      <t xml:space="preserve"> + 1=</t>
    </r>
  </si>
  <si>
    <r>
      <t xml:space="preserve">Para ver el gráfico de distribución, mirar en: </t>
    </r>
    <r>
      <rPr>
        <u val="single"/>
        <sz val="10"/>
        <color indexed="12"/>
        <rFont val="Calibri"/>
        <family val="2"/>
      </rPr>
      <t>http://www.monografias.com/trabajos85/coeficiente-correlacion-rangos-spearman/coeficiente-correlacion-rangos-spearman.shtml</t>
    </r>
  </si>
  <si>
    <r>
      <t>(e^2.</t>
    </r>
    <r>
      <rPr>
        <i/>
        <sz val="10"/>
        <color indexed="51"/>
        <rFont val="Calibri"/>
        <family val="2"/>
      </rPr>
      <t>rho trans)</t>
    </r>
    <r>
      <rPr>
        <sz val="10"/>
        <color indexed="51"/>
        <rFont val="Calibri"/>
        <family val="2"/>
      </rPr>
      <t xml:space="preserve"> - 1=</t>
    </r>
  </si>
  <si>
    <r>
      <t>r = [(e^2*</t>
    </r>
    <r>
      <rPr>
        <b/>
        <i/>
        <sz val="10"/>
        <rFont val="Calibri"/>
        <family val="2"/>
      </rPr>
      <t>r trans)</t>
    </r>
    <r>
      <rPr>
        <b/>
        <sz val="10"/>
        <rFont val="Calibri"/>
        <family val="2"/>
      </rPr>
      <t xml:space="preserve"> - 1] / [(e^2*</t>
    </r>
    <r>
      <rPr>
        <b/>
        <i/>
        <sz val="10"/>
        <rFont val="Calibri"/>
        <family val="2"/>
      </rPr>
      <t>r trans)</t>
    </r>
    <r>
      <rPr>
        <b/>
        <sz val="10"/>
        <rFont val="Calibri"/>
        <family val="2"/>
      </rPr>
      <t xml:space="preserve"> +1] =</t>
    </r>
  </si>
  <si>
    <r>
      <t>(e^2.</t>
    </r>
    <r>
      <rPr>
        <i/>
        <sz val="10"/>
        <color indexed="51"/>
        <rFont val="Calibri"/>
        <family val="2"/>
      </rPr>
      <t>rho trans)</t>
    </r>
    <r>
      <rPr>
        <sz val="10"/>
        <color indexed="51"/>
        <rFont val="Calibri"/>
        <family val="2"/>
      </rPr>
      <t xml:space="preserve"> +1=</t>
    </r>
  </si>
  <si>
    <r>
      <t xml:space="preserve">(e^2.lím inf </t>
    </r>
    <r>
      <rPr>
        <i/>
        <sz val="10"/>
        <color indexed="52"/>
        <rFont val="Calibri"/>
        <family val="2"/>
      </rPr>
      <t>rho trans)</t>
    </r>
    <r>
      <rPr>
        <sz val="10"/>
        <color indexed="52"/>
        <rFont val="Calibri"/>
        <family val="2"/>
      </rPr>
      <t xml:space="preserve"> - 1=</t>
    </r>
  </si>
  <si>
    <r>
      <t xml:space="preserve">(e^2.lím inf </t>
    </r>
    <r>
      <rPr>
        <i/>
        <sz val="10"/>
        <color indexed="52"/>
        <rFont val="Calibri"/>
        <family val="2"/>
      </rPr>
      <t>rho trans)</t>
    </r>
    <r>
      <rPr>
        <sz val="10"/>
        <color indexed="52"/>
        <rFont val="Calibri"/>
        <family val="2"/>
      </rPr>
      <t xml:space="preserve"> + 1=</t>
    </r>
  </si>
  <si>
    <r>
      <t xml:space="preserve">(e^2.lím sup </t>
    </r>
    <r>
      <rPr>
        <i/>
        <sz val="10"/>
        <color indexed="45"/>
        <rFont val="Calibri"/>
        <family val="2"/>
      </rPr>
      <t>rho trans)</t>
    </r>
    <r>
      <rPr>
        <sz val="10"/>
        <color indexed="45"/>
        <rFont val="Calibri"/>
        <family val="2"/>
      </rPr>
      <t xml:space="preserve"> - 1=</t>
    </r>
  </si>
  <si>
    <r>
      <t xml:space="preserve">(e^2.lím sup </t>
    </r>
    <r>
      <rPr>
        <i/>
        <sz val="10"/>
        <color indexed="45"/>
        <rFont val="Calibri"/>
        <family val="2"/>
      </rPr>
      <t>rho trans)</t>
    </r>
    <r>
      <rPr>
        <sz val="10"/>
        <color indexed="45"/>
        <rFont val="Calibri"/>
        <family val="2"/>
      </rPr>
      <t xml:space="preserve"> + 1=</t>
    </r>
  </si>
  <si>
    <t>Si hubiera sido paramétrico</t>
  </si>
  <si>
    <r>
      <rPr>
        <b/>
        <i/>
        <sz val="8"/>
        <color indexed="52"/>
        <rFont val="Calibri"/>
        <family val="2"/>
      </rPr>
      <t>r</t>
    </r>
    <r>
      <rPr>
        <i/>
        <sz val="8"/>
        <color indexed="52"/>
        <rFont val="Calibri"/>
        <family val="2"/>
      </rPr>
      <t xml:space="preserve"> </t>
    </r>
    <r>
      <rPr>
        <sz val="8"/>
        <color indexed="52"/>
        <rFont val="Calibri"/>
        <family val="2"/>
      </rPr>
      <t>=</t>
    </r>
  </si>
  <si>
    <t>Asociación</t>
  </si>
  <si>
    <t>no existe</t>
  </si>
  <si>
    <t>débil</t>
  </si>
  <si>
    <t>moderada</t>
  </si>
  <si>
    <t>fuerte</t>
  </si>
  <si>
    <t>Ajuste de una recta por mínimos cuadrados</t>
  </si>
  <si>
    <t>El método de los minimos cuadrados nos permite ajustar los valores de x e y en una recta, en la que al restar los errores cuadráticos de arriba y los de abajo, obtengamos cero.</t>
  </si>
  <si>
    <t>Para ello tenemos buscamos la ordenada en el origen, que llamamos a, así como la pendiente de la recta, que llamamos b.</t>
  </si>
  <si>
    <t>Y así obtenemos la recta:</t>
  </si>
  <si>
    <t>El método de los mínimos cuadrados nos permite obtener a y b, así:</t>
  </si>
  <si>
    <r>
      <t>y</t>
    </r>
    <r>
      <rPr>
        <vertAlign val="subscript"/>
        <sz val="10"/>
        <color indexed="17"/>
        <rFont val="Calibri"/>
        <family val="2"/>
      </rPr>
      <t>pred</t>
    </r>
    <r>
      <rPr>
        <sz val="10"/>
        <color indexed="17"/>
        <rFont val="Calibri"/>
        <family val="2"/>
      </rPr>
      <t xml:space="preserve"> = a + bx</t>
    </r>
  </si>
  <si>
    <r>
      <t>a = y</t>
    </r>
    <r>
      <rPr>
        <vertAlign val="subscript"/>
        <sz val="10"/>
        <color indexed="17"/>
        <rFont val="Calibri"/>
        <family val="2"/>
      </rPr>
      <t>media</t>
    </r>
    <r>
      <rPr>
        <sz val="10"/>
        <color indexed="17"/>
        <rFont val="Calibri"/>
        <family val="2"/>
      </rPr>
      <t xml:space="preserve"> - b*x</t>
    </r>
    <r>
      <rPr>
        <vertAlign val="subscript"/>
        <sz val="10"/>
        <color indexed="17"/>
        <rFont val="Calibri"/>
        <family val="2"/>
      </rPr>
      <t>media</t>
    </r>
  </si>
  <si>
    <t xml:space="preserve">a = </t>
  </si>
  <si>
    <t xml:space="preserve">b = </t>
  </si>
  <si>
    <t>CURVA DE REGRESIÓN LINEAL SIMPLE MEDIANTE EL AJUSTE POR MÍNIMOS CUADRADOS</t>
  </si>
  <si>
    <t>Suma de los productos xy</t>
  </si>
  <si>
    <t>Suma de los cuadrados x</t>
  </si>
  <si>
    <t>Suma de los cuadrados y</t>
  </si>
  <si>
    <t>r =</t>
  </si>
  <si>
    <r>
      <t>R</t>
    </r>
    <r>
      <rPr>
        <i/>
        <vertAlign val="superscript"/>
        <sz val="10"/>
        <rFont val="Calibri"/>
        <family val="2"/>
      </rPr>
      <t>2</t>
    </r>
    <r>
      <rPr>
        <i/>
        <sz val="10"/>
        <rFont val="Calibri"/>
        <family val="2"/>
      </rPr>
      <t xml:space="preserve"> = </t>
    </r>
  </si>
  <si>
    <r>
      <t>DE</t>
    </r>
    <r>
      <rPr>
        <i/>
        <vertAlign val="subscript"/>
        <sz val="10"/>
        <rFont val="Calibri"/>
        <family val="2"/>
      </rPr>
      <t>x</t>
    </r>
    <r>
      <rPr>
        <i/>
        <sz val="10"/>
        <rFont val="Calibri"/>
        <family val="2"/>
      </rPr>
      <t xml:space="preserve"> = s</t>
    </r>
    <r>
      <rPr>
        <i/>
        <vertAlign val="subscript"/>
        <sz val="10"/>
        <rFont val="Calibri"/>
        <family val="2"/>
      </rPr>
      <t xml:space="preserve">x </t>
    </r>
    <r>
      <rPr>
        <sz val="10"/>
        <rFont val="Calibri"/>
        <family val="2"/>
      </rPr>
      <t xml:space="preserve">= </t>
    </r>
  </si>
  <si>
    <r>
      <t>DE</t>
    </r>
    <r>
      <rPr>
        <i/>
        <vertAlign val="subscript"/>
        <sz val="10"/>
        <rFont val="Calibri"/>
        <family val="2"/>
      </rPr>
      <t>y</t>
    </r>
    <r>
      <rPr>
        <i/>
        <sz val="10"/>
        <rFont val="Calibri"/>
        <family val="2"/>
      </rPr>
      <t xml:space="preserve"> =  s</t>
    </r>
    <r>
      <rPr>
        <i/>
        <vertAlign val="subscript"/>
        <sz val="10"/>
        <rFont val="Calibri"/>
        <family val="2"/>
      </rPr>
      <t xml:space="preserve">y </t>
    </r>
    <r>
      <rPr>
        <sz val="10"/>
        <rFont val="Calibri"/>
        <family val="2"/>
      </rPr>
      <t xml:space="preserve">= </t>
    </r>
  </si>
  <si>
    <r>
      <t>SP</t>
    </r>
    <r>
      <rPr>
        <vertAlign val="subscript"/>
        <sz val="10"/>
        <rFont val="Calibri"/>
        <family val="2"/>
      </rPr>
      <t>xy</t>
    </r>
  </si>
  <si>
    <r>
      <t>SC</t>
    </r>
    <r>
      <rPr>
        <vertAlign val="subscript"/>
        <sz val="10"/>
        <rFont val="Calibri"/>
        <family val="2"/>
      </rPr>
      <t>x</t>
    </r>
  </si>
  <si>
    <r>
      <t>SC</t>
    </r>
    <r>
      <rPr>
        <vertAlign val="subscript"/>
        <sz val="10"/>
        <rFont val="Calibri"/>
        <family val="2"/>
      </rPr>
      <t>y</t>
    </r>
  </si>
  <si>
    <r>
      <rPr>
        <i/>
        <sz val="10"/>
        <rFont val="Calibri"/>
        <family val="2"/>
      </rPr>
      <t>S</t>
    </r>
    <r>
      <rPr>
        <i/>
        <vertAlign val="subscript"/>
        <sz val="10"/>
        <rFont val="Calibri"/>
        <family val="2"/>
      </rPr>
      <t>xy</t>
    </r>
    <r>
      <rPr>
        <sz val="10"/>
        <rFont val="Calibri"/>
        <family val="2"/>
      </rPr>
      <t xml:space="preserve"> = Covar </t>
    </r>
    <r>
      <rPr>
        <vertAlign val="subscript"/>
        <sz val="10"/>
        <rFont val="Calibri"/>
        <family val="2"/>
      </rPr>
      <t>xy</t>
    </r>
    <r>
      <rPr>
        <sz val="10"/>
        <rFont val="Calibri"/>
        <family val="2"/>
      </rPr>
      <t xml:space="preserve"> = SP</t>
    </r>
    <r>
      <rPr>
        <vertAlign val="subscript"/>
        <sz val="10"/>
        <rFont val="Calibri"/>
        <family val="2"/>
      </rPr>
      <t>xy</t>
    </r>
    <r>
      <rPr>
        <sz val="10"/>
        <rFont val="Calibri"/>
        <family val="2"/>
      </rPr>
      <t xml:space="preserve"> / n</t>
    </r>
  </si>
  <si>
    <r>
      <t>s</t>
    </r>
    <r>
      <rPr>
        <i/>
        <vertAlign val="superscript"/>
        <sz val="10"/>
        <rFont val="Calibri"/>
        <family val="2"/>
      </rPr>
      <t>2</t>
    </r>
    <r>
      <rPr>
        <i/>
        <vertAlign val="subscript"/>
        <sz val="10"/>
        <rFont val="Calibri"/>
        <family val="2"/>
      </rPr>
      <t xml:space="preserve">x </t>
    </r>
    <r>
      <rPr>
        <sz val="10"/>
        <rFont val="Calibri"/>
        <family val="2"/>
      </rPr>
      <t>= SC</t>
    </r>
    <r>
      <rPr>
        <vertAlign val="subscript"/>
        <sz val="10"/>
        <rFont val="Calibri"/>
        <family val="2"/>
      </rPr>
      <t>x</t>
    </r>
    <r>
      <rPr>
        <sz val="10"/>
        <rFont val="Calibri"/>
        <family val="2"/>
      </rPr>
      <t xml:space="preserve"> / n</t>
    </r>
  </si>
  <si>
    <r>
      <t>b=  SP</t>
    </r>
    <r>
      <rPr>
        <vertAlign val="subscript"/>
        <sz val="10"/>
        <rFont val="Calibri"/>
        <family val="2"/>
      </rPr>
      <t>xy</t>
    </r>
    <r>
      <rPr>
        <sz val="10"/>
        <rFont val="Calibri"/>
        <family val="2"/>
      </rPr>
      <t xml:space="preserve"> / SC</t>
    </r>
    <r>
      <rPr>
        <vertAlign val="subscript"/>
        <sz val="10"/>
        <rFont val="Calibri"/>
        <family val="2"/>
      </rPr>
      <t>x</t>
    </r>
  </si>
  <si>
    <r>
      <t>b=  Sumat [(x</t>
    </r>
    <r>
      <rPr>
        <vertAlign val="subscript"/>
        <sz val="10"/>
        <rFont val="Calibri"/>
        <family val="2"/>
      </rPr>
      <t>i</t>
    </r>
    <r>
      <rPr>
        <sz val="10"/>
        <rFont val="Calibri"/>
        <family val="2"/>
      </rPr>
      <t xml:space="preserve"> - x</t>
    </r>
    <r>
      <rPr>
        <vertAlign val="subscript"/>
        <sz val="10"/>
        <rFont val="Calibri"/>
        <family val="2"/>
      </rPr>
      <t>media</t>
    </r>
    <r>
      <rPr>
        <sz val="10"/>
        <rFont val="Calibri"/>
        <family val="2"/>
      </rPr>
      <t>) * (y</t>
    </r>
    <r>
      <rPr>
        <vertAlign val="subscript"/>
        <sz val="10"/>
        <rFont val="Calibri"/>
        <family val="2"/>
      </rPr>
      <t>i</t>
    </r>
    <r>
      <rPr>
        <sz val="10"/>
        <rFont val="Calibri"/>
        <family val="2"/>
      </rPr>
      <t xml:space="preserve"> - y</t>
    </r>
    <r>
      <rPr>
        <vertAlign val="subscript"/>
        <sz val="10"/>
        <rFont val="Calibri"/>
        <family val="2"/>
      </rPr>
      <t>media</t>
    </r>
    <r>
      <rPr>
        <sz val="10"/>
        <rFont val="Calibri"/>
        <family val="2"/>
      </rPr>
      <t>)] / Sumat [(x</t>
    </r>
    <r>
      <rPr>
        <vertAlign val="subscript"/>
        <sz val="10"/>
        <rFont val="Calibri"/>
        <family val="2"/>
      </rPr>
      <t>i</t>
    </r>
    <r>
      <rPr>
        <sz val="10"/>
        <rFont val="Calibri"/>
        <family val="2"/>
      </rPr>
      <t xml:space="preserve"> - x</t>
    </r>
    <r>
      <rPr>
        <vertAlign val="subscript"/>
        <sz val="10"/>
        <rFont val="Calibri"/>
        <family val="2"/>
      </rPr>
      <t>media</t>
    </r>
    <r>
      <rPr>
        <sz val="10"/>
        <rFont val="Calibri"/>
        <family val="2"/>
      </rPr>
      <t>)</t>
    </r>
    <r>
      <rPr>
        <vertAlign val="superscript"/>
        <sz val="10"/>
        <rFont val="Calibri"/>
        <family val="2"/>
      </rPr>
      <t>2</t>
    </r>
    <r>
      <rPr>
        <sz val="10"/>
        <rFont val="Calibri"/>
        <family val="2"/>
      </rPr>
      <t>]</t>
    </r>
  </si>
  <si>
    <r>
      <t>s</t>
    </r>
    <r>
      <rPr>
        <i/>
        <vertAlign val="superscript"/>
        <sz val="10"/>
        <rFont val="Calibri"/>
        <family val="2"/>
      </rPr>
      <t>2</t>
    </r>
    <r>
      <rPr>
        <i/>
        <vertAlign val="subscript"/>
        <sz val="10"/>
        <rFont val="Calibri"/>
        <family val="2"/>
      </rPr>
      <t xml:space="preserve">y </t>
    </r>
    <r>
      <rPr>
        <sz val="10"/>
        <rFont val="Calibri"/>
        <family val="2"/>
      </rPr>
      <t>= SC</t>
    </r>
    <r>
      <rPr>
        <vertAlign val="subscript"/>
        <sz val="10"/>
        <rFont val="Calibri"/>
        <family val="2"/>
      </rPr>
      <t>y</t>
    </r>
    <r>
      <rPr>
        <sz val="10"/>
        <rFont val="Calibri"/>
        <family val="2"/>
      </rPr>
      <t xml:space="preserve"> / n</t>
    </r>
  </si>
  <si>
    <r>
      <rPr>
        <i/>
        <sz val="10"/>
        <rFont val="Calibri"/>
        <family val="2"/>
      </rPr>
      <t>r</t>
    </r>
    <r>
      <rPr>
        <sz val="10"/>
        <rFont val="Calibri"/>
        <family val="2"/>
      </rPr>
      <t xml:space="preserve">=  Covarianza </t>
    </r>
    <r>
      <rPr>
        <vertAlign val="subscript"/>
        <sz val="10"/>
        <rFont val="Calibri"/>
        <family val="2"/>
      </rPr>
      <t>xy</t>
    </r>
    <r>
      <rPr>
        <sz val="10"/>
        <rFont val="Calibri"/>
        <family val="2"/>
      </rPr>
      <t xml:space="preserve"> / s</t>
    </r>
    <r>
      <rPr>
        <vertAlign val="subscript"/>
        <sz val="10"/>
        <rFont val="Calibri"/>
        <family val="2"/>
      </rPr>
      <t>x</t>
    </r>
    <r>
      <rPr>
        <sz val="10"/>
        <rFont val="Calibri"/>
        <family val="2"/>
      </rPr>
      <t xml:space="preserve"> * s</t>
    </r>
    <r>
      <rPr>
        <vertAlign val="subscript"/>
        <sz val="10"/>
        <rFont val="Calibri"/>
        <family val="2"/>
      </rPr>
      <t>y</t>
    </r>
    <r>
      <rPr>
        <sz val="10"/>
        <rFont val="Calibri"/>
        <family val="2"/>
      </rPr>
      <t xml:space="preserve"> = (SP</t>
    </r>
    <r>
      <rPr>
        <vertAlign val="subscript"/>
        <sz val="10"/>
        <rFont val="Calibri"/>
        <family val="2"/>
      </rPr>
      <t>xy</t>
    </r>
    <r>
      <rPr>
        <sz val="10"/>
        <rFont val="Calibri"/>
        <family val="2"/>
      </rPr>
      <t xml:space="preserve"> /n) / s</t>
    </r>
    <r>
      <rPr>
        <vertAlign val="subscript"/>
        <sz val="10"/>
        <rFont val="Calibri"/>
        <family val="2"/>
      </rPr>
      <t>x</t>
    </r>
    <r>
      <rPr>
        <sz val="10"/>
        <rFont val="Calibri"/>
        <family val="2"/>
      </rPr>
      <t xml:space="preserve"> * s</t>
    </r>
    <r>
      <rPr>
        <vertAlign val="subscript"/>
        <sz val="10"/>
        <rFont val="Calibri"/>
        <family val="2"/>
      </rPr>
      <t>y</t>
    </r>
  </si>
  <si>
    <r>
      <t>p (2 colas)</t>
    </r>
    <r>
      <rPr>
        <b/>
        <sz val="10"/>
        <rFont val="Calibri"/>
        <family val="2"/>
      </rPr>
      <t xml:space="preserve"> =</t>
    </r>
  </si>
  <si>
    <r>
      <t xml:space="preserve">Método para el contraste del Coeficiente de Correlación de Pearon </t>
    </r>
    <r>
      <rPr>
        <b/>
        <i/>
        <u val="single"/>
        <sz val="10"/>
        <rFont val="Calibri"/>
        <family val="2"/>
      </rPr>
      <t>r</t>
    </r>
  </si>
  <si>
    <t>CONTAR</t>
  </si>
  <si>
    <t>"=DISTR.T.INV(0,05;"g,.l.") =</t>
  </si>
  <si>
    <r>
      <t>"t teórica"</t>
    </r>
    <r>
      <rPr>
        <sz val="10"/>
        <rFont val="Calibri"/>
        <family val="2"/>
      </rPr>
      <t>=</t>
    </r>
  </si>
  <si>
    <r>
      <rPr>
        <i/>
        <sz val="10"/>
        <rFont val="Calibri"/>
        <family val="2"/>
      </rPr>
      <t>r</t>
    </r>
    <r>
      <rPr>
        <sz val="10"/>
        <rFont val="Calibri"/>
        <family val="2"/>
      </rPr>
      <t>=  (SP</t>
    </r>
    <r>
      <rPr>
        <vertAlign val="subscript"/>
        <sz val="10"/>
        <rFont val="Calibri"/>
        <family val="2"/>
      </rPr>
      <t>xy</t>
    </r>
    <r>
      <rPr>
        <sz val="10"/>
        <rFont val="Calibri"/>
        <family val="2"/>
      </rPr>
      <t xml:space="preserve"> /n) / RAIZ (SC</t>
    </r>
    <r>
      <rPr>
        <vertAlign val="subscript"/>
        <sz val="10"/>
        <rFont val="Calibri"/>
        <family val="2"/>
      </rPr>
      <t>x</t>
    </r>
    <r>
      <rPr>
        <sz val="10"/>
        <rFont val="Calibri"/>
        <family val="2"/>
      </rPr>
      <t>/n * SC</t>
    </r>
    <r>
      <rPr>
        <vertAlign val="subscript"/>
        <sz val="10"/>
        <rFont val="Calibri"/>
        <family val="2"/>
      </rPr>
      <t>y</t>
    </r>
    <r>
      <rPr>
        <sz val="10"/>
        <rFont val="Calibri"/>
        <family val="2"/>
      </rPr>
      <t xml:space="preserve">/n)  = </t>
    </r>
  </si>
  <si>
    <r>
      <rPr>
        <i/>
        <sz val="10"/>
        <rFont val="Calibri"/>
        <family val="2"/>
      </rPr>
      <t>r</t>
    </r>
    <r>
      <rPr>
        <sz val="10"/>
        <rFont val="Calibri"/>
        <family val="2"/>
      </rPr>
      <t>=  (SP</t>
    </r>
    <r>
      <rPr>
        <vertAlign val="subscript"/>
        <sz val="10"/>
        <rFont val="Calibri"/>
        <family val="2"/>
      </rPr>
      <t>xy</t>
    </r>
    <r>
      <rPr>
        <sz val="10"/>
        <rFont val="Calibri"/>
        <family val="2"/>
      </rPr>
      <t xml:space="preserve"> /n) / RAIZ (SC</t>
    </r>
    <r>
      <rPr>
        <vertAlign val="subscript"/>
        <sz val="10"/>
        <rFont val="Calibri"/>
        <family val="2"/>
      </rPr>
      <t>x</t>
    </r>
    <r>
      <rPr>
        <sz val="10"/>
        <rFont val="Calibri"/>
        <family val="2"/>
      </rPr>
      <t xml:space="preserve"> * SC</t>
    </r>
    <r>
      <rPr>
        <vertAlign val="subscript"/>
        <sz val="10"/>
        <rFont val="Calibri"/>
        <family val="2"/>
      </rPr>
      <t>y</t>
    </r>
    <r>
      <rPr>
        <sz val="10"/>
        <rFont val="Calibri"/>
        <family val="2"/>
      </rPr>
      <t>/ n</t>
    </r>
    <r>
      <rPr>
        <vertAlign val="superscript"/>
        <sz val="10"/>
        <rFont val="Calibri"/>
        <family val="2"/>
      </rPr>
      <t>2</t>
    </r>
    <r>
      <rPr>
        <sz val="10"/>
        <rFont val="Calibri"/>
        <family val="2"/>
      </rPr>
      <t xml:space="preserve">)  = </t>
    </r>
  </si>
  <si>
    <r>
      <rPr>
        <i/>
        <sz val="10"/>
        <rFont val="Calibri"/>
        <family val="2"/>
      </rPr>
      <t>r</t>
    </r>
    <r>
      <rPr>
        <sz val="10"/>
        <rFont val="Calibri"/>
        <family val="2"/>
      </rPr>
      <t>=  SP</t>
    </r>
    <r>
      <rPr>
        <vertAlign val="subscript"/>
        <sz val="10"/>
        <rFont val="Calibri"/>
        <family val="2"/>
      </rPr>
      <t>xy</t>
    </r>
    <r>
      <rPr>
        <sz val="10"/>
        <rFont val="Calibri"/>
        <family val="2"/>
      </rPr>
      <t xml:space="preserve"> / RAIZ (SC</t>
    </r>
    <r>
      <rPr>
        <vertAlign val="subscript"/>
        <sz val="10"/>
        <rFont val="Calibri"/>
        <family val="2"/>
      </rPr>
      <t>x</t>
    </r>
    <r>
      <rPr>
        <sz val="10"/>
        <rFont val="Calibri"/>
        <family val="2"/>
      </rPr>
      <t xml:space="preserve"> * SC</t>
    </r>
    <r>
      <rPr>
        <vertAlign val="subscript"/>
        <sz val="10"/>
        <rFont val="Calibri"/>
        <family val="2"/>
      </rPr>
      <t>y</t>
    </r>
    <r>
      <rPr>
        <sz val="10"/>
        <rFont val="Calibri"/>
        <family val="2"/>
      </rPr>
      <t xml:space="preserve">)  = </t>
    </r>
  </si>
  <si>
    <r>
      <rPr>
        <i/>
        <sz val="10"/>
        <rFont val="Calibri"/>
        <family val="2"/>
      </rPr>
      <t>r</t>
    </r>
    <r>
      <rPr>
        <sz val="10"/>
        <rFont val="Calibri"/>
        <family val="2"/>
      </rPr>
      <t>=  SP</t>
    </r>
    <r>
      <rPr>
        <vertAlign val="subscript"/>
        <sz val="10"/>
        <rFont val="Calibri"/>
        <family val="2"/>
      </rPr>
      <t>xy</t>
    </r>
    <r>
      <rPr>
        <sz val="10"/>
        <rFont val="Calibri"/>
        <family val="2"/>
      </rPr>
      <t xml:space="preserve"> / RAIZ (SC</t>
    </r>
    <r>
      <rPr>
        <vertAlign val="subscript"/>
        <sz val="10"/>
        <rFont val="Calibri"/>
        <family val="2"/>
      </rPr>
      <t>xy</t>
    </r>
    <r>
      <rPr>
        <sz val="10"/>
        <rFont val="Calibri"/>
        <family val="2"/>
      </rPr>
      <t xml:space="preserve">) </t>
    </r>
  </si>
  <si>
    <r>
      <t>SC</t>
    </r>
    <r>
      <rPr>
        <vertAlign val="subscript"/>
        <sz val="10"/>
        <rFont val="Calibri"/>
        <family val="2"/>
      </rPr>
      <t>xy</t>
    </r>
    <r>
      <rPr>
        <sz val="10"/>
        <rFont val="Calibri"/>
        <family val="2"/>
      </rPr>
      <t xml:space="preserve"> = SC</t>
    </r>
    <r>
      <rPr>
        <vertAlign val="subscript"/>
        <sz val="10"/>
        <rFont val="Calibri"/>
        <family val="2"/>
      </rPr>
      <t>x</t>
    </r>
    <r>
      <rPr>
        <sz val="10"/>
        <rFont val="Calibri"/>
        <family val="2"/>
      </rPr>
      <t xml:space="preserve"> * SC</t>
    </r>
    <r>
      <rPr>
        <vertAlign val="subscript"/>
        <sz val="10"/>
        <rFont val="Calibri"/>
        <family val="2"/>
      </rPr>
      <t>y</t>
    </r>
  </si>
  <si>
    <t>Suma de los cuadratos xy</t>
  </si>
  <si>
    <t>Promedio</t>
  </si>
  <si>
    <t>Barthel</t>
  </si>
  <si>
    <t>100 Mejor</t>
  </si>
  <si>
    <t>30 Mejor</t>
  </si>
  <si>
    <t>Sujeto</t>
  </si>
  <si>
    <t>y'</t>
  </si>
  <si>
    <t>Z</t>
  </si>
  <si>
    <r>
      <t>b = r</t>
    </r>
    <r>
      <rPr>
        <vertAlign val="subscript"/>
        <sz val="10"/>
        <rFont val="Calibri"/>
        <family val="2"/>
      </rPr>
      <t>xy</t>
    </r>
    <r>
      <rPr>
        <sz val="10"/>
        <rFont val="Calibri"/>
        <family val="2"/>
      </rPr>
      <t xml:space="preserve"> * s</t>
    </r>
    <r>
      <rPr>
        <vertAlign val="subscript"/>
        <sz val="10"/>
        <rFont val="Calibri"/>
        <family val="2"/>
      </rPr>
      <t>y</t>
    </r>
    <r>
      <rPr>
        <sz val="10"/>
        <rFont val="Calibri"/>
        <family val="2"/>
      </rPr>
      <t>/s</t>
    </r>
    <r>
      <rPr>
        <vertAlign val="subscript"/>
        <sz val="10"/>
        <rFont val="Calibri"/>
        <family val="2"/>
      </rPr>
      <t>x</t>
    </r>
  </si>
  <si>
    <r>
      <t>b=  SP</t>
    </r>
    <r>
      <rPr>
        <vertAlign val="subscript"/>
        <sz val="10"/>
        <rFont val="Calibri"/>
        <family val="2"/>
      </rPr>
      <t>xy</t>
    </r>
    <r>
      <rPr>
        <sz val="10"/>
        <rFont val="Calibri"/>
        <family val="2"/>
      </rPr>
      <t xml:space="preserve"> / SC</t>
    </r>
    <r>
      <rPr>
        <vertAlign val="subscript"/>
        <sz val="10"/>
        <rFont val="Calibri"/>
        <family val="2"/>
      </rPr>
      <t>x</t>
    </r>
    <r>
      <rPr>
        <sz val="10"/>
        <rFont val="Calibri"/>
        <family val="2"/>
      </rPr>
      <t xml:space="preserve"> =</t>
    </r>
  </si>
  <si>
    <r>
      <t>b = r</t>
    </r>
    <r>
      <rPr>
        <vertAlign val="subscript"/>
        <sz val="10"/>
        <color indexed="36"/>
        <rFont val="Calibri"/>
        <family val="2"/>
      </rPr>
      <t>xy</t>
    </r>
    <r>
      <rPr>
        <sz val="10"/>
        <color indexed="36"/>
        <rFont val="Calibri"/>
        <family val="2"/>
      </rPr>
      <t xml:space="preserve"> * s</t>
    </r>
    <r>
      <rPr>
        <vertAlign val="subscript"/>
        <sz val="10"/>
        <color indexed="36"/>
        <rFont val="Calibri"/>
        <family val="2"/>
      </rPr>
      <t>y</t>
    </r>
    <r>
      <rPr>
        <sz val="10"/>
        <color indexed="36"/>
        <rFont val="Calibri"/>
        <family val="2"/>
      </rPr>
      <t>/s</t>
    </r>
    <r>
      <rPr>
        <vertAlign val="subscript"/>
        <sz val="10"/>
        <color indexed="36"/>
        <rFont val="Calibri"/>
        <family val="2"/>
      </rPr>
      <t>x</t>
    </r>
    <r>
      <rPr>
        <sz val="10"/>
        <color indexed="36"/>
        <rFont val="Calibri"/>
        <family val="2"/>
      </rPr>
      <t xml:space="preserve"> =</t>
    </r>
  </si>
  <si>
    <r>
      <t>r= Sumat (</t>
    </r>
    <r>
      <rPr>
        <i/>
        <sz val="10"/>
        <rFont val="Calibri"/>
        <family val="2"/>
      </rPr>
      <t>z</t>
    </r>
    <r>
      <rPr>
        <i/>
        <vertAlign val="subscript"/>
        <sz val="10"/>
        <rFont val="Calibri"/>
        <family val="2"/>
      </rPr>
      <t>xi</t>
    </r>
    <r>
      <rPr>
        <sz val="10"/>
        <rFont val="Calibri"/>
        <family val="2"/>
      </rPr>
      <t xml:space="preserve"> * </t>
    </r>
    <r>
      <rPr>
        <i/>
        <sz val="10"/>
        <rFont val="Calibri"/>
        <family val="2"/>
      </rPr>
      <t>z</t>
    </r>
    <r>
      <rPr>
        <i/>
        <vertAlign val="subscript"/>
        <sz val="10"/>
        <rFont val="Calibri"/>
        <family val="2"/>
      </rPr>
      <t>yi</t>
    </r>
    <r>
      <rPr>
        <sz val="10"/>
        <rFont val="Calibri"/>
        <family val="2"/>
      </rPr>
      <t>) / n-1</t>
    </r>
  </si>
  <si>
    <t>que es una ecuación de regresión de y en x, y la curva correspondiente, curva de y en x.</t>
  </si>
  <si>
    <t xml:space="preserve">De aquí surge </t>
  </si>
  <si>
    <r>
      <t>r= Sumat (</t>
    </r>
    <r>
      <rPr>
        <i/>
        <sz val="10"/>
        <rFont val="Calibri"/>
        <family val="2"/>
      </rPr>
      <t>z</t>
    </r>
    <r>
      <rPr>
        <i/>
        <vertAlign val="subscript"/>
        <sz val="10"/>
        <rFont val="Calibri"/>
        <family val="2"/>
      </rPr>
      <t>x</t>
    </r>
    <r>
      <rPr>
        <sz val="10"/>
        <rFont val="Calibri"/>
        <family val="2"/>
      </rPr>
      <t xml:space="preserve"> * </t>
    </r>
    <r>
      <rPr>
        <i/>
        <sz val="10"/>
        <rFont val="Calibri"/>
        <family val="2"/>
      </rPr>
      <t>z</t>
    </r>
    <r>
      <rPr>
        <i/>
        <vertAlign val="subscript"/>
        <sz val="10"/>
        <rFont val="Calibri"/>
        <family val="2"/>
      </rPr>
      <t>y</t>
    </r>
    <r>
      <rPr>
        <sz val="10"/>
        <rFont val="Calibri"/>
        <family val="2"/>
      </rPr>
      <t>) / n-1</t>
    </r>
  </si>
  <si>
    <r>
      <t>r</t>
    </r>
    <r>
      <rPr>
        <vertAlign val="subscript"/>
        <sz val="10"/>
        <rFont val="Calibri"/>
        <family val="2"/>
      </rPr>
      <t>XY</t>
    </r>
    <r>
      <rPr>
        <sz val="10"/>
        <rFont val="Calibri"/>
        <family val="2"/>
      </rPr>
      <t xml:space="preserve"> =</t>
    </r>
    <r>
      <rPr>
        <i/>
        <sz val="10"/>
        <rFont val="Calibri"/>
        <family val="2"/>
      </rPr>
      <t xml:space="preserve"> S</t>
    </r>
    <r>
      <rPr>
        <i/>
        <vertAlign val="subscript"/>
        <sz val="10"/>
        <rFont val="Calibri"/>
        <family val="2"/>
      </rPr>
      <t>xy</t>
    </r>
    <r>
      <rPr>
        <i/>
        <sz val="10"/>
        <rFont val="Calibri"/>
        <family val="2"/>
      </rPr>
      <t xml:space="preserve"> / s</t>
    </r>
    <r>
      <rPr>
        <i/>
        <vertAlign val="subscript"/>
        <sz val="10"/>
        <rFont val="Calibri"/>
        <family val="2"/>
      </rPr>
      <t>x</t>
    </r>
    <r>
      <rPr>
        <i/>
        <sz val="10"/>
        <rFont val="Calibri"/>
        <family val="2"/>
      </rPr>
      <t xml:space="preserve"> * s</t>
    </r>
    <r>
      <rPr>
        <i/>
        <vertAlign val="subscript"/>
        <sz val="10"/>
        <rFont val="Calibri"/>
        <family val="2"/>
      </rPr>
      <t>y</t>
    </r>
  </si>
  <si>
    <r>
      <t>r</t>
    </r>
    <r>
      <rPr>
        <b/>
        <vertAlign val="subscript"/>
        <sz val="10"/>
        <rFont val="Calibri"/>
        <family val="2"/>
      </rPr>
      <t>XY</t>
    </r>
    <r>
      <rPr>
        <b/>
        <sz val="10"/>
        <rFont val="Calibri"/>
        <family val="2"/>
      </rPr>
      <t>= Sumat (</t>
    </r>
    <r>
      <rPr>
        <b/>
        <i/>
        <sz val="10"/>
        <rFont val="Calibri"/>
        <family val="2"/>
      </rPr>
      <t>z</t>
    </r>
    <r>
      <rPr>
        <b/>
        <i/>
        <vertAlign val="subscript"/>
        <sz val="10"/>
        <rFont val="Calibri"/>
        <family val="2"/>
      </rPr>
      <t>x</t>
    </r>
    <r>
      <rPr>
        <b/>
        <sz val="10"/>
        <rFont val="Calibri"/>
        <family val="2"/>
      </rPr>
      <t xml:space="preserve"> * </t>
    </r>
    <r>
      <rPr>
        <b/>
        <i/>
        <sz val="10"/>
        <rFont val="Calibri"/>
        <family val="2"/>
      </rPr>
      <t>z</t>
    </r>
    <r>
      <rPr>
        <b/>
        <i/>
        <vertAlign val="subscript"/>
        <sz val="10"/>
        <rFont val="Calibri"/>
        <family val="2"/>
      </rPr>
      <t>y</t>
    </r>
    <r>
      <rPr>
        <b/>
        <sz val="10"/>
        <rFont val="Calibri"/>
        <family val="2"/>
      </rPr>
      <t>) / n-1</t>
    </r>
  </si>
  <si>
    <r>
      <t>r</t>
    </r>
    <r>
      <rPr>
        <b/>
        <vertAlign val="subscript"/>
        <sz val="10"/>
        <color indexed="8"/>
        <rFont val="Calibri"/>
        <family val="2"/>
      </rPr>
      <t>XY</t>
    </r>
    <r>
      <rPr>
        <b/>
        <sz val="10"/>
        <color indexed="8"/>
        <rFont val="Calibri"/>
        <family val="2"/>
      </rPr>
      <t xml:space="preserve">= </t>
    </r>
    <r>
      <rPr>
        <b/>
        <i/>
        <sz val="10"/>
        <color indexed="8"/>
        <rFont val="Calibri"/>
        <family val="2"/>
      </rPr>
      <t>z</t>
    </r>
    <r>
      <rPr>
        <b/>
        <i/>
        <vertAlign val="subscript"/>
        <sz val="10"/>
        <color indexed="8"/>
        <rFont val="Calibri"/>
        <family val="2"/>
      </rPr>
      <t>y</t>
    </r>
    <r>
      <rPr>
        <b/>
        <sz val="10"/>
        <color indexed="8"/>
        <rFont val="Calibri"/>
        <family val="2"/>
      </rPr>
      <t xml:space="preserve"> / </t>
    </r>
    <r>
      <rPr>
        <b/>
        <i/>
        <sz val="10"/>
        <color indexed="8"/>
        <rFont val="Calibri"/>
        <family val="2"/>
      </rPr>
      <t>z</t>
    </r>
    <r>
      <rPr>
        <b/>
        <i/>
        <vertAlign val="subscript"/>
        <sz val="10"/>
        <color indexed="8"/>
        <rFont val="Calibri"/>
        <family val="2"/>
      </rPr>
      <t>y'</t>
    </r>
  </si>
  <si>
    <r>
      <t>r</t>
    </r>
    <r>
      <rPr>
        <b/>
        <vertAlign val="subscript"/>
        <sz val="10"/>
        <color indexed="8"/>
        <rFont val="Calibri"/>
        <family val="2"/>
      </rPr>
      <t>XY</t>
    </r>
    <r>
      <rPr>
        <b/>
        <sz val="10"/>
        <color indexed="8"/>
        <rFont val="Calibri"/>
        <family val="2"/>
      </rPr>
      <t>= s</t>
    </r>
    <r>
      <rPr>
        <b/>
        <i/>
        <vertAlign val="subscript"/>
        <sz val="10"/>
        <color indexed="8"/>
        <rFont val="Calibri"/>
        <family val="2"/>
      </rPr>
      <t>y'</t>
    </r>
    <r>
      <rPr>
        <b/>
        <sz val="10"/>
        <color indexed="8"/>
        <rFont val="Calibri"/>
        <family val="2"/>
      </rPr>
      <t xml:space="preserve"> / s</t>
    </r>
    <r>
      <rPr>
        <b/>
        <i/>
        <vertAlign val="subscript"/>
        <sz val="10"/>
        <color indexed="8"/>
        <rFont val="Calibri"/>
        <family val="2"/>
      </rPr>
      <t>y</t>
    </r>
  </si>
  <si>
    <r>
      <t>r</t>
    </r>
    <r>
      <rPr>
        <b/>
        <vertAlign val="subscript"/>
        <sz val="10"/>
        <rFont val="Calibri"/>
        <family val="2"/>
      </rPr>
      <t>XY</t>
    </r>
    <r>
      <rPr>
        <b/>
        <sz val="10"/>
        <rFont val="Calibri"/>
        <family val="2"/>
      </rPr>
      <t xml:space="preserve"> =</t>
    </r>
    <r>
      <rPr>
        <b/>
        <i/>
        <sz val="10"/>
        <rFont val="Calibri"/>
        <family val="2"/>
      </rPr>
      <t xml:space="preserve"> S</t>
    </r>
    <r>
      <rPr>
        <b/>
        <i/>
        <vertAlign val="subscript"/>
        <sz val="10"/>
        <rFont val="Calibri"/>
        <family val="2"/>
      </rPr>
      <t>xy</t>
    </r>
    <r>
      <rPr>
        <b/>
        <i/>
        <sz val="10"/>
        <rFont val="Calibri"/>
        <family val="2"/>
      </rPr>
      <t xml:space="preserve"> / s</t>
    </r>
    <r>
      <rPr>
        <b/>
        <i/>
        <vertAlign val="subscript"/>
        <sz val="10"/>
        <rFont val="Calibri"/>
        <family val="2"/>
      </rPr>
      <t>x</t>
    </r>
    <r>
      <rPr>
        <b/>
        <i/>
        <sz val="10"/>
        <rFont val="Calibri"/>
        <family val="2"/>
      </rPr>
      <t xml:space="preserve"> * s</t>
    </r>
    <r>
      <rPr>
        <b/>
        <i/>
        <vertAlign val="subscript"/>
        <sz val="10"/>
        <rFont val="Calibri"/>
        <family val="2"/>
      </rPr>
      <t>y</t>
    </r>
  </si>
  <si>
    <r>
      <t>s</t>
    </r>
    <r>
      <rPr>
        <vertAlign val="superscript"/>
        <sz val="10"/>
        <rFont val="Calibri"/>
        <family val="2"/>
      </rPr>
      <t>2</t>
    </r>
  </si>
  <si>
    <t>Error</t>
  </si>
  <si>
    <r>
      <t>s</t>
    </r>
    <r>
      <rPr>
        <vertAlign val="superscript"/>
        <sz val="10"/>
        <rFont val="Calibri"/>
        <family val="2"/>
      </rPr>
      <t>2</t>
    </r>
    <r>
      <rPr>
        <vertAlign val="subscript"/>
        <sz val="10"/>
        <rFont val="Calibri"/>
        <family val="2"/>
      </rPr>
      <t>y</t>
    </r>
    <r>
      <rPr>
        <sz val="10"/>
        <rFont val="Calibri"/>
        <family val="2"/>
      </rPr>
      <t xml:space="preserve"> = s</t>
    </r>
    <r>
      <rPr>
        <vertAlign val="superscript"/>
        <sz val="10"/>
        <rFont val="Calibri"/>
        <family val="2"/>
      </rPr>
      <t>2</t>
    </r>
    <r>
      <rPr>
        <vertAlign val="subscript"/>
        <sz val="10"/>
        <rFont val="Calibri"/>
        <family val="2"/>
      </rPr>
      <t>y'</t>
    </r>
    <r>
      <rPr>
        <sz val="10"/>
        <rFont val="Calibri"/>
        <family val="2"/>
      </rPr>
      <t xml:space="preserve"> + s</t>
    </r>
    <r>
      <rPr>
        <vertAlign val="superscript"/>
        <sz val="10"/>
        <rFont val="Calibri"/>
        <family val="2"/>
      </rPr>
      <t>2</t>
    </r>
    <r>
      <rPr>
        <vertAlign val="subscript"/>
        <sz val="10"/>
        <rFont val="Calibri"/>
        <family val="2"/>
      </rPr>
      <t>error (y-y')</t>
    </r>
  </si>
  <si>
    <t>Puede comprobarse que</t>
  </si>
  <si>
    <r>
      <rPr>
        <i/>
        <sz val="10"/>
        <rFont val="Calibri"/>
        <family val="2"/>
      </rPr>
      <t>r</t>
    </r>
    <r>
      <rPr>
        <sz val="10"/>
        <rFont val="Calibri"/>
        <family val="2"/>
      </rPr>
      <t>=  Sumat [(x</t>
    </r>
    <r>
      <rPr>
        <vertAlign val="subscript"/>
        <sz val="10"/>
        <rFont val="Calibri"/>
        <family val="2"/>
      </rPr>
      <t>i</t>
    </r>
    <r>
      <rPr>
        <sz val="10"/>
        <rFont val="Calibri"/>
        <family val="2"/>
      </rPr>
      <t xml:space="preserve"> - x</t>
    </r>
    <r>
      <rPr>
        <vertAlign val="subscript"/>
        <sz val="10"/>
        <rFont val="Calibri"/>
        <family val="2"/>
      </rPr>
      <t>media</t>
    </r>
    <r>
      <rPr>
        <sz val="10"/>
        <rFont val="Calibri"/>
        <family val="2"/>
      </rPr>
      <t>) * (y</t>
    </r>
    <r>
      <rPr>
        <vertAlign val="subscript"/>
        <sz val="10"/>
        <rFont val="Calibri"/>
        <family val="2"/>
      </rPr>
      <t>i</t>
    </r>
    <r>
      <rPr>
        <sz val="10"/>
        <rFont val="Calibri"/>
        <family val="2"/>
      </rPr>
      <t xml:space="preserve"> - y</t>
    </r>
    <r>
      <rPr>
        <vertAlign val="subscript"/>
        <sz val="10"/>
        <rFont val="Calibri"/>
        <family val="2"/>
      </rPr>
      <t>media</t>
    </r>
    <r>
      <rPr>
        <sz val="10"/>
        <rFont val="Calibri"/>
        <family val="2"/>
      </rPr>
      <t>)] / RAÍZ { Sumat [(x</t>
    </r>
    <r>
      <rPr>
        <vertAlign val="subscript"/>
        <sz val="10"/>
        <rFont val="Calibri"/>
        <family val="2"/>
      </rPr>
      <t>i</t>
    </r>
    <r>
      <rPr>
        <sz val="10"/>
        <rFont val="Calibri"/>
        <family val="2"/>
      </rPr>
      <t xml:space="preserve"> - x</t>
    </r>
    <r>
      <rPr>
        <vertAlign val="subscript"/>
        <sz val="10"/>
        <rFont val="Calibri"/>
        <family val="2"/>
      </rPr>
      <t>media</t>
    </r>
    <r>
      <rPr>
        <sz val="10"/>
        <rFont val="Calibri"/>
        <family val="2"/>
      </rPr>
      <t>)</t>
    </r>
    <r>
      <rPr>
        <vertAlign val="superscript"/>
        <sz val="10"/>
        <rFont val="Calibri"/>
        <family val="2"/>
      </rPr>
      <t>2</t>
    </r>
    <r>
      <rPr>
        <sz val="10"/>
        <rFont val="Calibri"/>
        <family val="2"/>
      </rPr>
      <t xml:space="preserve"> * (y</t>
    </r>
    <r>
      <rPr>
        <vertAlign val="subscript"/>
        <sz val="10"/>
        <rFont val="Calibri"/>
        <family val="2"/>
      </rPr>
      <t>i</t>
    </r>
    <r>
      <rPr>
        <sz val="10"/>
        <rFont val="Calibri"/>
        <family val="2"/>
      </rPr>
      <t xml:space="preserve"> - y</t>
    </r>
    <r>
      <rPr>
        <vertAlign val="subscript"/>
        <sz val="10"/>
        <rFont val="Calibri"/>
        <family val="2"/>
      </rPr>
      <t>media</t>
    </r>
    <r>
      <rPr>
        <sz val="10"/>
        <rFont val="Calibri"/>
        <family val="2"/>
      </rPr>
      <t>)</t>
    </r>
    <r>
      <rPr>
        <vertAlign val="superscript"/>
        <sz val="10"/>
        <rFont val="Calibri"/>
        <family val="2"/>
      </rPr>
      <t>2</t>
    </r>
    <r>
      <rPr>
        <sz val="10"/>
        <rFont val="Calibri"/>
        <family val="2"/>
      </rPr>
      <t>] }</t>
    </r>
  </si>
  <si>
    <r>
      <t>r</t>
    </r>
    <r>
      <rPr>
        <vertAlign val="subscript"/>
        <sz val="10"/>
        <rFont val="Calibri"/>
        <family val="2"/>
      </rPr>
      <t xml:space="preserve">y error(y-y') </t>
    </r>
    <r>
      <rPr>
        <sz val="10"/>
        <rFont val="Calibri"/>
        <family val="2"/>
      </rPr>
      <t>= s</t>
    </r>
    <r>
      <rPr>
        <vertAlign val="subscript"/>
        <sz val="10"/>
        <rFont val="Calibri"/>
        <family val="2"/>
      </rPr>
      <t>error (y-y')</t>
    </r>
    <r>
      <rPr>
        <sz val="10"/>
        <rFont val="Calibri"/>
        <family val="2"/>
      </rPr>
      <t xml:space="preserve"> / s</t>
    </r>
    <r>
      <rPr>
        <vertAlign val="subscript"/>
        <sz val="10"/>
        <rFont val="Calibri"/>
        <family val="2"/>
      </rPr>
      <t>y</t>
    </r>
  </si>
  <si>
    <t>DISTR.T("t" obtenida; grados de libertad; nº de colas) =</t>
  </si>
  <si>
    <t xml:space="preserve">Voy a la tabla y veo que el valor teórico de "t con n-2 grados de libertad, para 0,05 con 2 colas" = </t>
  </si>
  <si>
    <t>n-2 g.l. =</t>
  </si>
  <si>
    <t>También puedo obtener la p mediante la  fórmula de excell:</t>
  </si>
  <si>
    <t>Puedo ver si el valor de "r" es estadísticamente significativo, comparando con la "t" teórica, con la "t" obtenida</t>
  </si>
  <si>
    <t xml:space="preserve">El estadístico de contraste se distribuye según t de Student con n-2 grados de libertad y viene dado por la fórmula t n-2 = r * Raíz (n-2 / 1-r^2)
</t>
  </si>
  <si>
    <t>Es &gt; 0 =&gt;Rechazo Ho =&gt; Existe evidencia estadística de que existe correlación entre variables.</t>
  </si>
  <si>
    <r>
      <t>z</t>
    </r>
    <r>
      <rPr>
        <vertAlign val="subscript"/>
        <sz val="10"/>
        <rFont val="Calibri"/>
        <family val="2"/>
      </rPr>
      <t>y'</t>
    </r>
  </si>
  <si>
    <r>
      <t>χ² de Pearson:</t>
    </r>
    <r>
      <rPr>
        <sz val="10"/>
        <rFont val="Calibri"/>
        <family val="2"/>
      </rPr>
      <t xml:space="preserve"> Se denomina "test de bondad de ajuste", y buscan un modelo matemático (teórico) sobre una distribución real.</t>
    </r>
  </si>
  <si>
    <r>
      <t>χ² de Pearson</t>
    </r>
    <r>
      <rPr>
        <sz val="10"/>
        <rFont val="Calibri"/>
        <family val="2"/>
      </rPr>
      <t>: En variables cualitativas se usa como test de homogeneidad o de independencia. Se trata de un estudio de proporciones (probabilidad de encontrar una cualidad).</t>
    </r>
  </si>
  <si>
    <r>
      <t xml:space="preserve">t de Student: </t>
    </r>
    <r>
      <rPr>
        <sz val="10"/>
        <rFont val="Calibri"/>
        <family val="2"/>
      </rPr>
      <t>Se trata de un contraste para 1 o 2 muestras. Es un test en el que se comparan las medias muestrales (m1=m2), o bien si la muestra es representativa o no.</t>
    </r>
  </si>
  <si>
    <r>
      <t xml:space="preserve">ANOVA (ANalisys Of VAriance): </t>
    </r>
    <r>
      <rPr>
        <sz val="10"/>
        <rFont val="Calibri"/>
        <family val="2"/>
      </rPr>
      <t>En este test se contrastan más de dos muestras (m1=m2=m3). Se aplica para estudios en los que se comparan medias.</t>
    </r>
  </si>
  <si>
    <r>
      <t xml:space="preserve">CORRELACIÓN / Regresión: </t>
    </r>
    <r>
      <rPr>
        <sz val="10"/>
        <rFont val="Calibri"/>
        <family val="2"/>
      </rPr>
      <t>Se aplican en estudios en los que se quieren relacionar variables, o bien para ajustar el comportamiento poblacional a un modelo matemático con fines predictivos.</t>
    </r>
  </si>
  <si>
    <r>
      <t xml:space="preserve">1) </t>
    </r>
    <r>
      <rPr>
        <sz val="10"/>
        <rFont val="Calibri"/>
        <family val="2"/>
      </rPr>
      <t>Calcular las medias, varianza y cuasivarianza.</t>
    </r>
  </si>
  <si>
    <r>
      <t xml:space="preserve">2) </t>
    </r>
    <r>
      <rPr>
        <sz val="10"/>
        <rFont val="Calibri"/>
        <family val="2"/>
      </rPr>
      <t>Comprobar que las varianzas son significativamente iguales. Esta comprobación se hace mdiante el "test F de Fisher-Snedecor".</t>
    </r>
  </si>
  <si>
    <r>
      <t xml:space="preserve">3) </t>
    </r>
    <r>
      <rPr>
        <sz val="10"/>
        <rFont val="Calibri"/>
        <family val="2"/>
      </rPr>
      <t>Calcular el valor de "</t>
    </r>
    <r>
      <rPr>
        <b/>
        <i/>
        <sz val="10"/>
        <rFont val="Calibri"/>
        <family val="2"/>
      </rPr>
      <t xml:space="preserve">t </t>
    </r>
    <r>
      <rPr>
        <sz val="10"/>
        <rFont val="Calibri"/>
        <family val="2"/>
      </rPr>
      <t>calculada". En este punto, dependiendo de si las varianzas poblacionales son significativamente iguales o no,</t>
    </r>
  </si>
  <si>
    <r>
      <t>3.1)</t>
    </r>
    <r>
      <rPr>
        <sz val="10"/>
        <rFont val="Calibri"/>
        <family val="2"/>
      </rPr>
      <t xml:space="preserve"> n1+n2 &gt; 30</t>
    </r>
  </si>
  <si>
    <r>
      <t>t</t>
    </r>
    <r>
      <rPr>
        <sz val="10"/>
        <rFont val="Calibri"/>
        <family val="2"/>
      </rPr>
      <t xml:space="preserve"> calculada = (m1-m2) / Raíz [(CuaSivarianza1 / n1)+(Cuasivarianza2 / n2)]</t>
    </r>
  </si>
  <si>
    <r>
      <t>3.1)</t>
    </r>
    <r>
      <rPr>
        <sz val="10"/>
        <rFont val="Calibri"/>
        <family val="2"/>
      </rPr>
      <t xml:space="preserve"> n1+n2 &lt; 30, siendo Varianza1 = Varianza2</t>
    </r>
  </si>
  <si>
    <r>
      <t xml:space="preserve">t </t>
    </r>
    <r>
      <rPr>
        <sz val="10"/>
        <rFont val="Calibri"/>
        <family val="2"/>
      </rPr>
      <t>calculada = (m1-m2) / Raíz [(Cuazivarianza1 / n1)+(Cuasivarianza2 / n2)]</t>
    </r>
  </si>
  <si>
    <r>
      <t xml:space="preserve">Un ANOVA produce un valor </t>
    </r>
    <r>
      <rPr>
        <i/>
        <sz val="10"/>
        <rFont val="Calibri"/>
        <family val="2"/>
      </rPr>
      <t>"p"</t>
    </r>
    <r>
      <rPr>
        <sz val="10"/>
        <rFont val="Calibri"/>
        <family val="2"/>
      </rPr>
      <t xml:space="preserve"> que nos dice "si la Ho fuese cierta, esta p es la probabilidad de que pertenezcan a la misma media poblacional = misma población".</t>
    </r>
  </si>
  <si>
    <r>
      <t>Desv stand "</t>
    </r>
    <r>
      <rPr>
        <i/>
        <sz val="10"/>
        <rFont val="Calibri"/>
        <family val="2"/>
      </rPr>
      <t>s"</t>
    </r>
  </si>
  <si>
    <r>
      <t>s</t>
    </r>
    <r>
      <rPr>
        <vertAlign val="subscript"/>
        <sz val="10"/>
        <rFont val="Calibri"/>
        <family val="2"/>
      </rPr>
      <t>t</t>
    </r>
    <r>
      <rPr>
        <sz val="10"/>
        <rFont val="Calibri"/>
        <family val="2"/>
      </rPr>
      <t>^2 = SCT / (N-1)</t>
    </r>
  </si>
  <si>
    <r>
      <t>s</t>
    </r>
    <r>
      <rPr>
        <vertAlign val="subscript"/>
        <sz val="10"/>
        <rFont val="Calibri"/>
        <family val="2"/>
      </rPr>
      <t>r</t>
    </r>
    <r>
      <rPr>
        <sz val="10"/>
        <rFont val="Calibri"/>
        <family val="2"/>
      </rPr>
      <t>^2 = SCR / (N-k); que corresponde al "ruido" (="error")</t>
    </r>
  </si>
  <si>
    <r>
      <t>s</t>
    </r>
    <r>
      <rPr>
        <vertAlign val="subscript"/>
        <sz val="10"/>
        <rFont val="Calibri"/>
        <family val="2"/>
      </rPr>
      <t>e</t>
    </r>
    <r>
      <rPr>
        <sz val="10"/>
        <rFont val="Calibri"/>
        <family val="2"/>
      </rPr>
      <t>^2 = SCE / (k-1); que corresponde al "efecto" (="señal")</t>
    </r>
  </si>
  <si>
    <r>
      <t>Interpretación del resultado del estudio:</t>
    </r>
    <r>
      <rPr>
        <sz val="10"/>
        <rFont val="Calibri"/>
        <family val="2"/>
      </rPr>
      <t xml:space="preserve"> Entendemos que la media del índice de pulsatilidad (IP) es mayor en los exusuarios (0,983) y también alta en los usuarios</t>
    </r>
  </si>
  <si>
    <r>
      <t xml:space="preserve">¿Cómo continuamos?: </t>
    </r>
    <r>
      <rPr>
        <sz val="10"/>
        <rFont val="Calibri"/>
        <family val="2"/>
      </rPr>
      <t>Hemos concluido rechazando que estas tres medias provengan de poblaciones con el mismo IP, pero esto no ha concluido el problema.</t>
    </r>
  </si>
  <si>
    <r>
      <t xml:space="preserve">2) entre ex-usuarios y control; y 3) entre usuarios y ex-usuarios. En total son </t>
    </r>
    <r>
      <rPr>
        <b/>
        <sz val="10"/>
        <rFont val="Calibri"/>
        <family val="2"/>
      </rPr>
      <t>k*(k-1)/2</t>
    </r>
    <r>
      <rPr>
        <sz val="10"/>
        <rFont val="Calibri"/>
        <family val="2"/>
      </rPr>
      <t>, de modo que si son 3 grupos, en este caso serían 3*(3-1)/2= 3</t>
    </r>
  </si>
  <si>
    <r>
      <t>Variable bidimensional: [</t>
    </r>
    <r>
      <rPr>
        <i/>
        <sz val="10"/>
        <rFont val="Calibri"/>
        <family val="2"/>
      </rPr>
      <t>X, Y</t>
    </r>
    <r>
      <rPr>
        <sz val="10"/>
        <rFont val="Calibri"/>
        <family val="2"/>
      </rPr>
      <t xml:space="preserve">] =&gt; </t>
    </r>
    <r>
      <rPr>
        <i/>
        <sz val="10"/>
        <rFont val="Calibri"/>
        <family val="2"/>
      </rPr>
      <t>X, [Media de x, Desv típica de x]; Y [Media de y, Desv típica de y], que son las distribuciones marginales</t>
    </r>
  </si>
  <si>
    <r>
      <t xml:space="preserve">Este nuevo parámro, cuyo cálculo sólo tiene sentido para una varible estadística bidimensional, se llama COVARIANZA, o varizanza conjunta de las variables </t>
    </r>
    <r>
      <rPr>
        <i/>
        <sz val="10"/>
        <rFont val="Calibri"/>
        <family val="2"/>
      </rPr>
      <t>X</t>
    </r>
    <r>
      <rPr>
        <sz val="10"/>
        <rFont val="Calibri"/>
        <family val="2"/>
      </rPr>
      <t xml:space="preserve"> e </t>
    </r>
    <r>
      <rPr>
        <i/>
        <sz val="10"/>
        <rFont val="Calibri"/>
        <family val="2"/>
      </rPr>
      <t>Y</t>
    </r>
    <r>
      <rPr>
        <sz val="10"/>
        <rFont val="Calibri"/>
        <family val="2"/>
      </rPr>
      <t>.</t>
    </r>
  </si>
  <si>
    <r>
      <t xml:space="preserve">La COVARIANZA de la variable </t>
    </r>
    <r>
      <rPr>
        <i/>
        <sz val="10"/>
        <rFont val="Calibri"/>
        <family val="2"/>
      </rPr>
      <t>[X,Y]</t>
    </r>
    <r>
      <rPr>
        <sz val="10"/>
        <rFont val="Calibri"/>
        <family val="2"/>
      </rPr>
      <t>, que toma los valores [x1, y1],; [x2, y2]… [xn, yn], viene dada por la expresión:</t>
    </r>
  </si>
  <si>
    <r>
      <t>S[</t>
    </r>
    <r>
      <rPr>
        <i/>
        <sz val="10"/>
        <rFont val="Calibri"/>
        <family val="2"/>
      </rPr>
      <t xml:space="preserve">X,Y] </t>
    </r>
    <r>
      <rPr>
        <sz val="10"/>
        <rFont val="Calibri"/>
        <family val="2"/>
      </rPr>
      <t xml:space="preserve">= {Suma de [ (xi - Media de x) * (yi - Media de y) ] / n } = { [Suma de (xi * yi) / n] - (Media de x * Media de y) } </t>
    </r>
  </si>
  <si>
    <r>
      <t xml:space="preserve">La covarianza </t>
    </r>
    <r>
      <rPr>
        <i/>
        <sz val="10"/>
        <rFont val="Calibri"/>
        <family val="2"/>
      </rPr>
      <t>S</t>
    </r>
    <r>
      <rPr>
        <sz val="10"/>
        <rFont val="Calibri"/>
        <family val="2"/>
      </rPr>
      <t>(</t>
    </r>
    <r>
      <rPr>
        <i/>
        <sz val="10"/>
        <rFont val="Calibri"/>
        <family val="2"/>
      </rPr>
      <t>X</t>
    </r>
    <r>
      <rPr>
        <sz val="10"/>
        <rFont val="Calibri"/>
        <family val="2"/>
      </rPr>
      <t>,</t>
    </r>
    <r>
      <rPr>
        <i/>
        <sz val="10"/>
        <rFont val="Calibri"/>
        <family val="2"/>
      </rPr>
      <t>Y</t>
    </r>
    <r>
      <rPr>
        <sz val="10"/>
        <rFont val="Calibri"/>
        <family val="2"/>
      </rPr>
      <t xml:space="preserve">) de dos variables aleatorias </t>
    </r>
    <r>
      <rPr>
        <i/>
        <sz val="10"/>
        <rFont val="Calibri"/>
        <family val="2"/>
      </rPr>
      <t>X</t>
    </r>
    <r>
      <rPr>
        <sz val="10"/>
        <rFont val="Calibri"/>
        <family val="2"/>
      </rPr>
      <t xml:space="preserve"> e </t>
    </r>
    <r>
      <rPr>
        <i/>
        <sz val="10"/>
        <rFont val="Calibri"/>
        <family val="2"/>
      </rPr>
      <t>Y</t>
    </r>
    <r>
      <rPr>
        <sz val="10"/>
        <rFont val="Calibri"/>
        <family val="2"/>
      </rPr>
      <t xml:space="preserve"> se define como = [Suma (xi -media x).(yi - media y)] / n</t>
    </r>
  </si>
  <si>
    <r>
      <t xml:space="preserve">Si </t>
    </r>
    <r>
      <rPr>
        <i/>
        <sz val="10"/>
        <rFont val="Calibri"/>
        <family val="2"/>
      </rPr>
      <t>S</t>
    </r>
    <r>
      <rPr>
        <i/>
        <vertAlign val="subscript"/>
        <sz val="10"/>
        <rFont val="Calibri"/>
        <family val="2"/>
      </rPr>
      <t>xy</t>
    </r>
    <r>
      <rPr>
        <sz val="10"/>
        <rFont val="Calibri"/>
        <family val="2"/>
      </rPr>
      <t xml:space="preserve"> &gt; 0 hay dependencia directa (positiva), es decir, a grandes valores de x corresponden grandes valores de y.</t>
    </r>
  </si>
  <si>
    <r>
      <t>DesvEst "</t>
    </r>
    <r>
      <rPr>
        <i/>
        <sz val="10"/>
        <rFont val="Calibri"/>
        <family val="2"/>
      </rPr>
      <t>s</t>
    </r>
    <r>
      <rPr>
        <sz val="10"/>
        <rFont val="Calibri"/>
        <family val="2"/>
      </rPr>
      <t>"</t>
    </r>
  </si>
  <si>
    <r>
      <t xml:space="preserve">Si </t>
    </r>
    <r>
      <rPr>
        <i/>
        <sz val="10"/>
        <rFont val="Calibri"/>
        <family val="2"/>
      </rPr>
      <t>S</t>
    </r>
    <r>
      <rPr>
        <i/>
        <vertAlign val="subscript"/>
        <sz val="10"/>
        <rFont val="Calibri"/>
        <family val="2"/>
      </rPr>
      <t>xy</t>
    </r>
    <r>
      <rPr>
        <sz val="10"/>
        <rFont val="Calibri"/>
        <family val="2"/>
      </rPr>
      <t xml:space="preserve"> = 0 Una covarianza 0 se interpreta como la no existencia de una relación lineal entre las dos variables estudiadas.</t>
    </r>
  </si>
  <si>
    <r>
      <t xml:space="preserve">Si </t>
    </r>
    <r>
      <rPr>
        <i/>
        <sz val="10"/>
        <rFont val="Calibri"/>
        <family val="2"/>
      </rPr>
      <t>S</t>
    </r>
    <r>
      <rPr>
        <i/>
        <vertAlign val="subscript"/>
        <sz val="10"/>
        <rFont val="Calibri"/>
        <family val="2"/>
      </rPr>
      <t>xy</t>
    </r>
    <r>
      <rPr>
        <sz val="10"/>
        <rFont val="Calibri"/>
        <family val="2"/>
      </rPr>
      <t xml:space="preserve"> &lt; 0 hay dependencia inversa o negativa, es decir, a grandes valores de x corresponden pequeños valores de y.</t>
    </r>
  </si>
  <si>
    <r>
      <t xml:space="preserve">La magnitud de asociación del </t>
    </r>
    <r>
      <rPr>
        <b/>
        <sz val="12"/>
        <rFont val="Calibri"/>
        <family val="2"/>
      </rPr>
      <t xml:space="preserve">coeficiente de correlación </t>
    </r>
    <r>
      <rPr>
        <b/>
        <i/>
        <sz val="12"/>
        <rFont val="Calibri"/>
        <family val="2"/>
      </rPr>
      <t>r</t>
    </r>
    <r>
      <rPr>
        <b/>
        <sz val="12"/>
        <rFont val="Calibri"/>
        <family val="2"/>
      </rPr>
      <t xml:space="preserve"> de Pearson</t>
    </r>
    <r>
      <rPr>
        <sz val="12"/>
        <rFont val="Calibri"/>
        <family val="2"/>
      </rPr>
      <t xml:space="preserve"> es la siguiente: a)</t>
    </r>
    <r>
      <rPr>
        <b/>
        <sz val="12"/>
        <color indexed="50"/>
        <rFont val="Calibri"/>
        <family val="2"/>
      </rPr>
      <t xml:space="preserve"> 1: dependencia funciona</t>
    </r>
    <r>
      <rPr>
        <sz val="12"/>
        <color indexed="50"/>
        <rFont val="Calibri"/>
        <family val="2"/>
      </rPr>
      <t>l</t>
    </r>
    <r>
      <rPr>
        <sz val="12"/>
        <rFont val="Calibri"/>
        <family val="2"/>
      </rPr>
      <t xml:space="preserve">; b) </t>
    </r>
    <r>
      <rPr>
        <b/>
        <sz val="12"/>
        <color indexed="57"/>
        <rFont val="Calibri"/>
        <family val="2"/>
      </rPr>
      <t>&gt; 0,7: asociación fuerte</t>
    </r>
    <r>
      <rPr>
        <sz val="12"/>
        <rFont val="Calibri"/>
        <family val="2"/>
      </rPr>
      <t>; c)</t>
    </r>
    <r>
      <rPr>
        <b/>
        <sz val="12"/>
        <color indexed="51"/>
        <rFont val="Calibri"/>
        <family val="2"/>
      </rPr>
      <t xml:space="preserve"> 0,7-0,3: asociación moderada</t>
    </r>
    <r>
      <rPr>
        <sz val="12"/>
        <rFont val="Calibri"/>
        <family val="2"/>
      </rPr>
      <t>; d)</t>
    </r>
    <r>
      <rPr>
        <b/>
        <sz val="12"/>
        <color indexed="52"/>
        <rFont val="Calibri"/>
        <family val="2"/>
      </rPr>
      <t xml:space="preserve"> &lt; 0,3: asociación débil</t>
    </r>
    <r>
      <rPr>
        <sz val="12"/>
        <rFont val="Calibri"/>
        <family val="2"/>
      </rPr>
      <t xml:space="preserve">; e) </t>
    </r>
    <r>
      <rPr>
        <b/>
        <sz val="12"/>
        <color indexed="10"/>
        <rFont val="Calibri"/>
        <family val="2"/>
      </rPr>
      <t>0: no existe correlación</t>
    </r>
    <r>
      <rPr>
        <sz val="12"/>
        <rFont val="Calibri"/>
        <family val="2"/>
      </rPr>
      <t xml:space="preserve">. </t>
    </r>
  </si>
  <si>
    <r>
      <t>DesvEst "</t>
    </r>
    <r>
      <rPr>
        <i/>
        <sz val="10"/>
        <rFont val="Calibri"/>
        <family val="2"/>
      </rPr>
      <t>s</t>
    </r>
    <r>
      <rPr>
        <i/>
        <vertAlign val="superscript"/>
        <sz val="10"/>
        <rFont val="Calibri"/>
        <family val="2"/>
      </rPr>
      <t>2</t>
    </r>
    <r>
      <rPr>
        <sz val="10"/>
        <rFont val="Calibri"/>
        <family val="2"/>
      </rPr>
      <t>"</t>
    </r>
  </si>
  <si>
    <r>
      <t xml:space="preserve">r </t>
    </r>
    <r>
      <rPr>
        <sz val="10"/>
        <rFont val="Calibri"/>
        <family val="2"/>
      </rPr>
      <t xml:space="preserve">= </t>
    </r>
  </si>
  <si>
    <r>
      <t xml:space="preserve">DISTR.T("t obtenida"; grados de libertad; nº de colas) ; y nos delvolverá el valor de </t>
    </r>
    <r>
      <rPr>
        <i/>
        <sz val="10"/>
        <rFont val="Calibri"/>
        <family val="2"/>
      </rPr>
      <t>p</t>
    </r>
  </si>
  <si>
    <r>
      <t>Y, ahora, vamos a deshacer la transformación para entregar su verdadero valor de "</t>
    </r>
    <r>
      <rPr>
        <i/>
        <sz val="10"/>
        <rFont val="Calibri"/>
        <family val="2"/>
      </rPr>
      <t>r</t>
    </r>
    <r>
      <rPr>
        <sz val="10"/>
        <rFont val="Calibri"/>
        <family val="2"/>
      </rPr>
      <t>". Y así la tranformación inversa es:</t>
    </r>
  </si>
  <si>
    <r>
      <t>Lectura "</t>
    </r>
    <r>
      <rPr>
        <i/>
        <sz val="10"/>
        <rFont val="Calibri"/>
        <family val="2"/>
      </rPr>
      <t>r</t>
    </r>
    <r>
      <rPr>
        <sz val="10"/>
        <rFont val="Calibri"/>
        <family val="2"/>
      </rPr>
      <t>" =</t>
    </r>
  </si>
  <si>
    <r>
      <t xml:space="preserve">2) Calcular el coeficiente de correlación no paramétrico de Spearman </t>
    </r>
    <r>
      <rPr>
        <b/>
        <i/>
        <sz val="12"/>
        <rFont val="Calibri"/>
        <family val="2"/>
      </rPr>
      <t>(rho)</t>
    </r>
  </si>
  <si>
    <r>
      <t>rho</t>
    </r>
    <r>
      <rPr>
        <b/>
        <sz val="10"/>
        <color indexed="30"/>
        <rFont val="Calibri"/>
        <family val="2"/>
      </rPr>
      <t>= Sp xy / Raíz (SCx*SCy) =</t>
    </r>
  </si>
  <si>
    <t>Interpretación: La asociación encontrada en nuestro caso es rho=+0,49. Se aproxima bastante a la hallada por el método paramétrico r=+0,51 (Cfte correl Pearson).</t>
  </si>
  <si>
    <r>
      <t xml:space="preserve">(rx </t>
    </r>
    <r>
      <rPr>
        <b/>
        <vertAlign val="subscript"/>
        <sz val="10"/>
        <rFont val="Calibri"/>
        <family val="2"/>
      </rPr>
      <t xml:space="preserve">i </t>
    </r>
    <r>
      <rPr>
        <b/>
        <sz val="10"/>
        <rFont val="Calibri"/>
        <family val="2"/>
      </rPr>
      <t xml:space="preserve">- Media rx)*(ry </t>
    </r>
    <r>
      <rPr>
        <b/>
        <vertAlign val="subscript"/>
        <sz val="10"/>
        <rFont val="Calibri"/>
        <family val="2"/>
      </rPr>
      <t>i</t>
    </r>
    <r>
      <rPr>
        <b/>
        <sz val="10"/>
        <rFont val="Calibri"/>
        <family val="2"/>
      </rPr>
      <t xml:space="preserve"> - Media ry)</t>
    </r>
  </si>
  <si>
    <r>
      <t>Lectura: "</t>
    </r>
    <r>
      <rPr>
        <i/>
        <sz val="10"/>
        <rFont val="Calibri"/>
        <family val="2"/>
      </rPr>
      <t>rho</t>
    </r>
    <r>
      <rPr>
        <sz val="10"/>
        <rFont val="Calibri"/>
        <family val="2"/>
      </rPr>
      <t>" =</t>
    </r>
  </si>
  <si>
    <r>
      <t xml:space="preserve">CÁLCULO DE LOS INTERVALOS DE CONFIANZA DE </t>
    </r>
    <r>
      <rPr>
        <b/>
        <i/>
        <u val="single"/>
        <sz val="10"/>
        <rFont val="Calibri"/>
        <family val="2"/>
      </rPr>
      <t>"rho"</t>
    </r>
  </si>
  <si>
    <t>Contraste</t>
  </si>
  <si>
    <r>
      <rPr>
        <i/>
        <sz val="10"/>
        <rFont val="Calibri"/>
        <family val="2"/>
      </rPr>
      <t>p</t>
    </r>
    <r>
      <rPr>
        <sz val="10"/>
        <rFont val="Calibri"/>
        <family val="2"/>
      </rPr>
      <t xml:space="preserve"> (dos colas) =</t>
    </r>
  </si>
  <si>
    <r>
      <t>El estadístico de contraste de r</t>
    </r>
    <r>
      <rPr>
        <vertAlign val="subscript"/>
        <sz val="10"/>
        <rFont val="Calibri"/>
        <family val="2"/>
      </rPr>
      <t>xy</t>
    </r>
    <r>
      <rPr>
        <sz val="10"/>
        <rFont val="Calibri"/>
        <family val="2"/>
      </rPr>
      <t xml:space="preserve"> es  t obtenida</t>
    </r>
    <r>
      <rPr>
        <vertAlign val="subscript"/>
        <sz val="10"/>
        <rFont val="Calibri"/>
        <family val="2"/>
      </rPr>
      <t xml:space="preserve"> n-2; alfa 2 colas</t>
    </r>
    <r>
      <rPr>
        <sz val="10"/>
        <rFont val="Calibri"/>
        <family val="2"/>
      </rPr>
      <t xml:space="preserve"> = r</t>
    </r>
    <r>
      <rPr>
        <vertAlign val="subscript"/>
        <sz val="10"/>
        <rFont val="Calibri"/>
        <family val="2"/>
      </rPr>
      <t>xy</t>
    </r>
    <r>
      <rPr>
        <sz val="10"/>
        <rFont val="Calibri"/>
        <family val="2"/>
      </rPr>
      <t xml:space="preserve"> * Raíz (n-2 / 1-r</t>
    </r>
    <r>
      <rPr>
        <vertAlign val="subscript"/>
        <sz val="10"/>
        <rFont val="Calibri"/>
        <family val="2"/>
      </rPr>
      <t>xy</t>
    </r>
    <r>
      <rPr>
        <vertAlign val="superscript"/>
        <sz val="10"/>
        <rFont val="Calibri"/>
        <family val="2"/>
      </rPr>
      <t>2</t>
    </r>
    <r>
      <rPr>
        <sz val="10"/>
        <rFont val="Calibri"/>
        <family val="2"/>
      </rPr>
      <t>)</t>
    </r>
  </si>
  <si>
    <r>
      <rPr>
        <sz val="10"/>
        <rFont val="Calibri"/>
        <family val="2"/>
      </rPr>
      <t>t obtenida</t>
    </r>
    <r>
      <rPr>
        <vertAlign val="subscript"/>
        <sz val="10"/>
        <rFont val="Calibri"/>
        <family val="2"/>
      </rPr>
      <t xml:space="preserve"> n-2; alfa 2 colas</t>
    </r>
    <r>
      <rPr>
        <sz val="10"/>
        <rFont val="Calibri"/>
        <family val="2"/>
      </rPr>
      <t xml:space="preserve"> = r</t>
    </r>
    <r>
      <rPr>
        <vertAlign val="subscript"/>
        <sz val="10"/>
        <rFont val="Calibri"/>
        <family val="2"/>
      </rPr>
      <t>xy</t>
    </r>
    <r>
      <rPr>
        <sz val="10"/>
        <rFont val="Calibri"/>
        <family val="2"/>
      </rPr>
      <t xml:space="preserve"> * Raíz (n-2 / 1-r</t>
    </r>
    <r>
      <rPr>
        <vertAlign val="subscript"/>
        <sz val="10"/>
        <rFont val="Calibri"/>
        <family val="2"/>
      </rPr>
      <t>xy</t>
    </r>
    <r>
      <rPr>
        <vertAlign val="superscript"/>
        <sz val="10"/>
        <rFont val="Calibri"/>
        <family val="2"/>
      </rPr>
      <t>2</t>
    </r>
    <r>
      <rPr>
        <sz val="10"/>
        <rFont val="Calibri"/>
        <family val="2"/>
      </rPr>
      <t>)</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</si>
</sst>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_-* #,##0\ _€_-;\-* #,##0\ _€_-;_-* &quot;-&quot;??\ _€_-;_-@_-"/>
    <numFmt numFmtId="167" formatCode="_-* #,##0.000\ _€_-;\-* #,##0.000\ _€_-;_-* &quot;-&quot;??\ _€_-;_-@_-"/>
    <numFmt numFmtId="168" formatCode="_-* #,##0.0000\ _€_-;\-* #,##0.0000\ _€_-;_-* &quot;-&quot;??\ _€_-;_-@_-"/>
    <numFmt numFmtId="169" formatCode="_-* #,##0.000\ _€_-;\-* #,##0.000\ _€_-;_-* &quot;-&quot;???\ _€_-;_-@_-"/>
    <numFmt numFmtId="170" formatCode="0.0000000000"/>
    <numFmt numFmtId="171" formatCode="0.000000000"/>
    <numFmt numFmtId="172" formatCode="0.00000000"/>
    <numFmt numFmtId="173" formatCode="0.0000000"/>
    <numFmt numFmtId="174" formatCode="0.000000"/>
    <numFmt numFmtId="175" formatCode="0.00000"/>
    <numFmt numFmtId="176" formatCode="0.0000"/>
    <numFmt numFmtId="177" formatCode="0.000"/>
    <numFmt numFmtId="178" formatCode="0.00000000000"/>
    <numFmt numFmtId="179" formatCode="_-* #,##0.0000\ _€_-;\-* #,##0.0000\ _€_-;_-* &quot;-&quot;???\ _€_-;_-@_-"/>
    <numFmt numFmtId="180" formatCode="_-* #,##0.00000\ _€_-;\-* #,##0.00000\ _€_-;_-* &quot;-&quot;??\ _€_-;_-@_-"/>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 #,##0.0\ _€_-;\-* #,##0.0\ _€_-;_-* &quot;-&quot;?\ _€_-;_-@_-"/>
    <numFmt numFmtId="187" formatCode="_-* #,##0.00000\ _€_-;\-* #,##0.00000\ _€_-;_-* &quot;-&quot;???\ _€_-;_-@_-"/>
    <numFmt numFmtId="188" formatCode="_-* #,##0.00\ _€_-;\-* #,##0.00\ _€_-;_-* &quot;-&quot;???\ _€_-;_-@_-"/>
    <numFmt numFmtId="189" formatCode="_-* #,##0.0000\ _€_-;\-* #,##0.0000\ _€_-;_-* &quot;-&quot;????\ _€_-;_-@_-"/>
    <numFmt numFmtId="190" formatCode="0.000%"/>
    <numFmt numFmtId="191" formatCode="0.0000%"/>
    <numFmt numFmtId="192" formatCode="0.00000%"/>
    <numFmt numFmtId="193" formatCode="0.000000%"/>
    <numFmt numFmtId="194" formatCode="_-* #,##0.000000\ _€_-;\-* #,##0.000000\ _€_-;_-* &quot;-&quot;??\ _€_-;_-@_-"/>
    <numFmt numFmtId="195" formatCode="#,##0.00_ ;\-#,##0.00\ "/>
    <numFmt numFmtId="196" formatCode="[$-C0A]dddd\,\ dd&quot; de &quot;mmmm&quot; de &quot;yyyy"/>
    <numFmt numFmtId="197" formatCode="#,##0.0000_ ;\-#,##0.0000\ "/>
    <numFmt numFmtId="198" formatCode="[$-C0A]dddd\,\ d&quot; de &quot;mmmm&quot; de &quot;yyyy"/>
    <numFmt numFmtId="199" formatCode="#,##0.000_ ;\-#,##0.000\ "/>
  </numFmts>
  <fonts count="160">
    <font>
      <sz val="10"/>
      <name val="Times New Roman"/>
      <family val="1"/>
    </font>
    <font>
      <sz val="10"/>
      <name val="Arial"/>
      <family val="0"/>
    </font>
    <font>
      <u val="single"/>
      <sz val="10"/>
      <color indexed="12"/>
      <name val="Times New Roman"/>
      <family val="1"/>
    </font>
    <font>
      <u val="single"/>
      <sz val="10"/>
      <color indexed="36"/>
      <name val="Times New Roman"/>
      <family val="1"/>
    </font>
    <font>
      <sz val="10"/>
      <name val="Calibri"/>
      <family val="2"/>
    </font>
    <font>
      <i/>
      <sz val="10"/>
      <name val="Calibri"/>
      <family val="2"/>
    </font>
    <font>
      <vertAlign val="subscript"/>
      <sz val="10"/>
      <name val="Calibri"/>
      <family val="2"/>
    </font>
    <font>
      <vertAlign val="superscript"/>
      <sz val="10"/>
      <name val="Calibri"/>
      <family val="2"/>
    </font>
    <font>
      <i/>
      <vertAlign val="subscript"/>
      <sz val="10"/>
      <name val="Calibri"/>
      <family val="2"/>
    </font>
    <font>
      <b/>
      <i/>
      <sz val="12"/>
      <name val="Calibri"/>
      <family val="2"/>
    </font>
    <font>
      <b/>
      <i/>
      <sz val="14"/>
      <name val="Calibri"/>
      <family val="2"/>
    </font>
    <font>
      <b/>
      <sz val="14"/>
      <name val="Calibri"/>
      <family val="2"/>
    </font>
    <font>
      <b/>
      <sz val="10"/>
      <name val="Calibri"/>
      <family val="2"/>
    </font>
    <font>
      <b/>
      <sz val="10"/>
      <color indexed="30"/>
      <name val="Calibri"/>
      <family val="2"/>
    </font>
    <font>
      <b/>
      <sz val="12"/>
      <name val="Calibri"/>
      <family val="2"/>
    </font>
    <font>
      <sz val="12"/>
      <name val="Calibri"/>
      <family val="2"/>
    </font>
    <font>
      <i/>
      <sz val="10"/>
      <color indexed="12"/>
      <name val="Calibri"/>
      <family val="2"/>
    </font>
    <font>
      <sz val="10"/>
      <color indexed="12"/>
      <name val="Calibri"/>
      <family val="2"/>
    </font>
    <font>
      <b/>
      <i/>
      <sz val="10"/>
      <color indexed="12"/>
      <name val="Calibri"/>
      <family val="2"/>
    </font>
    <font>
      <b/>
      <sz val="10"/>
      <color indexed="12"/>
      <name val="Calibri"/>
      <family val="2"/>
    </font>
    <font>
      <b/>
      <sz val="10"/>
      <color indexed="61"/>
      <name val="Calibri"/>
      <family val="2"/>
    </font>
    <font>
      <b/>
      <u val="single"/>
      <sz val="10"/>
      <color indexed="12"/>
      <name val="Calibri"/>
      <family val="2"/>
    </font>
    <font>
      <b/>
      <vertAlign val="superscript"/>
      <sz val="10"/>
      <color indexed="12"/>
      <name val="Calibri"/>
      <family val="2"/>
    </font>
    <font>
      <vertAlign val="superscript"/>
      <sz val="10"/>
      <color indexed="12"/>
      <name val="Calibri"/>
      <family val="2"/>
    </font>
    <font>
      <b/>
      <i/>
      <sz val="10"/>
      <name val="Calibri"/>
      <family val="2"/>
    </font>
    <font>
      <sz val="10"/>
      <color indexed="14"/>
      <name val="Calibri"/>
      <family val="2"/>
    </font>
    <font>
      <b/>
      <sz val="9"/>
      <name val="Calibri"/>
      <family val="2"/>
    </font>
    <font>
      <b/>
      <i/>
      <sz val="9"/>
      <name val="Calibri"/>
      <family val="2"/>
    </font>
    <font>
      <sz val="9"/>
      <name val="Calibri"/>
      <family val="2"/>
    </font>
    <font>
      <vertAlign val="subscript"/>
      <sz val="9"/>
      <name val="Calibri"/>
      <family val="2"/>
    </font>
    <font>
      <b/>
      <sz val="9"/>
      <color indexed="12"/>
      <name val="Calibri"/>
      <family val="2"/>
    </font>
    <font>
      <b/>
      <i/>
      <sz val="9"/>
      <color indexed="12"/>
      <name val="Calibri"/>
      <family val="2"/>
    </font>
    <font>
      <sz val="9"/>
      <color indexed="12"/>
      <name val="Calibri"/>
      <family val="2"/>
    </font>
    <font>
      <sz val="10"/>
      <color indexed="53"/>
      <name val="Calibri"/>
      <family val="2"/>
    </font>
    <font>
      <i/>
      <sz val="10"/>
      <color indexed="53"/>
      <name val="Calibri"/>
      <family val="2"/>
    </font>
    <font>
      <b/>
      <sz val="10"/>
      <color indexed="53"/>
      <name val="Calibri"/>
      <family val="2"/>
    </font>
    <font>
      <b/>
      <u val="single"/>
      <sz val="10"/>
      <color indexed="14"/>
      <name val="Calibri"/>
      <family val="2"/>
    </font>
    <font>
      <b/>
      <u val="single"/>
      <sz val="10"/>
      <color indexed="53"/>
      <name val="Calibri"/>
      <family val="2"/>
    </font>
    <font>
      <b/>
      <sz val="10"/>
      <color indexed="52"/>
      <name val="Calibri"/>
      <family val="2"/>
    </font>
    <font>
      <b/>
      <sz val="12"/>
      <color indexed="50"/>
      <name val="Calibri"/>
      <family val="2"/>
    </font>
    <font>
      <sz val="12"/>
      <color indexed="50"/>
      <name val="Calibri"/>
      <family val="2"/>
    </font>
    <font>
      <b/>
      <sz val="12"/>
      <color indexed="57"/>
      <name val="Calibri"/>
      <family val="2"/>
    </font>
    <font>
      <b/>
      <sz val="12"/>
      <color indexed="51"/>
      <name val="Calibri"/>
      <family val="2"/>
    </font>
    <font>
      <b/>
      <sz val="12"/>
      <color indexed="52"/>
      <name val="Calibri"/>
      <family val="2"/>
    </font>
    <font>
      <b/>
      <sz val="12"/>
      <color indexed="10"/>
      <name val="Calibri"/>
      <family val="2"/>
    </font>
    <font>
      <i/>
      <vertAlign val="superscript"/>
      <sz val="10"/>
      <name val="Calibri"/>
      <family val="2"/>
    </font>
    <font>
      <sz val="10"/>
      <color indexed="52"/>
      <name val="Calibri"/>
      <family val="2"/>
    </font>
    <font>
      <b/>
      <i/>
      <sz val="10"/>
      <color indexed="61"/>
      <name val="Calibri"/>
      <family val="2"/>
    </font>
    <font>
      <b/>
      <i/>
      <u val="single"/>
      <sz val="10"/>
      <color indexed="12"/>
      <name val="Calibri"/>
      <family val="2"/>
    </font>
    <font>
      <b/>
      <i/>
      <sz val="10"/>
      <color indexed="52"/>
      <name val="Calibri"/>
      <family val="2"/>
    </font>
    <font>
      <b/>
      <i/>
      <u val="single"/>
      <sz val="10"/>
      <color indexed="61"/>
      <name val="Calibri"/>
      <family val="2"/>
    </font>
    <font>
      <sz val="10"/>
      <color indexed="51"/>
      <name val="Calibri"/>
      <family val="2"/>
    </font>
    <font>
      <i/>
      <sz val="10"/>
      <color indexed="51"/>
      <name val="Calibri"/>
      <family val="2"/>
    </font>
    <font>
      <i/>
      <sz val="10"/>
      <color indexed="52"/>
      <name val="Calibri"/>
      <family val="2"/>
    </font>
    <font>
      <sz val="10"/>
      <color indexed="45"/>
      <name val="Calibri"/>
      <family val="2"/>
    </font>
    <font>
      <i/>
      <sz val="10"/>
      <color indexed="45"/>
      <name val="Calibri"/>
      <family val="2"/>
    </font>
    <font>
      <u val="single"/>
      <sz val="10"/>
      <color indexed="12"/>
      <name val="Calibri"/>
      <family val="2"/>
    </font>
    <font>
      <i/>
      <sz val="8"/>
      <color indexed="52"/>
      <name val="Calibri"/>
      <family val="2"/>
    </font>
    <font>
      <sz val="8"/>
      <color indexed="52"/>
      <name val="Calibri"/>
      <family val="2"/>
    </font>
    <font>
      <b/>
      <i/>
      <sz val="8"/>
      <color indexed="52"/>
      <name val="Calibri"/>
      <family val="2"/>
    </font>
    <font>
      <sz val="10"/>
      <color indexed="17"/>
      <name val="Calibri"/>
      <family val="2"/>
    </font>
    <font>
      <vertAlign val="subscript"/>
      <sz val="10"/>
      <color indexed="17"/>
      <name val="Calibri"/>
      <family val="2"/>
    </font>
    <font>
      <b/>
      <i/>
      <u val="single"/>
      <sz val="10"/>
      <name val="Calibri"/>
      <family val="2"/>
    </font>
    <font>
      <b/>
      <i/>
      <vertAlign val="subscript"/>
      <sz val="10"/>
      <name val="Calibri"/>
      <family val="2"/>
    </font>
    <font>
      <sz val="10"/>
      <color indexed="36"/>
      <name val="Calibri"/>
      <family val="2"/>
    </font>
    <font>
      <vertAlign val="subscript"/>
      <sz val="10"/>
      <color indexed="36"/>
      <name val="Calibri"/>
      <family val="2"/>
    </font>
    <font>
      <b/>
      <sz val="10"/>
      <color indexed="8"/>
      <name val="Calibri"/>
      <family val="2"/>
    </font>
    <font>
      <b/>
      <vertAlign val="subscript"/>
      <sz val="10"/>
      <name val="Calibri"/>
      <family val="2"/>
    </font>
    <font>
      <b/>
      <i/>
      <sz val="10"/>
      <color indexed="8"/>
      <name val="Calibri"/>
      <family val="2"/>
    </font>
    <font>
      <b/>
      <i/>
      <vertAlign val="subscript"/>
      <sz val="10"/>
      <color indexed="8"/>
      <name val="Calibri"/>
      <family val="2"/>
    </font>
    <font>
      <b/>
      <vertAlign val="subscript"/>
      <sz val="10"/>
      <color indexed="8"/>
      <name val="Calibri"/>
      <family val="2"/>
    </font>
    <font>
      <sz val="10"/>
      <color indexed="8"/>
      <name val="Calibri"/>
      <family val="2"/>
    </font>
    <font>
      <sz val="11"/>
      <color indexed="8"/>
      <name val="Courier"/>
      <family val="2"/>
    </font>
    <font>
      <sz val="11"/>
      <color indexed="9"/>
      <name val="Courier"/>
      <family val="2"/>
    </font>
    <font>
      <sz val="11"/>
      <color indexed="17"/>
      <name val="Courier"/>
      <family val="2"/>
    </font>
    <font>
      <b/>
      <sz val="11"/>
      <color indexed="52"/>
      <name val="Courier"/>
      <family val="2"/>
    </font>
    <font>
      <b/>
      <sz val="11"/>
      <color indexed="9"/>
      <name val="Courier"/>
      <family val="2"/>
    </font>
    <font>
      <sz val="11"/>
      <color indexed="52"/>
      <name val="Courier"/>
      <family val="2"/>
    </font>
    <font>
      <b/>
      <sz val="15"/>
      <color indexed="56"/>
      <name val="Courier"/>
      <family val="2"/>
    </font>
    <font>
      <b/>
      <sz val="11"/>
      <color indexed="56"/>
      <name val="Courier"/>
      <family val="2"/>
    </font>
    <font>
      <sz val="11"/>
      <color indexed="62"/>
      <name val="Courier"/>
      <family val="2"/>
    </font>
    <font>
      <sz val="11"/>
      <color indexed="20"/>
      <name val="Courier"/>
      <family val="2"/>
    </font>
    <font>
      <sz val="11"/>
      <color indexed="60"/>
      <name val="Courier"/>
      <family val="2"/>
    </font>
    <font>
      <b/>
      <sz val="11"/>
      <color indexed="63"/>
      <name val="Courier"/>
      <family val="2"/>
    </font>
    <font>
      <sz val="11"/>
      <color indexed="10"/>
      <name val="Courier"/>
      <family val="2"/>
    </font>
    <font>
      <i/>
      <sz val="11"/>
      <color indexed="23"/>
      <name val="Courier"/>
      <family val="2"/>
    </font>
    <font>
      <b/>
      <sz val="18"/>
      <color indexed="56"/>
      <name val="Cambria"/>
      <family val="2"/>
    </font>
    <font>
      <b/>
      <sz val="13"/>
      <color indexed="56"/>
      <name val="Courier"/>
      <family val="2"/>
    </font>
    <font>
      <b/>
      <sz val="11"/>
      <color indexed="8"/>
      <name val="Courier"/>
      <family val="2"/>
    </font>
    <font>
      <b/>
      <sz val="10"/>
      <color indexed="60"/>
      <name val="Calibri"/>
      <family val="2"/>
    </font>
    <font>
      <sz val="10"/>
      <color indexed="30"/>
      <name val="Calibri"/>
      <family val="2"/>
    </font>
    <font>
      <sz val="10"/>
      <color indexed="60"/>
      <name val="Calibri"/>
      <family val="2"/>
    </font>
    <font>
      <sz val="10"/>
      <color indexed="20"/>
      <name val="Calibri"/>
      <family val="2"/>
    </font>
    <font>
      <sz val="8"/>
      <color indexed="12"/>
      <name val="Calibri"/>
      <family val="2"/>
    </font>
    <font>
      <sz val="10"/>
      <color indexed="61"/>
      <name val="Calibri"/>
      <family val="2"/>
    </font>
    <font>
      <b/>
      <sz val="10"/>
      <color indexed="14"/>
      <name val="Calibri"/>
      <family val="2"/>
    </font>
    <font>
      <sz val="10"/>
      <color indexed="57"/>
      <name val="Calibri"/>
      <family val="2"/>
    </font>
    <font>
      <b/>
      <sz val="10"/>
      <color indexed="57"/>
      <name val="Calibri"/>
      <family val="2"/>
    </font>
    <font>
      <b/>
      <u val="single"/>
      <sz val="10"/>
      <color indexed="52"/>
      <name val="Calibri"/>
      <family val="2"/>
    </font>
    <font>
      <b/>
      <u val="single"/>
      <sz val="10"/>
      <color indexed="61"/>
      <name val="Calibri"/>
      <family val="2"/>
    </font>
    <font>
      <b/>
      <sz val="10"/>
      <color indexed="51"/>
      <name val="Calibri"/>
      <family val="2"/>
    </font>
    <font>
      <sz val="8"/>
      <color indexed="30"/>
      <name val="Calibri"/>
      <family val="2"/>
    </font>
    <font>
      <b/>
      <sz val="10"/>
      <color indexed="44"/>
      <name val="Calibri"/>
      <family val="2"/>
    </font>
    <font>
      <b/>
      <i/>
      <sz val="10"/>
      <color indexed="30"/>
      <name val="Calibri"/>
      <family val="2"/>
    </font>
    <font>
      <sz val="9"/>
      <color indexed="52"/>
      <name val="Calibri"/>
      <family val="2"/>
    </font>
    <font>
      <b/>
      <u val="single"/>
      <sz val="12"/>
      <color indexed="36"/>
      <name val="Calibri"/>
      <family val="2"/>
    </font>
    <font>
      <sz val="8"/>
      <name val="Calibri"/>
      <family val="2"/>
    </font>
    <font>
      <b/>
      <u val="single"/>
      <sz val="10"/>
      <name val="Calibri"/>
      <family val="2"/>
    </font>
    <font>
      <b/>
      <sz val="8"/>
      <name val="Calibri"/>
      <family val="2"/>
    </font>
    <font>
      <b/>
      <sz val="10"/>
      <color indexed="10"/>
      <name val="Calibri"/>
      <family val="2"/>
    </font>
    <font>
      <sz val="10"/>
      <color indexed="10"/>
      <name val="Calibri"/>
      <family val="2"/>
    </font>
    <font>
      <b/>
      <sz val="10"/>
      <color indexed="17"/>
      <name val="Calibri"/>
      <family val="2"/>
    </font>
    <font>
      <sz val="9"/>
      <color indexed="63"/>
      <name val="Calibri"/>
      <family val="2"/>
    </font>
    <font>
      <b/>
      <sz val="14"/>
      <color indexed="60"/>
      <name val="Calibri"/>
      <family val="2"/>
    </font>
    <font>
      <b/>
      <sz val="14"/>
      <color indexed="8"/>
      <name val="Calibri"/>
      <family val="2"/>
    </font>
    <font>
      <b/>
      <vertAlign val="superscript"/>
      <sz val="14"/>
      <color indexed="60"/>
      <name val="Calibri"/>
      <family val="2"/>
    </font>
    <font>
      <b/>
      <sz val="16"/>
      <color indexed="60"/>
      <name val="Calibri"/>
      <family val="2"/>
    </font>
    <font>
      <b/>
      <sz val="13"/>
      <color indexed="8"/>
      <name val="Calibri"/>
      <family val="2"/>
    </font>
    <font>
      <b/>
      <sz val="14"/>
      <color indexed="30"/>
      <name val="Calibri"/>
      <family val="2"/>
    </font>
    <font>
      <b/>
      <vertAlign val="superscript"/>
      <sz val="14"/>
      <color indexed="30"/>
      <name val="Calibri"/>
      <family val="2"/>
    </font>
    <font>
      <sz val="9"/>
      <color indexed="10"/>
      <name val="Calibri"/>
      <family val="2"/>
    </font>
    <font>
      <sz val="9"/>
      <color indexed="17"/>
      <name val="Calibri"/>
      <family val="2"/>
    </font>
    <font>
      <sz val="9"/>
      <color indexed="60"/>
      <name val="Calibri"/>
      <family val="2"/>
    </font>
    <font>
      <b/>
      <sz val="12"/>
      <color indexed="8"/>
      <name val="Calibri"/>
      <family val="2"/>
    </font>
    <font>
      <sz val="11"/>
      <color theme="1"/>
      <name val="Courier"/>
      <family val="2"/>
    </font>
    <font>
      <sz val="11"/>
      <color theme="0"/>
      <name val="Courier"/>
      <family val="2"/>
    </font>
    <font>
      <sz val="11"/>
      <color rgb="FF006100"/>
      <name val="Courier"/>
      <family val="2"/>
    </font>
    <font>
      <b/>
      <sz val="11"/>
      <color rgb="FFFA7D00"/>
      <name val="Courier"/>
      <family val="2"/>
    </font>
    <font>
      <b/>
      <sz val="11"/>
      <color theme="0"/>
      <name val="Courier"/>
      <family val="2"/>
    </font>
    <font>
      <sz val="11"/>
      <color rgb="FFFA7D00"/>
      <name val="Courier"/>
      <family val="2"/>
    </font>
    <font>
      <b/>
      <sz val="15"/>
      <color theme="3"/>
      <name val="Courier"/>
      <family val="2"/>
    </font>
    <font>
      <b/>
      <sz val="11"/>
      <color theme="3"/>
      <name val="Courier"/>
      <family val="2"/>
    </font>
    <font>
      <sz val="11"/>
      <color rgb="FF3F3F76"/>
      <name val="Courier"/>
      <family val="2"/>
    </font>
    <font>
      <sz val="11"/>
      <color rgb="FF9C0006"/>
      <name val="Courier"/>
      <family val="2"/>
    </font>
    <font>
      <sz val="11"/>
      <color rgb="FF9C6500"/>
      <name val="Courier"/>
      <family val="2"/>
    </font>
    <font>
      <b/>
      <sz val="11"/>
      <color rgb="FF3F3F3F"/>
      <name val="Courier"/>
      <family val="2"/>
    </font>
    <font>
      <sz val="11"/>
      <color rgb="FFFF0000"/>
      <name val="Courier"/>
      <family val="2"/>
    </font>
    <font>
      <i/>
      <sz val="11"/>
      <color rgb="FF7F7F7F"/>
      <name val="Courier"/>
      <family val="2"/>
    </font>
    <font>
      <b/>
      <sz val="18"/>
      <color theme="3"/>
      <name val="Cambria"/>
      <family val="2"/>
    </font>
    <font>
      <b/>
      <sz val="13"/>
      <color theme="3"/>
      <name val="Courier"/>
      <family val="2"/>
    </font>
    <font>
      <b/>
      <sz val="11"/>
      <color theme="1"/>
      <name val="Courier"/>
      <family val="2"/>
    </font>
    <font>
      <b/>
      <sz val="10"/>
      <color rgb="FF0070C0"/>
      <name val="Calibri"/>
      <family val="2"/>
    </font>
    <font>
      <b/>
      <sz val="10"/>
      <color rgb="FF996600"/>
      <name val="Calibri"/>
      <family val="2"/>
    </font>
    <font>
      <sz val="10"/>
      <color rgb="FF0070C0"/>
      <name val="Calibri"/>
      <family val="2"/>
    </font>
    <font>
      <sz val="10"/>
      <color rgb="FF996600"/>
      <name val="Calibri"/>
      <family val="2"/>
    </font>
    <font>
      <sz val="10"/>
      <color rgb="FFFFC000"/>
      <name val="Calibri"/>
      <family val="2"/>
    </font>
    <font>
      <sz val="10"/>
      <color theme="9" tint="-0.4999699890613556"/>
      <name val="Calibri"/>
      <family val="2"/>
    </font>
    <font>
      <sz val="8"/>
      <color rgb="FF0070C0"/>
      <name val="Calibri"/>
      <family val="2"/>
    </font>
    <font>
      <b/>
      <sz val="10"/>
      <color theme="3" tint="0.5999900102615356"/>
      <name val="Calibri"/>
      <family val="2"/>
    </font>
    <font>
      <b/>
      <i/>
      <sz val="10"/>
      <color rgb="FF0070C0"/>
      <name val="Calibri"/>
      <family val="2"/>
    </font>
    <font>
      <sz val="9"/>
      <color rgb="FFFF9900"/>
      <name val="Calibri"/>
      <family val="2"/>
    </font>
    <font>
      <i/>
      <sz val="8"/>
      <color rgb="FFFF9900"/>
      <name val="Calibri"/>
      <family val="2"/>
    </font>
    <font>
      <sz val="8"/>
      <color rgb="FFFF9900"/>
      <name val="Calibri"/>
      <family val="2"/>
    </font>
    <font>
      <b/>
      <u val="single"/>
      <sz val="12"/>
      <color rgb="FF7030A0"/>
      <name val="Calibri"/>
      <family val="2"/>
    </font>
    <font>
      <sz val="10"/>
      <color rgb="FF009900"/>
      <name val="Calibri"/>
      <family val="2"/>
    </font>
    <font>
      <sz val="10"/>
      <color rgb="FF7030A0"/>
      <name val="Calibri"/>
      <family val="2"/>
    </font>
    <font>
      <b/>
      <sz val="10"/>
      <color theme="1"/>
      <name val="Calibri"/>
      <family val="2"/>
    </font>
    <font>
      <b/>
      <sz val="10"/>
      <color rgb="FFFF0000"/>
      <name val="Calibri"/>
      <family val="2"/>
    </font>
    <font>
      <sz val="10"/>
      <color rgb="FFFF0000"/>
      <name val="Calibri"/>
      <family val="2"/>
    </font>
    <font>
      <b/>
      <sz val="10"/>
      <color rgb="FF0099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FFFF"/>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52"/>
        <bgColor indexed="64"/>
      </patternFill>
    </fill>
    <fill>
      <patternFill patternType="solid">
        <fgColor rgb="FFCC99FF"/>
        <bgColor indexed="64"/>
      </patternFill>
    </fill>
    <fill>
      <patternFill patternType="solid">
        <fgColor indexed="45"/>
        <bgColor indexed="64"/>
      </patternFill>
    </fill>
    <fill>
      <patternFill patternType="solid">
        <fgColor indexed="50"/>
        <bgColor indexed="64"/>
      </patternFill>
    </fill>
    <fill>
      <patternFill patternType="solid">
        <fgColor rgb="FFFFFF66"/>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medium"/>
    </border>
    <border>
      <left style="medium"/>
      <right style="medium"/>
      <top style="medium"/>
      <bottom style="medium"/>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color indexed="63"/>
      </right>
      <top style="medium"/>
      <bottom>
        <color indexed="63"/>
      </bottom>
    </border>
    <border>
      <left style="medium"/>
      <right style="thin"/>
      <top style="thin"/>
      <bottom style="thin"/>
    </border>
    <border>
      <left style="medium"/>
      <right>
        <color indexed="63"/>
      </right>
      <top>
        <color indexed="63"/>
      </top>
      <bottom style="mediu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medium"/>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medium"/>
      <right style="thin"/>
      <top style="medium"/>
      <bottom style="medium"/>
    </border>
    <border>
      <left style="medium"/>
      <right style="thin"/>
      <top style="medium"/>
      <bottom style="thin"/>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6" fillId="20" borderId="0" applyNumberFormat="0" applyBorder="0" applyAlignment="0" applyProtection="0"/>
    <xf numFmtId="0" fontId="127" fillId="21" borderId="1" applyNumberFormat="0" applyAlignment="0" applyProtection="0"/>
    <xf numFmtId="0" fontId="128" fillId="22" borderId="2" applyNumberFormat="0" applyAlignment="0" applyProtection="0"/>
    <xf numFmtId="0" fontId="129" fillId="0" borderId="3" applyNumberFormat="0" applyFill="0" applyAlignment="0" applyProtection="0"/>
    <xf numFmtId="0" fontId="130" fillId="0" borderId="4" applyNumberFormat="0" applyFill="0" applyAlignment="0" applyProtection="0"/>
    <xf numFmtId="0" fontId="131" fillId="0" borderId="0" applyNumberFormat="0" applyFill="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5" fillId="26" borderId="0" applyNumberFormat="0" applyBorder="0" applyAlignment="0" applyProtection="0"/>
    <xf numFmtId="0" fontId="125" fillId="27" borderId="0" applyNumberFormat="0" applyBorder="0" applyAlignment="0" applyProtection="0"/>
    <xf numFmtId="0" fontId="125" fillId="28" borderId="0" applyNumberFormat="0" applyBorder="0" applyAlignment="0" applyProtection="0"/>
    <xf numFmtId="0" fontId="13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4"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1" fillId="0" borderId="0" applyFont="0" applyFill="0" applyBorder="0" applyAlignment="0" applyProtection="0"/>
    <xf numFmtId="0" fontId="135" fillId="21" borderId="6" applyNumberFormat="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9" fillId="0" borderId="7" applyNumberFormat="0" applyFill="0" applyAlignment="0" applyProtection="0"/>
    <xf numFmtId="0" fontId="131" fillId="0" borderId="8" applyNumberFormat="0" applyFill="0" applyAlignment="0" applyProtection="0"/>
    <xf numFmtId="0" fontId="140" fillId="0" borderId="9" applyNumberFormat="0" applyFill="0" applyAlignment="0" applyProtection="0"/>
  </cellStyleXfs>
  <cellXfs count="614">
    <xf numFmtId="0" fontId="0" fillId="0" borderId="0" xfId="0"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Border="1" applyAlignment="1">
      <alignment/>
    </xf>
    <xf numFmtId="2" fontId="4" fillId="0" borderId="0" xfId="0" applyNumberFormat="1" applyFont="1" applyBorder="1" applyAlignment="1">
      <alignment/>
    </xf>
    <xf numFmtId="0" fontId="12" fillId="0" borderId="0" xfId="0" applyFont="1" applyAlignment="1">
      <alignment/>
    </xf>
    <xf numFmtId="0" fontId="4" fillId="0" borderId="0" xfId="0" applyFont="1" applyAlignment="1">
      <alignment vertical="center"/>
    </xf>
    <xf numFmtId="0" fontId="4" fillId="0" borderId="0" xfId="0" applyFont="1" applyAlignment="1">
      <alignment horizontal="center"/>
    </xf>
    <xf numFmtId="0" fontId="4" fillId="0" borderId="10" xfId="0" applyFont="1" applyBorder="1" applyAlignment="1">
      <alignment/>
    </xf>
    <xf numFmtId="0" fontId="4" fillId="0" borderId="0" xfId="0" applyFont="1" applyBorder="1" applyAlignment="1">
      <alignment horizontal="center"/>
    </xf>
    <xf numFmtId="0" fontId="141" fillId="0" borderId="0" xfId="0" applyFont="1" applyAlignment="1">
      <alignment horizontal="center"/>
    </xf>
    <xf numFmtId="0" fontId="141" fillId="0" borderId="0" xfId="0" applyFont="1" applyBorder="1" applyAlignment="1">
      <alignment horizontal="center"/>
    </xf>
    <xf numFmtId="0" fontId="11" fillId="0" borderId="0" xfId="0" applyFont="1" applyAlignment="1">
      <alignment/>
    </xf>
    <xf numFmtId="0" fontId="142" fillId="0" borderId="0" xfId="0" applyFont="1" applyBorder="1" applyAlignment="1">
      <alignment horizontal="center"/>
    </xf>
    <xf numFmtId="0" fontId="142" fillId="0" borderId="0" xfId="0" applyFont="1" applyAlignment="1">
      <alignment horizontal="center"/>
    </xf>
    <xf numFmtId="0" fontId="143" fillId="0" borderId="0" xfId="0" applyFont="1" applyAlignment="1">
      <alignment/>
    </xf>
    <xf numFmtId="0" fontId="143" fillId="33" borderId="11" xfId="0" applyFont="1" applyFill="1" applyBorder="1" applyAlignment="1">
      <alignment horizontal="center"/>
    </xf>
    <xf numFmtId="0" fontId="144" fillId="33" borderId="11" xfId="0" applyFont="1" applyFill="1" applyBorder="1" applyAlignment="1">
      <alignment horizontal="center"/>
    </xf>
    <xf numFmtId="0" fontId="144" fillId="0" borderId="0" xfId="0" applyFont="1" applyAlignment="1">
      <alignment horizontal="left"/>
    </xf>
    <xf numFmtId="0" fontId="4" fillId="0" borderId="12" xfId="0" applyFont="1" applyBorder="1" applyAlignment="1">
      <alignment horizontal="righ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41" fillId="0" borderId="11" xfId="0" applyFont="1" applyBorder="1" applyAlignment="1">
      <alignment horizontal="center" vertical="center" wrapText="1"/>
    </xf>
    <xf numFmtId="0" fontId="142" fillId="0" borderId="11" xfId="0" applyFont="1" applyBorder="1" applyAlignment="1">
      <alignment horizontal="center" wrapText="1"/>
    </xf>
    <xf numFmtId="167" fontId="12" fillId="34" borderId="15" xfId="49" applyNumberFormat="1" applyFont="1" applyFill="1" applyBorder="1" applyAlignment="1">
      <alignment horizontal="center"/>
    </xf>
    <xf numFmtId="0" fontId="4" fillId="0" borderId="0" xfId="0" applyFont="1" applyAlignment="1">
      <alignment horizontal="distributed" vertical="center"/>
    </xf>
    <xf numFmtId="0" fontId="14" fillId="35" borderId="13" xfId="0" applyFont="1" applyFill="1" applyBorder="1" applyAlignment="1">
      <alignment/>
    </xf>
    <xf numFmtId="0" fontId="15" fillId="35" borderId="16" xfId="0" applyFont="1" applyFill="1" applyBorder="1" applyAlignment="1">
      <alignment/>
    </xf>
    <xf numFmtId="0" fontId="4" fillId="35" borderId="17" xfId="0" applyFont="1" applyFill="1" applyBorder="1" applyAlignment="1">
      <alignment/>
    </xf>
    <xf numFmtId="0" fontId="4" fillId="0" borderId="18" xfId="0" applyFont="1" applyBorder="1" applyAlignment="1">
      <alignment/>
    </xf>
    <xf numFmtId="0" fontId="4" fillId="0" borderId="19" xfId="0" applyFont="1" applyBorder="1" applyAlignment="1">
      <alignment/>
    </xf>
    <xf numFmtId="0" fontId="12" fillId="0" borderId="20" xfId="0" applyFont="1" applyFill="1" applyBorder="1" applyAlignment="1">
      <alignment/>
    </xf>
    <xf numFmtId="0" fontId="4" fillId="0" borderId="0" xfId="0" applyFont="1" applyFill="1" applyBorder="1" applyAlignment="1">
      <alignment/>
    </xf>
    <xf numFmtId="166" fontId="4" fillId="0" borderId="0" xfId="49" applyNumberFormat="1" applyFont="1" applyBorder="1" applyAlignment="1">
      <alignment/>
    </xf>
    <xf numFmtId="0" fontId="4" fillId="0" borderId="21" xfId="0" applyFont="1" applyBorder="1" applyAlignment="1">
      <alignment/>
    </xf>
    <xf numFmtId="0" fontId="12" fillId="36" borderId="20" xfId="0" applyFont="1" applyFill="1" applyBorder="1" applyAlignment="1">
      <alignment/>
    </xf>
    <xf numFmtId="0" fontId="4" fillId="36" borderId="0" xfId="0" applyFont="1" applyFill="1" applyBorder="1" applyAlignment="1">
      <alignment/>
    </xf>
    <xf numFmtId="166" fontId="4" fillId="0" borderId="0" xfId="0" applyNumberFormat="1" applyFont="1" applyBorder="1" applyAlignment="1">
      <alignment/>
    </xf>
    <xf numFmtId="0" fontId="4" fillId="0" borderId="20" xfId="0" applyFont="1" applyBorder="1" applyAlignment="1">
      <alignment/>
    </xf>
    <xf numFmtId="0" fontId="12" fillId="0" borderId="20" xfId="0" applyFont="1" applyBorder="1" applyAlignment="1">
      <alignment horizontal="right"/>
    </xf>
    <xf numFmtId="0" fontId="16" fillId="0" borderId="0" xfId="0" applyFont="1" applyBorder="1" applyAlignment="1">
      <alignment/>
    </xf>
    <xf numFmtId="0" fontId="12" fillId="0" borderId="0" xfId="0" applyFont="1" applyBorder="1" applyAlignment="1">
      <alignment horizontal="right"/>
    </xf>
    <xf numFmtId="0" fontId="4" fillId="0" borderId="21" xfId="0" applyFont="1" applyBorder="1" applyAlignment="1">
      <alignment horizontal="center"/>
    </xf>
    <xf numFmtId="0" fontId="4" fillId="0" borderId="20" xfId="0" applyFont="1" applyBorder="1" applyAlignment="1">
      <alignment horizontal="right"/>
    </xf>
    <xf numFmtId="166" fontId="17" fillId="37" borderId="11" xfId="0" applyNumberFormat="1" applyFont="1" applyFill="1" applyBorder="1" applyAlignment="1">
      <alignment/>
    </xf>
    <xf numFmtId="166" fontId="17" fillId="0" borderId="11" xfId="0" applyNumberFormat="1" applyFont="1" applyBorder="1" applyAlignment="1">
      <alignment/>
    </xf>
    <xf numFmtId="164" fontId="4" fillId="0" borderId="0" xfId="57" applyNumberFormat="1" applyFont="1" applyBorder="1" applyAlignment="1">
      <alignment/>
    </xf>
    <xf numFmtId="164" fontId="16" fillId="37" borderId="11" xfId="0" applyNumberFormat="1" applyFont="1" applyFill="1" applyBorder="1" applyAlignment="1">
      <alignment/>
    </xf>
    <xf numFmtId="164" fontId="16" fillId="38" borderId="11" xfId="57" applyNumberFormat="1" applyFont="1" applyFill="1" applyBorder="1" applyAlignment="1">
      <alignment/>
    </xf>
    <xf numFmtId="164" fontId="16" fillId="0" borderId="11" xfId="57" applyNumberFormat="1" applyFont="1" applyBorder="1" applyAlignment="1">
      <alignment/>
    </xf>
    <xf numFmtId="0" fontId="4" fillId="0" borderId="0" xfId="0" applyFont="1" applyBorder="1" applyAlignment="1">
      <alignment horizontal="right"/>
    </xf>
    <xf numFmtId="0" fontId="4" fillId="37" borderId="11" xfId="0" applyFont="1" applyFill="1" applyBorder="1" applyAlignment="1">
      <alignment horizontal="center"/>
    </xf>
    <xf numFmtId="0" fontId="4" fillId="38" borderId="11" xfId="0" applyFont="1" applyFill="1" applyBorder="1" applyAlignment="1">
      <alignment horizontal="center"/>
    </xf>
    <xf numFmtId="166" fontId="92" fillId="37" borderId="11" xfId="0" applyNumberFormat="1" applyFont="1" applyFill="1" applyBorder="1" applyAlignment="1">
      <alignment/>
    </xf>
    <xf numFmtId="166" fontId="92" fillId="0" borderId="11" xfId="0" applyNumberFormat="1" applyFont="1" applyBorder="1" applyAlignment="1">
      <alignment/>
    </xf>
    <xf numFmtId="164" fontId="16" fillId="37" borderId="11" xfId="57" applyNumberFormat="1" applyFont="1" applyFill="1" applyBorder="1" applyAlignment="1">
      <alignment/>
    </xf>
    <xf numFmtId="166" fontId="4" fillId="0" borderId="11" xfId="49" applyNumberFormat="1" applyFont="1" applyFill="1" applyBorder="1" applyAlignment="1">
      <alignment/>
    </xf>
    <xf numFmtId="166" fontId="12" fillId="0" borderId="11" xfId="49" applyNumberFormat="1" applyFont="1" applyBorder="1" applyAlignment="1">
      <alignment/>
    </xf>
    <xf numFmtId="164" fontId="16" fillId="0" borderId="22" xfId="57" applyNumberFormat="1" applyFont="1" applyBorder="1" applyAlignment="1">
      <alignment/>
    </xf>
    <xf numFmtId="164" fontId="18" fillId="0" borderId="22" xfId="0" applyNumberFormat="1" applyFont="1" applyBorder="1" applyAlignment="1">
      <alignment/>
    </xf>
    <xf numFmtId="0" fontId="4" fillId="0" borderId="22" xfId="0" applyFont="1" applyFill="1" applyBorder="1" applyAlignment="1">
      <alignment horizontal="center"/>
    </xf>
    <xf numFmtId="43" fontId="4" fillId="0" borderId="0" xfId="49" applyFont="1" applyBorder="1" applyAlignment="1">
      <alignment/>
    </xf>
    <xf numFmtId="0" fontId="17" fillId="39" borderId="23" xfId="0" applyFont="1" applyFill="1" applyBorder="1" applyAlignment="1">
      <alignment/>
    </xf>
    <xf numFmtId="0" fontId="18" fillId="39" borderId="11" xfId="0" applyFont="1" applyFill="1" applyBorder="1" applyAlignment="1">
      <alignment horizontal="right"/>
    </xf>
    <xf numFmtId="43" fontId="4" fillId="39" borderId="10" xfId="49" applyFont="1" applyFill="1" applyBorder="1" applyAlignment="1">
      <alignment/>
    </xf>
    <xf numFmtId="0" fontId="17" fillId="0" borderId="10" xfId="0" applyFont="1" applyBorder="1" applyAlignment="1">
      <alignment/>
    </xf>
    <xf numFmtId="0" fontId="4" fillId="0" borderId="12" xfId="0" applyFont="1" applyBorder="1" applyAlignment="1">
      <alignment/>
    </xf>
    <xf numFmtId="0" fontId="17" fillId="0" borderId="12" xfId="0" applyFont="1" applyBorder="1" applyAlignment="1">
      <alignment horizontal="right"/>
    </xf>
    <xf numFmtId="166" fontId="19" fillId="0" borderId="24" xfId="0" applyNumberFormat="1" applyFont="1" applyBorder="1" applyAlignment="1">
      <alignment horizontal="center"/>
    </xf>
    <xf numFmtId="0" fontId="17" fillId="0" borderId="20" xfId="0" applyFont="1" applyBorder="1" applyAlignment="1">
      <alignment/>
    </xf>
    <xf numFmtId="0" fontId="17" fillId="39" borderId="25" xfId="0" applyFont="1" applyFill="1" applyBorder="1" applyAlignment="1">
      <alignment/>
    </xf>
    <xf numFmtId="43" fontId="4" fillId="39" borderId="11" xfId="49" applyFont="1" applyFill="1" applyBorder="1" applyAlignment="1">
      <alignment/>
    </xf>
    <xf numFmtId="0" fontId="19" fillId="0" borderId="20" xfId="0" applyFont="1" applyBorder="1" applyAlignment="1">
      <alignment horizontal="right"/>
    </xf>
    <xf numFmtId="0" fontId="17" fillId="0" borderId="0" xfId="0" applyFont="1" applyBorder="1" applyAlignment="1">
      <alignment horizontal="center"/>
    </xf>
    <xf numFmtId="0" fontId="17" fillId="0" borderId="20" xfId="0" applyFont="1" applyBorder="1" applyAlignment="1">
      <alignment horizontal="right"/>
    </xf>
    <xf numFmtId="166" fontId="17" fillId="37" borderId="11" xfId="49" applyNumberFormat="1" applyFont="1" applyFill="1" applyBorder="1" applyAlignment="1">
      <alignment/>
    </xf>
    <xf numFmtId="166" fontId="17" fillId="0" borderId="10" xfId="49" applyNumberFormat="1" applyFont="1" applyBorder="1" applyAlignment="1">
      <alignment/>
    </xf>
    <xf numFmtId="166" fontId="17" fillId="0" borderId="11" xfId="49" applyNumberFormat="1" applyFont="1" applyBorder="1" applyAlignment="1">
      <alignment/>
    </xf>
    <xf numFmtId="166" fontId="17" fillId="0" borderId="11" xfId="49" applyNumberFormat="1" applyFont="1" applyFill="1" applyBorder="1" applyAlignment="1">
      <alignment/>
    </xf>
    <xf numFmtId="166" fontId="19" fillId="0" borderId="11" xfId="49" applyNumberFormat="1" applyFont="1" applyBorder="1" applyAlignment="1">
      <alignment/>
    </xf>
    <xf numFmtId="0" fontId="17" fillId="0" borderId="0" xfId="0" applyFont="1" applyBorder="1" applyAlignment="1">
      <alignment horizontal="right"/>
    </xf>
    <xf numFmtId="166" fontId="17" fillId="0" borderId="0" xfId="49" applyNumberFormat="1" applyFont="1" applyBorder="1" applyAlignment="1">
      <alignment/>
    </xf>
    <xf numFmtId="166" fontId="93" fillId="0" borderId="0" xfId="49" applyNumberFormat="1" applyFont="1" applyBorder="1" applyAlignment="1">
      <alignment/>
    </xf>
    <xf numFmtId="0" fontId="94" fillId="0" borderId="20" xfId="0" applyFont="1" applyBorder="1" applyAlignment="1">
      <alignment/>
    </xf>
    <xf numFmtId="0" fontId="20" fillId="0" borderId="0" xfId="0" applyFont="1" applyBorder="1" applyAlignment="1">
      <alignment vertical="distributed"/>
    </xf>
    <xf numFmtId="0" fontId="94" fillId="0" borderId="0" xfId="0" applyFont="1" applyBorder="1" applyAlignment="1">
      <alignment/>
    </xf>
    <xf numFmtId="43" fontId="4" fillId="0" borderId="26" xfId="49" applyFont="1" applyBorder="1" applyAlignment="1">
      <alignment/>
    </xf>
    <xf numFmtId="43" fontId="94" fillId="0" borderId="0" xfId="0" applyNumberFormat="1" applyFont="1" applyBorder="1" applyAlignment="1">
      <alignment/>
    </xf>
    <xf numFmtId="0" fontId="19" fillId="0" borderId="0" xfId="0" applyFont="1" applyBorder="1" applyAlignment="1">
      <alignment horizontal="right"/>
    </xf>
    <xf numFmtId="43" fontId="19" fillId="0" borderId="0" xfId="49" applyFont="1" applyBorder="1" applyAlignment="1">
      <alignment/>
    </xf>
    <xf numFmtId="43" fontId="4" fillId="0" borderId="11" xfId="49" applyFont="1" applyBorder="1" applyAlignment="1">
      <alignment/>
    </xf>
    <xf numFmtId="0" fontId="94" fillId="0" borderId="0" xfId="0" applyFont="1" applyAlignment="1">
      <alignment/>
    </xf>
    <xf numFmtId="43" fontId="17" fillId="40" borderId="0" xfId="0" applyNumberFormat="1" applyFont="1" applyFill="1" applyBorder="1" applyAlignment="1">
      <alignment/>
    </xf>
    <xf numFmtId="0" fontId="17" fillId="0" borderId="0" xfId="0" applyFont="1" applyBorder="1" applyAlignment="1">
      <alignment/>
    </xf>
    <xf numFmtId="43" fontId="4" fillId="0" borderId="0" xfId="0" applyNumberFormat="1" applyFont="1" applyBorder="1" applyAlignment="1">
      <alignment/>
    </xf>
    <xf numFmtId="43" fontId="17" fillId="0" borderId="0" xfId="0" applyNumberFormat="1" applyFont="1" applyFill="1" applyBorder="1" applyAlignment="1">
      <alignment/>
    </xf>
    <xf numFmtId="0" fontId="12" fillId="0" borderId="27" xfId="0" applyFont="1" applyBorder="1" applyAlignment="1">
      <alignment horizontal="right"/>
    </xf>
    <xf numFmtId="43" fontId="12" fillId="0" borderId="14" xfId="0" applyNumberFormat="1" applyFont="1" applyBorder="1" applyAlignment="1">
      <alignment/>
    </xf>
    <xf numFmtId="0" fontId="4" fillId="0" borderId="27" xfId="0" applyFont="1" applyBorder="1" applyAlignment="1">
      <alignment/>
    </xf>
    <xf numFmtId="0" fontId="4" fillId="0" borderId="28" xfId="0" applyFont="1" applyBorder="1" applyAlignment="1">
      <alignment/>
    </xf>
    <xf numFmtId="0" fontId="12" fillId="0" borderId="0" xfId="0" applyFont="1" applyAlignment="1">
      <alignment horizontal="right"/>
    </xf>
    <xf numFmtId="0" fontId="16" fillId="0" borderId="0" xfId="0" applyFont="1" applyAlignment="1">
      <alignment/>
    </xf>
    <xf numFmtId="0" fontId="4" fillId="0" borderId="0" xfId="0" applyFont="1" applyAlignment="1">
      <alignment horizontal="right"/>
    </xf>
    <xf numFmtId="164" fontId="4" fillId="0" borderId="0" xfId="57" applyNumberFormat="1" applyFont="1" applyFill="1" applyAlignment="1">
      <alignment/>
    </xf>
    <xf numFmtId="164" fontId="16" fillId="0" borderId="11" xfId="0" applyNumberFormat="1" applyFont="1" applyFill="1" applyBorder="1" applyAlignment="1">
      <alignment/>
    </xf>
    <xf numFmtId="164" fontId="16" fillId="0" borderId="11" xfId="57" applyNumberFormat="1" applyFont="1" applyFill="1" applyBorder="1" applyAlignment="1">
      <alignment/>
    </xf>
    <xf numFmtId="166" fontId="17" fillId="0" borderId="11" xfId="0" applyNumberFormat="1" applyFont="1" applyFill="1" applyBorder="1" applyAlignment="1">
      <alignment/>
    </xf>
    <xf numFmtId="166" fontId="92" fillId="0" borderId="11" xfId="0" applyNumberFormat="1" applyFont="1" applyFill="1" applyBorder="1" applyAlignment="1">
      <alignment/>
    </xf>
    <xf numFmtId="0" fontId="4" fillId="0" borderId="0" xfId="0" applyFont="1" applyFill="1" applyAlignment="1">
      <alignment/>
    </xf>
    <xf numFmtId="164" fontId="16" fillId="0" borderId="22" xfId="57" applyNumberFormat="1" applyFont="1" applyFill="1" applyBorder="1" applyAlignment="1">
      <alignment/>
    </xf>
    <xf numFmtId="164" fontId="18" fillId="0" borderId="11" xfId="0" applyNumberFormat="1" applyFont="1" applyBorder="1" applyAlignment="1">
      <alignment/>
    </xf>
    <xf numFmtId="0" fontId="17" fillId="39" borderId="11" xfId="0" applyFont="1" applyFill="1" applyBorder="1" applyAlignment="1">
      <alignment/>
    </xf>
    <xf numFmtId="0" fontId="17" fillId="0" borderId="13" xfId="0" applyFont="1" applyBorder="1" applyAlignment="1">
      <alignment/>
    </xf>
    <xf numFmtId="0" fontId="17" fillId="0" borderId="29" xfId="0" applyFont="1" applyBorder="1" applyAlignment="1">
      <alignment/>
    </xf>
    <xf numFmtId="0" fontId="4" fillId="0" borderId="16" xfId="0" applyFont="1" applyBorder="1" applyAlignment="1">
      <alignment/>
    </xf>
    <xf numFmtId="0" fontId="17" fillId="0" borderId="16" xfId="0" applyFont="1" applyBorder="1" applyAlignment="1">
      <alignment horizontal="right"/>
    </xf>
    <xf numFmtId="166" fontId="19" fillId="0" borderId="14" xfId="0" applyNumberFormat="1" applyFont="1" applyBorder="1" applyAlignment="1">
      <alignment horizontal="center"/>
    </xf>
    <xf numFmtId="0" fontId="19" fillId="0" borderId="0" xfId="0" applyFont="1" applyAlignment="1">
      <alignment horizontal="right"/>
    </xf>
    <xf numFmtId="0" fontId="17" fillId="0" borderId="0" xfId="0" applyFont="1" applyAlignment="1">
      <alignment horizontal="center"/>
    </xf>
    <xf numFmtId="0" fontId="17" fillId="0" borderId="0" xfId="0" applyFont="1" applyFill="1" applyAlignment="1">
      <alignment horizontal="center"/>
    </xf>
    <xf numFmtId="0" fontId="17" fillId="0" borderId="0" xfId="0" applyFont="1" applyAlignment="1">
      <alignment horizontal="right"/>
    </xf>
    <xf numFmtId="166" fontId="19" fillId="0" borderId="11" xfId="49" applyNumberFormat="1" applyFont="1" applyFill="1" applyBorder="1" applyAlignment="1">
      <alignment/>
    </xf>
    <xf numFmtId="166" fontId="17" fillId="0" borderId="0" xfId="49" applyNumberFormat="1" applyFont="1" applyAlignment="1">
      <alignment/>
    </xf>
    <xf numFmtId="0" fontId="17" fillId="0" borderId="0" xfId="0" applyFont="1" applyAlignment="1">
      <alignment/>
    </xf>
    <xf numFmtId="43" fontId="94" fillId="0" borderId="11" xfId="49" applyFont="1" applyBorder="1" applyAlignment="1">
      <alignment/>
    </xf>
    <xf numFmtId="43" fontId="19" fillId="0" borderId="0" xfId="49" applyFont="1" applyAlignment="1">
      <alignment/>
    </xf>
    <xf numFmtId="43" fontId="17" fillId="41" borderId="0" xfId="0" applyNumberFormat="1" applyFont="1" applyFill="1" applyAlignment="1">
      <alignment/>
    </xf>
    <xf numFmtId="43" fontId="17" fillId="0" borderId="0" xfId="0" applyNumberFormat="1" applyFont="1" applyFill="1" applyAlignment="1">
      <alignment/>
    </xf>
    <xf numFmtId="194" fontId="17" fillId="0" borderId="0" xfId="0" applyNumberFormat="1" applyFont="1" applyFill="1" applyAlignment="1">
      <alignment/>
    </xf>
    <xf numFmtId="43" fontId="17" fillId="0" borderId="0" xfId="0" applyNumberFormat="1" applyFont="1" applyAlignment="1">
      <alignment/>
    </xf>
    <xf numFmtId="165" fontId="4" fillId="0" borderId="0" xfId="0" applyNumberFormat="1" applyFont="1" applyAlignment="1">
      <alignment/>
    </xf>
    <xf numFmtId="0" fontId="4" fillId="39" borderId="25" xfId="0" applyFont="1" applyFill="1" applyBorder="1" applyAlignment="1">
      <alignment/>
    </xf>
    <xf numFmtId="168" fontId="12" fillId="39" borderId="28" xfId="49" applyNumberFormat="1" applyFont="1" applyFill="1" applyBorder="1" applyAlignment="1">
      <alignment/>
    </xf>
    <xf numFmtId="0" fontId="4" fillId="36" borderId="0" xfId="0" applyFont="1" applyFill="1" applyAlignment="1">
      <alignment/>
    </xf>
    <xf numFmtId="0" fontId="12" fillId="0" borderId="0" xfId="0" applyFont="1" applyBorder="1" applyAlignment="1">
      <alignment/>
    </xf>
    <xf numFmtId="0" fontId="4" fillId="0" borderId="0" xfId="0" applyFont="1" applyBorder="1" applyAlignment="1">
      <alignment horizontal="left" vertical="center"/>
    </xf>
    <xf numFmtId="0" fontId="19" fillId="0" borderId="0" xfId="0" applyFont="1" applyAlignment="1">
      <alignment/>
    </xf>
    <xf numFmtId="0" fontId="17" fillId="0" borderId="0" xfId="0" applyFont="1" applyBorder="1" applyAlignment="1">
      <alignment horizontal="left" vertical="center"/>
    </xf>
    <xf numFmtId="0" fontId="12" fillId="0" borderId="22" xfId="0" applyFont="1" applyBorder="1" applyAlignment="1">
      <alignment horizontal="center"/>
    </xf>
    <xf numFmtId="166" fontId="17" fillId="0" borderId="30" xfId="49" applyNumberFormat="1" applyFont="1" applyBorder="1" applyAlignment="1">
      <alignment horizontal="center"/>
    </xf>
    <xf numFmtId="166" fontId="17" fillId="0" borderId="22" xfId="49" applyNumberFormat="1" applyFont="1" applyBorder="1" applyAlignment="1">
      <alignment horizontal="center"/>
    </xf>
    <xf numFmtId="0" fontId="12" fillId="0" borderId="26" xfId="0" applyFont="1" applyBorder="1" applyAlignment="1">
      <alignment horizontal="center"/>
    </xf>
    <xf numFmtId="166" fontId="17" fillId="0" borderId="31" xfId="49" applyNumberFormat="1" applyFont="1" applyBorder="1" applyAlignment="1">
      <alignment horizontal="center" vertical="center"/>
    </xf>
    <xf numFmtId="166" fontId="17" fillId="0" borderId="26" xfId="49" applyNumberFormat="1" applyFont="1" applyBorder="1" applyAlignment="1">
      <alignment horizontal="center" vertical="center"/>
    </xf>
    <xf numFmtId="166" fontId="17" fillId="0" borderId="26" xfId="49" applyNumberFormat="1" applyFont="1" applyBorder="1" applyAlignment="1">
      <alignment/>
    </xf>
    <xf numFmtId="0" fontId="4" fillId="39" borderId="0" xfId="0" applyFont="1" applyFill="1" applyAlignment="1">
      <alignment/>
    </xf>
    <xf numFmtId="0" fontId="4" fillId="39" borderId="0" xfId="0" applyFont="1" applyFill="1" applyAlignment="1">
      <alignment horizontal="right"/>
    </xf>
    <xf numFmtId="43" fontId="4" fillId="39" borderId="0" xfId="49" applyFont="1" applyFill="1" applyAlignment="1">
      <alignment/>
    </xf>
    <xf numFmtId="0" fontId="4" fillId="39" borderId="0" xfId="0" applyFont="1" applyFill="1" applyBorder="1" applyAlignment="1">
      <alignment/>
    </xf>
    <xf numFmtId="0" fontId="17" fillId="0" borderId="11" xfId="0" applyFont="1" applyBorder="1" applyAlignment="1">
      <alignment horizontal="right"/>
    </xf>
    <xf numFmtId="0" fontId="19" fillId="0" borderId="11" xfId="0" applyFont="1" applyBorder="1" applyAlignment="1">
      <alignment horizontal="center"/>
    </xf>
    <xf numFmtId="0" fontId="19" fillId="0" borderId="10" xfId="0" applyFont="1" applyBorder="1" applyAlignment="1">
      <alignment horizontal="center"/>
    </xf>
    <xf numFmtId="0" fontId="17" fillId="0" borderId="11" xfId="0" applyFont="1" applyBorder="1" applyAlignment="1">
      <alignment horizontal="center"/>
    </xf>
    <xf numFmtId="0" fontId="19" fillId="0" borderId="11" xfId="0" applyFont="1" applyBorder="1" applyAlignment="1">
      <alignment horizontal="right" vertical="center"/>
    </xf>
    <xf numFmtId="43" fontId="19" fillId="0" borderId="11" xfId="49" applyFont="1" applyBorder="1" applyAlignment="1">
      <alignment horizontal="center"/>
    </xf>
    <xf numFmtId="0" fontId="17" fillId="0" borderId="11" xfId="0" applyFont="1" applyBorder="1" applyAlignment="1">
      <alignment horizontal="right" vertical="center"/>
    </xf>
    <xf numFmtId="43" fontId="17" fillId="0" borderId="11" xfId="49" applyFont="1" applyBorder="1" applyAlignment="1">
      <alignment/>
    </xf>
    <xf numFmtId="0" fontId="4" fillId="0" borderId="13" xfId="0" applyFont="1" applyBorder="1" applyAlignment="1">
      <alignment/>
    </xf>
    <xf numFmtId="0" fontId="12" fillId="0" borderId="16" xfId="0" applyFont="1" applyBorder="1" applyAlignment="1">
      <alignment/>
    </xf>
    <xf numFmtId="0" fontId="12" fillId="0" borderId="17" xfId="0" applyFont="1" applyBorder="1" applyAlignment="1">
      <alignment horizontal="right"/>
    </xf>
    <xf numFmtId="0" fontId="19" fillId="0" borderId="13" xfId="0" applyFont="1" applyBorder="1" applyAlignment="1">
      <alignment/>
    </xf>
    <xf numFmtId="0" fontId="19" fillId="0" borderId="27" xfId="0" applyFont="1" applyBorder="1" applyAlignment="1">
      <alignment horizontal="right"/>
    </xf>
    <xf numFmtId="0" fontId="19" fillId="0" borderId="28" xfId="0" applyFont="1" applyBorder="1" applyAlignment="1">
      <alignment/>
    </xf>
    <xf numFmtId="0" fontId="19" fillId="0" borderId="0" xfId="0" applyFont="1" applyAlignment="1">
      <alignment horizontal="left"/>
    </xf>
    <xf numFmtId="43" fontId="19" fillId="0" borderId="17" xfId="49" applyNumberFormat="1" applyFont="1" applyBorder="1" applyAlignment="1">
      <alignment/>
    </xf>
    <xf numFmtId="0" fontId="24" fillId="0" borderId="0" xfId="0" applyFont="1" applyAlignment="1">
      <alignment/>
    </xf>
    <xf numFmtId="0" fontId="25" fillId="0" borderId="30" xfId="0" applyFont="1" applyBorder="1" applyAlignment="1">
      <alignment/>
    </xf>
    <xf numFmtId="43" fontId="25" fillId="0" borderId="32" xfId="49" applyFont="1" applyBorder="1" applyAlignment="1">
      <alignment/>
    </xf>
    <xf numFmtId="43" fontId="25" fillId="0" borderId="33" xfId="49" applyFont="1" applyBorder="1" applyAlignment="1">
      <alignment/>
    </xf>
    <xf numFmtId="0" fontId="25" fillId="0" borderId="0" xfId="0" applyFont="1" applyAlignment="1">
      <alignment/>
    </xf>
    <xf numFmtId="0" fontId="25" fillId="0" borderId="34" xfId="0" applyFont="1" applyBorder="1" applyAlignment="1">
      <alignment/>
    </xf>
    <xf numFmtId="43" fontId="25" fillId="0" borderId="0" xfId="49" applyFont="1" applyBorder="1" applyAlignment="1">
      <alignment/>
    </xf>
    <xf numFmtId="43" fontId="25" fillId="0" borderId="35" xfId="49" applyFont="1" applyBorder="1" applyAlignment="1">
      <alignment/>
    </xf>
    <xf numFmtId="0" fontId="25" fillId="0" borderId="34" xfId="0" applyFont="1" applyBorder="1" applyAlignment="1">
      <alignment horizontal="right"/>
    </xf>
    <xf numFmtId="0" fontId="19" fillId="0" borderId="23" xfId="0" applyFont="1" applyBorder="1" applyAlignment="1">
      <alignment/>
    </xf>
    <xf numFmtId="0" fontId="19" fillId="0" borderId="18" xfId="0" applyFont="1" applyBorder="1" applyAlignment="1">
      <alignment/>
    </xf>
    <xf numFmtId="0" fontId="19" fillId="0" borderId="23" xfId="0" applyFont="1" applyBorder="1" applyAlignment="1">
      <alignment horizontal="right"/>
    </xf>
    <xf numFmtId="0" fontId="19" fillId="0" borderId="19" xfId="0" applyFont="1" applyBorder="1" applyAlignment="1">
      <alignment horizontal="center"/>
    </xf>
    <xf numFmtId="0" fontId="25" fillId="0" borderId="34" xfId="0" applyFont="1" applyFill="1" applyBorder="1" applyAlignment="1">
      <alignment horizontal="right"/>
    </xf>
    <xf numFmtId="43" fontId="95" fillId="0" borderId="0" xfId="49" applyFont="1" applyFill="1" applyBorder="1" applyAlignment="1">
      <alignment horizontal="left"/>
    </xf>
    <xf numFmtId="0" fontId="19" fillId="0" borderId="25" xfId="0" applyFont="1" applyBorder="1" applyAlignment="1">
      <alignment/>
    </xf>
    <xf numFmtId="0" fontId="19" fillId="0" borderId="27" xfId="0" applyFont="1" applyBorder="1" applyAlignment="1">
      <alignment/>
    </xf>
    <xf numFmtId="0" fontId="19" fillId="0" borderId="25" xfId="0" applyFont="1" applyBorder="1" applyAlignment="1">
      <alignment horizontal="right"/>
    </xf>
    <xf numFmtId="0" fontId="19" fillId="0" borderId="28" xfId="0" applyFont="1" applyBorder="1" applyAlignment="1">
      <alignment horizontal="center"/>
    </xf>
    <xf numFmtId="43" fontId="25" fillId="0" borderId="35" xfId="49" applyFont="1" applyFill="1" applyBorder="1" applyAlignment="1">
      <alignment horizontal="left"/>
    </xf>
    <xf numFmtId="164" fontId="95" fillId="0" borderId="0" xfId="57" applyNumberFormat="1" applyFont="1" applyAlignment="1">
      <alignment horizontal="center"/>
    </xf>
    <xf numFmtId="43" fontId="17" fillId="0" borderId="0" xfId="49" applyFont="1" applyAlignment="1">
      <alignment/>
    </xf>
    <xf numFmtId="0" fontId="25" fillId="39" borderId="34" xfId="0" applyFont="1" applyFill="1" applyBorder="1" applyAlignment="1">
      <alignment horizontal="right"/>
    </xf>
    <xf numFmtId="43" fontId="25" fillId="39" borderId="0" xfId="49" applyFont="1" applyFill="1" applyBorder="1" applyAlignment="1">
      <alignment/>
    </xf>
    <xf numFmtId="0" fontId="95" fillId="39" borderId="35" xfId="0" applyFont="1" applyFill="1" applyBorder="1" applyAlignment="1">
      <alignment horizontal="left"/>
    </xf>
    <xf numFmtId="0" fontId="25" fillId="39" borderId="0" xfId="0" applyFont="1" applyFill="1" applyBorder="1" applyAlignment="1">
      <alignment/>
    </xf>
    <xf numFmtId="0" fontId="25" fillId="0" borderId="31" xfId="0" applyFont="1" applyBorder="1" applyAlignment="1">
      <alignment horizontal="right"/>
    </xf>
    <xf numFmtId="177" fontId="12" fillId="0" borderId="36" xfId="0" applyNumberFormat="1" applyFont="1" applyBorder="1" applyAlignment="1">
      <alignment horizontal="center"/>
    </xf>
    <xf numFmtId="0" fontId="25" fillId="0" borderId="37" xfId="0" applyFont="1" applyBorder="1" applyAlignment="1">
      <alignment/>
    </xf>
    <xf numFmtId="43" fontId="17" fillId="41" borderId="0" xfId="49" applyFont="1" applyFill="1" applyAlignment="1">
      <alignment/>
    </xf>
    <xf numFmtId="0" fontId="19" fillId="0" borderId="0" xfId="54" applyFont="1">
      <alignment/>
      <protection/>
    </xf>
    <xf numFmtId="0" fontId="19" fillId="0" borderId="11" xfId="55" applyFont="1" applyBorder="1" applyAlignment="1">
      <alignment horizontal="center"/>
      <protection/>
    </xf>
    <xf numFmtId="0" fontId="19" fillId="0" borderId="11" xfId="55" applyFont="1" applyBorder="1" applyAlignment="1">
      <alignment horizontal="right"/>
      <protection/>
    </xf>
    <xf numFmtId="43" fontId="17" fillId="37" borderId="11" xfId="49" applyFont="1" applyFill="1" applyBorder="1" applyAlignment="1">
      <alignment/>
    </xf>
    <xf numFmtId="0" fontId="96" fillId="0" borderId="0" xfId="0" applyFont="1" applyBorder="1" applyAlignment="1">
      <alignment/>
    </xf>
    <xf numFmtId="0" fontId="19" fillId="0" borderId="0" xfId="55" applyFont="1" applyBorder="1" applyAlignment="1">
      <alignment horizontal="right"/>
      <protection/>
    </xf>
    <xf numFmtId="43" fontId="17" fillId="0" borderId="0" xfId="49" applyFont="1" applyBorder="1" applyAlignment="1">
      <alignment/>
    </xf>
    <xf numFmtId="0" fontId="19" fillId="0" borderId="0" xfId="55" applyFont="1" applyFill="1" applyBorder="1" applyAlignment="1">
      <alignment horizontal="right"/>
      <protection/>
    </xf>
    <xf numFmtId="43" fontId="19" fillId="0" borderId="0" xfId="49" applyFont="1" applyFill="1" applyBorder="1" applyAlignment="1">
      <alignment horizontal="left"/>
    </xf>
    <xf numFmtId="0" fontId="17" fillId="0" borderId="30" xfId="0" applyFont="1" applyBorder="1" applyAlignment="1">
      <alignment/>
    </xf>
    <xf numFmtId="0" fontId="17" fillId="0" borderId="32" xfId="0" applyFont="1" applyBorder="1" applyAlignment="1">
      <alignment/>
    </xf>
    <xf numFmtId="9" fontId="17" fillId="0" borderId="33" xfId="57" applyNumberFormat="1" applyFont="1" applyFill="1" applyBorder="1" applyAlignment="1">
      <alignment horizontal="right"/>
    </xf>
    <xf numFmtId="164" fontId="12" fillId="35" borderId="11" xfId="57" applyNumberFormat="1" applyFont="1" applyFill="1" applyBorder="1" applyAlignment="1">
      <alignment/>
    </xf>
    <xf numFmtId="0" fontId="17" fillId="0" borderId="12" xfId="0" applyFont="1" applyBorder="1" applyAlignment="1">
      <alignment/>
    </xf>
    <xf numFmtId="0" fontId="17" fillId="0" borderId="15" xfId="0" applyFont="1" applyBorder="1" applyAlignment="1">
      <alignment/>
    </xf>
    <xf numFmtId="0" fontId="19" fillId="39" borderId="10" xfId="55" applyFont="1" applyFill="1" applyBorder="1" applyAlignment="1">
      <alignment horizontal="right"/>
      <protection/>
    </xf>
    <xf numFmtId="43" fontId="17" fillId="39" borderId="11" xfId="49" applyFont="1" applyFill="1" applyBorder="1" applyAlignment="1">
      <alignment/>
    </xf>
    <xf numFmtId="0" fontId="17" fillId="39" borderId="12" xfId="0" applyFont="1" applyFill="1" applyBorder="1" applyAlignment="1">
      <alignment horizontal="left"/>
    </xf>
    <xf numFmtId="0" fontId="17" fillId="39" borderId="12" xfId="0" applyFont="1" applyFill="1" applyBorder="1" applyAlignment="1">
      <alignment/>
    </xf>
    <xf numFmtId="0" fontId="17" fillId="39" borderId="15" xfId="0" applyFont="1" applyFill="1" applyBorder="1" applyAlignment="1">
      <alignment/>
    </xf>
    <xf numFmtId="177" fontId="12" fillId="35" borderId="0" xfId="0" applyNumberFormat="1" applyFont="1" applyFill="1" applyBorder="1" applyAlignment="1">
      <alignment horizontal="center"/>
    </xf>
    <xf numFmtId="0" fontId="12" fillId="36" borderId="0" xfId="0" applyFont="1" applyFill="1" applyAlignment="1">
      <alignment/>
    </xf>
    <xf numFmtId="0" fontId="4" fillId="0" borderId="30" xfId="0" applyFont="1" applyBorder="1" applyAlignment="1">
      <alignment/>
    </xf>
    <xf numFmtId="0" fontId="12" fillId="0" borderId="30" xfId="0" applyFont="1" applyBorder="1" applyAlignment="1">
      <alignment horizontal="center" vertical="center" wrapText="1"/>
    </xf>
    <xf numFmtId="0" fontId="12" fillId="0" borderId="22" xfId="0" applyFont="1" applyBorder="1" applyAlignment="1">
      <alignment horizontal="center" vertical="center" wrapText="1"/>
    </xf>
    <xf numFmtId="0" fontId="4" fillId="0" borderId="33" xfId="0" applyFont="1" applyBorder="1" applyAlignment="1">
      <alignment/>
    </xf>
    <xf numFmtId="0" fontId="4" fillId="0" borderId="34" xfId="0" applyFont="1" applyBorder="1" applyAlignment="1">
      <alignment/>
    </xf>
    <xf numFmtId="0" fontId="12" fillId="0" borderId="31" xfId="0" applyFont="1" applyBorder="1" applyAlignment="1">
      <alignment horizontal="center"/>
    </xf>
    <xf numFmtId="0" fontId="4" fillId="0" borderId="35" xfId="0" applyFont="1" applyBorder="1" applyAlignment="1">
      <alignment/>
    </xf>
    <xf numFmtId="181" fontId="4" fillId="0" borderId="11" xfId="0" applyNumberFormat="1" applyFont="1" applyBorder="1" applyAlignment="1">
      <alignment horizontal="center"/>
    </xf>
    <xf numFmtId="0" fontId="4" fillId="0" borderId="11" xfId="0" applyFont="1" applyFill="1" applyBorder="1" applyAlignment="1">
      <alignment horizontal="center"/>
    </xf>
    <xf numFmtId="181" fontId="4" fillId="0" borderId="11" xfId="0" applyNumberFormat="1" applyFont="1" applyFill="1" applyBorder="1" applyAlignment="1">
      <alignment horizontal="center"/>
    </xf>
    <xf numFmtId="0" fontId="4" fillId="0" borderId="22" xfId="0" applyFont="1" applyBorder="1" applyAlignment="1">
      <alignment horizontal="center"/>
    </xf>
    <xf numFmtId="181" fontId="4" fillId="0" borderId="22" xfId="0" applyNumberFormat="1" applyFont="1" applyFill="1" applyBorder="1" applyAlignment="1">
      <alignment horizontal="center"/>
    </xf>
    <xf numFmtId="0" fontId="12" fillId="0" borderId="35" xfId="0" applyFont="1" applyBorder="1" applyAlignment="1">
      <alignment horizontal="center"/>
    </xf>
    <xf numFmtId="0" fontId="4" fillId="39" borderId="11" xfId="0" applyFont="1" applyFill="1" applyBorder="1" applyAlignment="1">
      <alignment/>
    </xf>
    <xf numFmtId="167" fontId="4" fillId="39" borderId="11" xfId="49" applyNumberFormat="1" applyFont="1" applyFill="1" applyBorder="1" applyAlignment="1">
      <alignment horizontal="center"/>
    </xf>
    <xf numFmtId="167" fontId="12" fillId="39" borderId="11" xfId="49" applyNumberFormat="1" applyFont="1" applyFill="1" applyBorder="1" applyAlignment="1">
      <alignment/>
    </xf>
    <xf numFmtId="169" fontId="4" fillId="0" borderId="0" xfId="0" applyNumberFormat="1" applyFont="1" applyAlignment="1">
      <alignment/>
    </xf>
    <xf numFmtId="179" fontId="4" fillId="0" borderId="0" xfId="0" applyNumberFormat="1" applyFont="1" applyAlignment="1">
      <alignment/>
    </xf>
    <xf numFmtId="0" fontId="4" fillId="39" borderId="11" xfId="0" applyFont="1" applyFill="1" applyBorder="1" applyAlignment="1">
      <alignment horizontal="center"/>
    </xf>
    <xf numFmtId="0" fontId="12" fillId="39" borderId="11" xfId="0" applyFont="1" applyFill="1" applyBorder="1" applyAlignment="1">
      <alignment horizontal="center"/>
    </xf>
    <xf numFmtId="175" fontId="4" fillId="0" borderId="0" xfId="0" applyNumberFormat="1" applyFont="1" applyAlignment="1">
      <alignment/>
    </xf>
    <xf numFmtId="0" fontId="26" fillId="0" borderId="11" xfId="0" applyFont="1" applyFill="1" applyBorder="1" applyAlignment="1">
      <alignment horizontal="center" vertical="distributed"/>
    </xf>
    <xf numFmtId="0" fontId="28" fillId="0" borderId="10" xfId="0" applyFont="1" applyFill="1" applyBorder="1" applyAlignment="1">
      <alignment horizontal="center" vertical="center" wrapText="1"/>
    </xf>
    <xf numFmtId="177" fontId="4" fillId="0" borderId="15" xfId="0" applyNumberFormat="1" applyFont="1" applyBorder="1" applyAlignment="1">
      <alignment horizontal="center" vertical="center" wrapText="1"/>
    </xf>
    <xf numFmtId="0" fontId="4" fillId="0" borderId="15" xfId="0" applyFont="1" applyBorder="1" applyAlignment="1">
      <alignment vertical="center" wrapText="1"/>
    </xf>
    <xf numFmtId="1" fontId="4" fillId="0" borderId="11" xfId="0" applyNumberFormat="1" applyFont="1" applyBorder="1" applyAlignment="1">
      <alignment horizontal="center" vertical="center" wrapText="1"/>
    </xf>
    <xf numFmtId="0" fontId="24" fillId="0" borderId="11" xfId="0" applyFont="1" applyBorder="1" applyAlignment="1">
      <alignment vertical="center" wrapText="1"/>
    </xf>
    <xf numFmtId="177" fontId="4" fillId="0" borderId="11" xfId="0" applyNumberFormat="1" applyFont="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28" fillId="0" borderId="11" xfId="0" applyFont="1" applyFill="1" applyBorder="1" applyAlignment="1">
      <alignment horizontal="center" vertical="center" wrapText="1"/>
    </xf>
    <xf numFmtId="2" fontId="12" fillId="0" borderId="11" xfId="49" applyNumberFormat="1" applyFont="1" applyBorder="1" applyAlignment="1">
      <alignment horizontal="center" vertical="center" wrapText="1"/>
    </xf>
    <xf numFmtId="0" fontId="4" fillId="0" borderId="13" xfId="0" applyFont="1" applyFill="1" applyBorder="1" applyAlignment="1">
      <alignment/>
    </xf>
    <xf numFmtId="0" fontId="4" fillId="0" borderId="16" xfId="0" applyFont="1" applyFill="1" applyBorder="1" applyAlignment="1">
      <alignment/>
    </xf>
    <xf numFmtId="0" fontId="12" fillId="0" borderId="29" xfId="0" applyFont="1" applyFill="1" applyBorder="1" applyAlignment="1">
      <alignment horizontal="right"/>
    </xf>
    <xf numFmtId="43" fontId="12" fillId="39" borderId="14" xfId="49" applyFont="1" applyFill="1" applyBorder="1" applyAlignment="1">
      <alignment/>
    </xf>
    <xf numFmtId="0" fontId="12" fillId="0" borderId="0" xfId="0" applyFont="1" applyFill="1" applyBorder="1" applyAlignment="1">
      <alignment/>
    </xf>
    <xf numFmtId="0" fontId="17" fillId="0" borderId="23" xfId="0" applyFont="1" applyBorder="1" applyAlignment="1">
      <alignment horizontal="center" vertical="distributed"/>
    </xf>
    <xf numFmtId="0" fontId="17" fillId="0" borderId="38" xfId="0" applyFont="1" applyBorder="1" applyAlignment="1">
      <alignment horizontal="center" vertical="distributed"/>
    </xf>
    <xf numFmtId="0" fontId="17" fillId="0" borderId="39" xfId="0" applyFont="1" applyBorder="1" applyAlignment="1">
      <alignment horizontal="center" vertical="distributed"/>
    </xf>
    <xf numFmtId="0" fontId="17" fillId="0" borderId="33" xfId="0" applyFont="1" applyBorder="1" applyAlignment="1">
      <alignment/>
    </xf>
    <xf numFmtId="0" fontId="17" fillId="0" borderId="34" xfId="0" applyFont="1" applyBorder="1" applyAlignment="1">
      <alignment/>
    </xf>
    <xf numFmtId="0" fontId="17" fillId="0" borderId="40" xfId="0" applyFont="1" applyBorder="1" applyAlignment="1">
      <alignment horizontal="center"/>
    </xf>
    <xf numFmtId="0" fontId="17" fillId="0" borderId="31" xfId="0" applyFont="1" applyBorder="1" applyAlignment="1">
      <alignment horizontal="center"/>
    </xf>
    <xf numFmtId="0" fontId="17" fillId="0" borderId="41" xfId="0" applyFont="1" applyBorder="1" applyAlignment="1">
      <alignment horizontal="center"/>
    </xf>
    <xf numFmtId="0" fontId="17" fillId="0" borderId="35" xfId="0" applyFont="1" applyBorder="1" applyAlignment="1">
      <alignment/>
    </xf>
    <xf numFmtId="0" fontId="17" fillId="0" borderId="24" xfId="0" applyFont="1" applyBorder="1" applyAlignment="1">
      <alignment horizontal="center"/>
    </xf>
    <xf numFmtId="0" fontId="17" fillId="0" borderId="42" xfId="0" applyFont="1" applyBorder="1" applyAlignment="1">
      <alignment horizontal="center"/>
    </xf>
    <xf numFmtId="0" fontId="17" fillId="0" borderId="43" xfId="0" applyFont="1" applyBorder="1" applyAlignment="1">
      <alignment horizontal="center"/>
    </xf>
    <xf numFmtId="181" fontId="17" fillId="0" borderId="44" xfId="0" applyNumberFormat="1" applyFont="1" applyFill="1" applyBorder="1" applyAlignment="1">
      <alignment/>
    </xf>
    <xf numFmtId="0" fontId="17" fillId="0" borderId="44" xfId="0" applyFont="1" applyBorder="1" applyAlignment="1">
      <alignment horizontal="center"/>
    </xf>
    <xf numFmtId="0" fontId="17" fillId="0" borderId="45" xfId="0" applyFont="1" applyBorder="1" applyAlignment="1">
      <alignment/>
    </xf>
    <xf numFmtId="0" fontId="19" fillId="0" borderId="35" xfId="0" applyFont="1" applyBorder="1" applyAlignment="1">
      <alignment horizontal="center"/>
    </xf>
    <xf numFmtId="0" fontId="17" fillId="0" borderId="11" xfId="0" applyFont="1" applyBorder="1" applyAlignment="1">
      <alignment/>
    </xf>
    <xf numFmtId="167" fontId="17" fillId="0" borderId="26" xfId="49" applyNumberFormat="1" applyFont="1" applyBorder="1" applyAlignment="1">
      <alignment/>
    </xf>
    <xf numFmtId="177" fontId="19" fillId="0" borderId="11" xfId="49" applyNumberFormat="1" applyFont="1" applyBorder="1" applyAlignment="1">
      <alignment horizontal="center"/>
    </xf>
    <xf numFmtId="167" fontId="17" fillId="0" borderId="11" xfId="49" applyNumberFormat="1" applyFont="1" applyBorder="1" applyAlignment="1">
      <alignment/>
    </xf>
    <xf numFmtId="1" fontId="19" fillId="0" borderId="11" xfId="0" applyNumberFormat="1" applyFont="1" applyBorder="1" applyAlignment="1">
      <alignment horizontal="center"/>
    </xf>
    <xf numFmtId="0" fontId="30" fillId="0" borderId="11" xfId="0" applyFont="1" applyFill="1" applyBorder="1" applyAlignment="1">
      <alignment horizontal="center" vertical="center" wrapText="1"/>
    </xf>
    <xf numFmtId="0" fontId="32" fillId="0" borderId="11" xfId="0" applyFont="1" applyFill="1" applyBorder="1" applyAlignment="1">
      <alignment horizontal="center" vertical="center" wrapText="1"/>
    </xf>
    <xf numFmtId="169" fontId="17" fillId="0" borderId="11" xfId="0" applyNumberFormat="1" applyFont="1" applyBorder="1" applyAlignment="1">
      <alignment vertical="center" wrapText="1"/>
    </xf>
    <xf numFmtId="0" fontId="17" fillId="0" borderId="11" xfId="0" applyFont="1" applyBorder="1" applyAlignment="1">
      <alignment vertical="center" wrapText="1"/>
    </xf>
    <xf numFmtId="0" fontId="17" fillId="0" borderId="11" xfId="0" applyFont="1" applyBorder="1" applyAlignment="1">
      <alignment horizontal="center" vertical="center" wrapText="1"/>
    </xf>
    <xf numFmtId="0" fontId="18" fillId="0" borderId="11" xfId="0" applyFont="1" applyBorder="1" applyAlignment="1">
      <alignment vertical="center" wrapText="1"/>
    </xf>
    <xf numFmtId="169" fontId="17" fillId="0" borderId="11" xfId="0" applyNumberFormat="1" applyFont="1" applyBorder="1" applyAlignment="1">
      <alignment horizontal="center" vertical="center" wrapText="1"/>
    </xf>
    <xf numFmtId="43" fontId="19" fillId="0" borderId="11" xfId="49" applyFont="1" applyBorder="1" applyAlignment="1">
      <alignment horizontal="center" vertical="center" wrapText="1"/>
    </xf>
    <xf numFmtId="0" fontId="17" fillId="39" borderId="13" xfId="0" applyFont="1" applyFill="1" applyBorder="1" applyAlignment="1">
      <alignment/>
    </xf>
    <xf numFmtId="0" fontId="17" fillId="39" borderId="16" xfId="0" applyFont="1" applyFill="1" applyBorder="1" applyAlignment="1">
      <alignment/>
    </xf>
    <xf numFmtId="0" fontId="19" fillId="39" borderId="29" xfId="0" applyFont="1" applyFill="1" applyBorder="1" applyAlignment="1">
      <alignment horizontal="right"/>
    </xf>
    <xf numFmtId="43" fontId="19" fillId="39" borderId="14" xfId="49" applyFont="1" applyFill="1" applyBorder="1" applyAlignment="1">
      <alignment/>
    </xf>
    <xf numFmtId="0" fontId="4" fillId="35" borderId="16" xfId="0" applyFont="1" applyFill="1" applyBorder="1" applyAlignment="1">
      <alignment/>
    </xf>
    <xf numFmtId="0" fontId="12" fillId="0" borderId="11" xfId="0" applyFont="1" applyFill="1" applyBorder="1" applyAlignment="1">
      <alignment horizontal="center"/>
    </xf>
    <xf numFmtId="0" fontId="4" fillId="0" borderId="0" xfId="0" applyFont="1" applyFill="1" applyAlignment="1">
      <alignment horizontal="center"/>
    </xf>
    <xf numFmtId="0" fontId="4" fillId="0" borderId="30" xfId="0" applyFont="1" applyFill="1" applyBorder="1" applyAlignment="1">
      <alignment/>
    </xf>
    <xf numFmtId="0" fontId="4" fillId="0" borderId="32" xfId="0" applyFont="1" applyFill="1" applyBorder="1" applyAlignment="1">
      <alignment/>
    </xf>
    <xf numFmtId="0" fontId="4" fillId="0" borderId="33" xfId="0" applyFont="1" applyFill="1" applyBorder="1" applyAlignment="1">
      <alignment/>
    </xf>
    <xf numFmtId="0" fontId="4" fillId="0" borderId="31" xfId="0" applyFont="1" applyFill="1" applyBorder="1" applyAlignment="1">
      <alignment/>
    </xf>
    <xf numFmtId="0" fontId="4" fillId="0" borderId="36" xfId="0" applyFont="1" applyFill="1" applyBorder="1" applyAlignment="1">
      <alignment horizontal="center"/>
    </xf>
    <xf numFmtId="0" fontId="4" fillId="0" borderId="36" xfId="0" applyFont="1" applyFill="1" applyBorder="1" applyAlignment="1">
      <alignment horizontal="right"/>
    </xf>
    <xf numFmtId="2" fontId="4" fillId="0" borderId="36" xfId="0" applyNumberFormat="1" applyFont="1" applyFill="1" applyBorder="1" applyAlignment="1">
      <alignment horizontal="center"/>
    </xf>
    <xf numFmtId="2" fontId="4" fillId="0" borderId="0" xfId="0" applyNumberFormat="1" applyFont="1" applyFill="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33" fillId="0" borderId="13" xfId="0" applyFont="1" applyFill="1" applyBorder="1" applyAlignment="1">
      <alignment/>
    </xf>
    <xf numFmtId="0" fontId="33" fillId="0" borderId="16" xfId="0" applyFont="1" applyFill="1" applyBorder="1" applyAlignment="1">
      <alignment/>
    </xf>
    <xf numFmtId="43" fontId="35" fillId="0" borderId="16" xfId="49" applyFont="1" applyFill="1" applyBorder="1" applyAlignment="1">
      <alignment/>
    </xf>
    <xf numFmtId="0" fontId="33" fillId="0" borderId="17" xfId="0" applyFont="1" applyFill="1" applyBorder="1" applyAlignment="1">
      <alignment/>
    </xf>
    <xf numFmtId="0" fontId="4" fillId="0" borderId="11" xfId="0" applyFont="1" applyBorder="1" applyAlignment="1">
      <alignment/>
    </xf>
    <xf numFmtId="0" fontId="12" fillId="0" borderId="10" xfId="0" applyFont="1" applyFill="1" applyBorder="1" applyAlignment="1">
      <alignment horizontal="center"/>
    </xf>
    <xf numFmtId="0" fontId="4" fillId="42" borderId="0" xfId="0" applyFont="1" applyFill="1" applyAlignment="1">
      <alignment/>
    </xf>
    <xf numFmtId="0" fontId="66" fillId="42" borderId="16" xfId="0" applyFont="1" applyFill="1" applyBorder="1" applyAlignment="1">
      <alignment horizontal="right"/>
    </xf>
    <xf numFmtId="43" fontId="66" fillId="42" borderId="16" xfId="49" applyFont="1" applyFill="1" applyBorder="1" applyAlignment="1">
      <alignment/>
    </xf>
    <xf numFmtId="0" fontId="66" fillId="0" borderId="17" xfId="0" applyFont="1" applyFill="1" applyBorder="1" applyAlignment="1">
      <alignment/>
    </xf>
    <xf numFmtId="0" fontId="4" fillId="0" borderId="0" xfId="0" applyFont="1" applyFill="1" applyBorder="1" applyAlignment="1">
      <alignment horizontal="center"/>
    </xf>
    <xf numFmtId="43" fontId="4" fillId="0" borderId="11" xfId="49" applyFont="1" applyFill="1" applyBorder="1" applyAlignment="1">
      <alignment horizontal="center"/>
    </xf>
    <xf numFmtId="0" fontId="24" fillId="0" borderId="11" xfId="0" applyFont="1" applyFill="1" applyBorder="1" applyAlignment="1">
      <alignment horizontal="center"/>
    </xf>
    <xf numFmtId="43" fontId="145" fillId="0" borderId="0" xfId="49" applyFont="1" applyFill="1" applyBorder="1" applyAlignment="1">
      <alignment/>
    </xf>
    <xf numFmtId="43" fontId="4" fillId="0" borderId="0" xfId="0" applyNumberFormat="1" applyFont="1" applyFill="1" applyAlignment="1">
      <alignment/>
    </xf>
    <xf numFmtId="0" fontId="15" fillId="36" borderId="0" xfId="0" applyFont="1" applyFill="1" applyAlignment="1">
      <alignment/>
    </xf>
    <xf numFmtId="0" fontId="33" fillId="0" borderId="0" xfId="0" applyFont="1" applyAlignment="1">
      <alignment/>
    </xf>
    <xf numFmtId="0" fontId="37" fillId="0" borderId="0" xfId="0" applyFont="1" applyAlignment="1">
      <alignment/>
    </xf>
    <xf numFmtId="0" fontId="12" fillId="0" borderId="0" xfId="0" applyFont="1" applyFill="1" applyAlignment="1">
      <alignment/>
    </xf>
    <xf numFmtId="0" fontId="38" fillId="0" borderId="10" xfId="0" applyFont="1" applyFill="1" applyBorder="1" applyAlignment="1">
      <alignment/>
    </xf>
    <xf numFmtId="0" fontId="4" fillId="0" borderId="12" xfId="0" applyFont="1" applyFill="1" applyBorder="1" applyAlignment="1">
      <alignment/>
    </xf>
    <xf numFmtId="0" fontId="4" fillId="0" borderId="15" xfId="0" applyFont="1" applyFill="1" applyBorder="1" applyAlignment="1">
      <alignment/>
    </xf>
    <xf numFmtId="0" fontId="15" fillId="0" borderId="0" xfId="0" applyFont="1" applyAlignment="1">
      <alignment/>
    </xf>
    <xf numFmtId="0" fontId="4" fillId="0" borderId="11" xfId="0" applyFont="1" applyFill="1" applyBorder="1" applyAlignment="1">
      <alignment/>
    </xf>
    <xf numFmtId="43" fontId="4" fillId="0" borderId="0" xfId="49" applyFont="1" applyFill="1" applyBorder="1" applyAlignment="1">
      <alignment horizontal="center"/>
    </xf>
    <xf numFmtId="0" fontId="19" fillId="0" borderId="0" xfId="0" applyFont="1" applyBorder="1" applyAlignment="1">
      <alignment/>
    </xf>
    <xf numFmtId="10" fontId="4" fillId="0" borderId="11" xfId="57" applyNumberFormat="1" applyFont="1" applyBorder="1" applyAlignment="1">
      <alignment/>
    </xf>
    <xf numFmtId="0" fontId="12" fillId="0" borderId="13" xfId="0" applyFont="1" applyBorder="1" applyAlignment="1">
      <alignment horizontal="right"/>
    </xf>
    <xf numFmtId="0" fontId="12" fillId="0" borderId="14" xfId="0" applyFont="1" applyBorder="1" applyAlignment="1">
      <alignment horizontal="center"/>
    </xf>
    <xf numFmtId="181" fontId="4" fillId="0" borderId="0" xfId="0" applyNumberFormat="1" applyFont="1" applyAlignment="1">
      <alignment horizontal="center"/>
    </xf>
    <xf numFmtId="0" fontId="46" fillId="0" borderId="0" xfId="0" applyFont="1" applyAlignment="1">
      <alignment/>
    </xf>
    <xf numFmtId="0" fontId="4" fillId="0" borderId="10" xfId="0" applyFont="1" applyBorder="1" applyAlignment="1">
      <alignment horizontal="center"/>
    </xf>
    <xf numFmtId="43" fontId="4" fillId="0" borderId="0" xfId="49" applyFont="1" applyAlignment="1">
      <alignment/>
    </xf>
    <xf numFmtId="43" fontId="96" fillId="0" borderId="0" xfId="49" applyFont="1" applyAlignment="1">
      <alignment/>
    </xf>
    <xf numFmtId="43" fontId="4" fillId="0" borderId="0" xfId="49" applyNumberFormat="1" applyFont="1" applyAlignment="1">
      <alignment/>
    </xf>
    <xf numFmtId="43" fontId="97" fillId="0" borderId="22" xfId="49" applyFont="1" applyBorder="1" applyAlignment="1">
      <alignment/>
    </xf>
    <xf numFmtId="0" fontId="71" fillId="39" borderId="11" xfId="0" applyFont="1" applyFill="1" applyBorder="1" applyAlignment="1">
      <alignment horizontal="right"/>
    </xf>
    <xf numFmtId="195" fontId="71" fillId="39" borderId="11" xfId="49" applyNumberFormat="1" applyFont="1" applyFill="1" applyBorder="1" applyAlignment="1">
      <alignment/>
    </xf>
    <xf numFmtId="0" fontId="17" fillId="0" borderId="46" xfId="0" applyFont="1" applyBorder="1" applyAlignment="1">
      <alignment/>
    </xf>
    <xf numFmtId="0" fontId="33" fillId="0" borderId="0" xfId="0" applyFont="1" applyAlignment="1">
      <alignment horizontal="right"/>
    </xf>
    <xf numFmtId="181" fontId="35" fillId="0" borderId="0" xfId="0" applyNumberFormat="1" applyFont="1" applyAlignment="1">
      <alignment horizontal="center"/>
    </xf>
    <xf numFmtId="43" fontId="35" fillId="0" borderId="26" xfId="49" applyFont="1" applyBorder="1" applyAlignment="1">
      <alignment/>
    </xf>
    <xf numFmtId="0" fontId="20" fillId="0" borderId="0" xfId="0" applyFont="1" applyAlignment="1">
      <alignment/>
    </xf>
    <xf numFmtId="0" fontId="24" fillId="0" borderId="47" xfId="0" applyFont="1" applyBorder="1" applyAlignment="1">
      <alignment horizontal="right"/>
    </xf>
    <xf numFmtId="195" fontId="12" fillId="36" borderId="19" xfId="49" applyNumberFormat="1" applyFont="1" applyFill="1" applyBorder="1" applyAlignment="1">
      <alignment/>
    </xf>
    <xf numFmtId="0" fontId="20" fillId="0" borderId="13" xfId="0" applyFont="1" applyBorder="1" applyAlignment="1">
      <alignment/>
    </xf>
    <xf numFmtId="43" fontId="19" fillId="0" borderId="16" xfId="49" applyFont="1" applyBorder="1" applyAlignment="1">
      <alignment/>
    </xf>
    <xf numFmtId="0" fontId="17" fillId="0" borderId="16" xfId="0" applyFont="1" applyBorder="1" applyAlignment="1">
      <alignment/>
    </xf>
    <xf numFmtId="0" fontId="17" fillId="0" borderId="17" xfId="0" applyFont="1" applyBorder="1" applyAlignment="1">
      <alignment/>
    </xf>
    <xf numFmtId="0" fontId="71" fillId="39" borderId="13" xfId="0" applyFont="1" applyFill="1" applyBorder="1" applyAlignment="1">
      <alignment/>
    </xf>
    <xf numFmtId="0" fontId="71" fillId="39" borderId="16" xfId="0" applyFont="1" applyFill="1" applyBorder="1" applyAlignment="1">
      <alignment/>
    </xf>
    <xf numFmtId="0" fontId="66" fillId="39" borderId="17" xfId="0" applyFont="1" applyFill="1" applyBorder="1" applyAlignment="1">
      <alignment horizontal="right"/>
    </xf>
    <xf numFmtId="195" fontId="66" fillId="39" borderId="14" xfId="49" applyNumberFormat="1" applyFont="1" applyFill="1" applyBorder="1" applyAlignment="1">
      <alignment/>
    </xf>
    <xf numFmtId="0" fontId="71" fillId="0" borderId="0" xfId="0" applyFont="1" applyFill="1" applyBorder="1" applyAlignment="1">
      <alignment/>
    </xf>
    <xf numFmtId="0" fontId="66" fillId="0" borderId="0" xfId="0" applyFont="1" applyFill="1" applyBorder="1" applyAlignment="1">
      <alignment horizontal="right"/>
    </xf>
    <xf numFmtId="43" fontId="66" fillId="0" borderId="0" xfId="49" applyFont="1" applyFill="1" applyBorder="1" applyAlignment="1">
      <alignment/>
    </xf>
    <xf numFmtId="0" fontId="17" fillId="0" borderId="0" xfId="0" applyFont="1" applyFill="1" applyAlignment="1">
      <alignment/>
    </xf>
    <xf numFmtId="0" fontId="21" fillId="0" borderId="0" xfId="0" applyFont="1" applyAlignment="1">
      <alignment/>
    </xf>
    <xf numFmtId="0" fontId="19" fillId="0" borderId="12" xfId="0" applyFont="1" applyBorder="1" applyAlignment="1">
      <alignment/>
    </xf>
    <xf numFmtId="0" fontId="19" fillId="0" borderId="12" xfId="0" applyFont="1" applyBorder="1" applyAlignment="1">
      <alignment horizontal="right"/>
    </xf>
    <xf numFmtId="0" fontId="19" fillId="0" borderId="15" xfId="0" applyFont="1" applyBorder="1" applyAlignment="1">
      <alignment/>
    </xf>
    <xf numFmtId="43" fontId="17" fillId="40" borderId="0" xfId="0" applyNumberFormat="1" applyFont="1" applyFill="1" applyAlignment="1">
      <alignment/>
    </xf>
    <xf numFmtId="2" fontId="4" fillId="0" borderId="0" xfId="0" applyNumberFormat="1" applyFont="1" applyFill="1" applyAlignment="1">
      <alignment/>
    </xf>
    <xf numFmtId="0" fontId="98" fillId="0" borderId="0" xfId="0" applyFont="1" applyFill="1" applyAlignment="1">
      <alignment/>
    </xf>
    <xf numFmtId="0" fontId="17" fillId="0" borderId="0" xfId="0" applyFont="1" applyFill="1" applyAlignment="1">
      <alignment horizontal="right"/>
    </xf>
    <xf numFmtId="0" fontId="17" fillId="0" borderId="0" xfId="0" applyFont="1" applyFill="1" applyBorder="1" applyAlignment="1">
      <alignment/>
    </xf>
    <xf numFmtId="0" fontId="46" fillId="0" borderId="0" xfId="0" applyFont="1" applyFill="1" applyAlignment="1">
      <alignment/>
    </xf>
    <xf numFmtId="0" fontId="4" fillId="0" borderId="10" xfId="0" applyFont="1" applyFill="1" applyBorder="1" applyAlignment="1">
      <alignment/>
    </xf>
    <xf numFmtId="0" fontId="49" fillId="0" borderId="12" xfId="0" applyFont="1" applyFill="1" applyBorder="1" applyAlignment="1">
      <alignment horizontal="right"/>
    </xf>
    <xf numFmtId="43" fontId="38" fillId="0" borderId="11" xfId="0" applyNumberFormat="1" applyFont="1" applyFill="1" applyBorder="1" applyAlignment="1">
      <alignment/>
    </xf>
    <xf numFmtId="43" fontId="46" fillId="0" borderId="0" xfId="0" applyNumberFormat="1" applyFont="1" applyFill="1" applyAlignment="1">
      <alignment/>
    </xf>
    <xf numFmtId="0" fontId="46" fillId="0" borderId="0" xfId="0" applyFont="1" applyFill="1" applyBorder="1" applyAlignment="1">
      <alignment/>
    </xf>
    <xf numFmtId="43" fontId="46" fillId="40" borderId="0" xfId="0" applyNumberFormat="1" applyFont="1" applyFill="1" applyAlignment="1">
      <alignment/>
    </xf>
    <xf numFmtId="0" fontId="46" fillId="0" borderId="0" xfId="0" applyFont="1" applyBorder="1" applyAlignment="1">
      <alignment/>
    </xf>
    <xf numFmtId="43" fontId="4" fillId="0" borderId="32" xfId="0" applyNumberFormat="1" applyFont="1" applyFill="1" applyBorder="1" applyAlignment="1">
      <alignment/>
    </xf>
    <xf numFmtId="0" fontId="4" fillId="0" borderId="32" xfId="0" applyFont="1" applyFill="1" applyBorder="1" applyAlignment="1">
      <alignment horizontal="right"/>
    </xf>
    <xf numFmtId="0" fontId="4" fillId="0" borderId="32" xfId="0" applyFont="1" applyBorder="1" applyAlignment="1">
      <alignment/>
    </xf>
    <xf numFmtId="0" fontId="38" fillId="0" borderId="13" xfId="0" applyFont="1" applyFill="1" applyBorder="1" applyAlignment="1">
      <alignment/>
    </xf>
    <xf numFmtId="0" fontId="38" fillId="0" borderId="16" xfId="0" applyFont="1" applyFill="1" applyBorder="1" applyAlignment="1">
      <alignment/>
    </xf>
    <xf numFmtId="0" fontId="38" fillId="0" borderId="17" xfId="0" applyFont="1" applyBorder="1" applyAlignment="1">
      <alignment horizontal="right"/>
    </xf>
    <xf numFmtId="0" fontId="49" fillId="0" borderId="14" xfId="0" applyFont="1" applyFill="1" applyBorder="1" applyAlignment="1">
      <alignment horizontal="center"/>
    </xf>
    <xf numFmtId="167" fontId="38" fillId="40" borderId="14" xfId="49" applyNumberFormat="1" applyFont="1" applyFill="1" applyBorder="1" applyAlignment="1">
      <alignment/>
    </xf>
    <xf numFmtId="0" fontId="99" fillId="0" borderId="0" xfId="0" applyFont="1" applyFill="1" applyAlignment="1">
      <alignment/>
    </xf>
    <xf numFmtId="0" fontId="4" fillId="0" borderId="0" xfId="0" applyFont="1" applyFill="1" applyAlignment="1">
      <alignment horizontal="right"/>
    </xf>
    <xf numFmtId="0" fontId="12" fillId="0" borderId="10" xfId="0" applyFont="1" applyFill="1" applyBorder="1" applyAlignment="1">
      <alignment/>
    </xf>
    <xf numFmtId="195" fontId="19" fillId="0" borderId="11" xfId="0" applyNumberFormat="1" applyFont="1" applyFill="1" applyBorder="1" applyAlignment="1">
      <alignment/>
    </xf>
    <xf numFmtId="0" fontId="12" fillId="0" borderId="0" xfId="0" applyFont="1" applyFill="1" applyBorder="1" applyAlignment="1">
      <alignment horizontal="right"/>
    </xf>
    <xf numFmtId="43" fontId="12" fillId="0" borderId="10" xfId="0" applyNumberFormat="1" applyFont="1" applyFill="1" applyBorder="1" applyAlignment="1">
      <alignment/>
    </xf>
    <xf numFmtId="43" fontId="12" fillId="0" borderId="11" xfId="49" applyFont="1" applyFill="1" applyBorder="1" applyAlignment="1">
      <alignment/>
    </xf>
    <xf numFmtId="43" fontId="12" fillId="39" borderId="0" xfId="0" applyNumberFormat="1" applyFont="1" applyFill="1" applyAlignment="1">
      <alignment/>
    </xf>
    <xf numFmtId="0" fontId="17" fillId="39" borderId="0" xfId="0" applyFont="1" applyFill="1" applyBorder="1" applyAlignment="1">
      <alignment/>
    </xf>
    <xf numFmtId="0" fontId="4" fillId="39" borderId="22" xfId="0" applyFont="1" applyFill="1" applyBorder="1" applyAlignment="1">
      <alignment horizontal="right"/>
    </xf>
    <xf numFmtId="0" fontId="4" fillId="0" borderId="22" xfId="0" applyFont="1" applyBorder="1" applyAlignment="1">
      <alignment horizontal="right"/>
    </xf>
    <xf numFmtId="195" fontId="4" fillId="0" borderId="11" xfId="49" applyNumberFormat="1" applyFont="1" applyBorder="1" applyAlignment="1">
      <alignment/>
    </xf>
    <xf numFmtId="43" fontId="4" fillId="39" borderId="11" xfId="49" applyFont="1" applyFill="1" applyBorder="1" applyAlignment="1">
      <alignment horizontal="center"/>
    </xf>
    <xf numFmtId="43" fontId="4" fillId="0" borderId="11" xfId="0" applyNumberFormat="1" applyFont="1" applyBorder="1" applyAlignment="1">
      <alignment/>
    </xf>
    <xf numFmtId="195" fontId="12" fillId="0" borderId="11" xfId="0" applyNumberFormat="1" applyFont="1" applyFill="1" applyBorder="1" applyAlignment="1">
      <alignment/>
    </xf>
    <xf numFmtId="0" fontId="100" fillId="0" borderId="30" xfId="0" applyFont="1" applyFill="1" applyBorder="1" applyAlignment="1">
      <alignment/>
    </xf>
    <xf numFmtId="0" fontId="51" fillId="0" borderId="32" xfId="0" applyFont="1" applyFill="1" applyBorder="1" applyAlignment="1">
      <alignment/>
    </xf>
    <xf numFmtId="0" fontId="51" fillId="0" borderId="32" xfId="0" applyFont="1" applyFill="1" applyBorder="1" applyAlignment="1">
      <alignment horizontal="right"/>
    </xf>
    <xf numFmtId="0" fontId="51" fillId="0" borderId="33" xfId="0" applyFont="1" applyFill="1" applyBorder="1" applyAlignment="1">
      <alignment/>
    </xf>
    <xf numFmtId="195" fontId="4" fillId="0" borderId="11" xfId="0" applyNumberFormat="1" applyFont="1" applyBorder="1" applyAlignment="1">
      <alignment/>
    </xf>
    <xf numFmtId="0" fontId="51" fillId="0" borderId="34" xfId="0" applyFont="1" applyFill="1" applyBorder="1" applyAlignment="1">
      <alignment horizontal="right"/>
    </xf>
    <xf numFmtId="43" fontId="51" fillId="0" borderId="0" xfId="0" applyNumberFormat="1" applyFont="1" applyFill="1" applyBorder="1" applyAlignment="1">
      <alignment/>
    </xf>
    <xf numFmtId="0" fontId="51" fillId="0" borderId="0" xfId="0" applyFont="1" applyFill="1" applyBorder="1" applyAlignment="1">
      <alignment/>
    </xf>
    <xf numFmtId="43" fontId="51" fillId="0" borderId="35" xfId="0" applyNumberFormat="1" applyFont="1" applyFill="1" applyBorder="1" applyAlignment="1">
      <alignment/>
    </xf>
    <xf numFmtId="0" fontId="12" fillId="0" borderId="12" xfId="0" applyFont="1" applyFill="1" applyBorder="1" applyAlignment="1">
      <alignment/>
    </xf>
    <xf numFmtId="2" fontId="12" fillId="0" borderId="14" xfId="49" applyNumberFormat="1" applyFont="1" applyFill="1" applyBorder="1" applyAlignment="1">
      <alignment/>
    </xf>
    <xf numFmtId="0" fontId="51" fillId="0" borderId="31" xfId="0" applyFont="1" applyFill="1" applyBorder="1" applyAlignment="1">
      <alignment horizontal="right"/>
    </xf>
    <xf numFmtId="43" fontId="51" fillId="0" borderId="36" xfId="0" applyNumberFormat="1" applyFont="1" applyFill="1" applyBorder="1" applyAlignment="1">
      <alignment/>
    </xf>
    <xf numFmtId="0" fontId="51" fillId="0" borderId="36" xfId="0" applyFont="1" applyFill="1" applyBorder="1" applyAlignment="1">
      <alignment/>
    </xf>
    <xf numFmtId="43" fontId="51" fillId="0" borderId="37" xfId="0" applyNumberFormat="1" applyFont="1" applyFill="1" applyBorder="1" applyAlignment="1">
      <alignment/>
    </xf>
    <xf numFmtId="0" fontId="4" fillId="0" borderId="0" xfId="0" applyFont="1" applyFill="1" applyBorder="1" applyAlignment="1">
      <alignment horizontal="right"/>
    </xf>
    <xf numFmtId="43" fontId="12" fillId="0" borderId="0" xfId="49" applyFont="1" applyFill="1" applyBorder="1" applyAlignment="1">
      <alignment/>
    </xf>
    <xf numFmtId="0" fontId="46" fillId="0" borderId="34" xfId="0" applyFont="1" applyFill="1" applyBorder="1" applyAlignment="1">
      <alignment horizontal="right"/>
    </xf>
    <xf numFmtId="43" fontId="46" fillId="0" borderId="0" xfId="0" applyNumberFormat="1" applyFont="1" applyFill="1" applyBorder="1" applyAlignment="1">
      <alignment/>
    </xf>
    <xf numFmtId="43" fontId="46" fillId="0" borderId="35" xfId="0" applyNumberFormat="1" applyFont="1" applyFill="1" applyBorder="1" applyAlignment="1">
      <alignment/>
    </xf>
    <xf numFmtId="43" fontId="46" fillId="0" borderId="36" xfId="0" applyNumberFormat="1" applyFont="1" applyFill="1" applyBorder="1" applyAlignment="1">
      <alignment/>
    </xf>
    <xf numFmtId="0" fontId="46" fillId="0" borderId="36" xfId="0" applyFont="1" applyFill="1" applyBorder="1" applyAlignment="1">
      <alignment/>
    </xf>
    <xf numFmtId="43" fontId="46" fillId="0" borderId="37" xfId="0" applyNumberFormat="1" applyFont="1" applyFill="1" applyBorder="1" applyAlignment="1">
      <alignment/>
    </xf>
    <xf numFmtId="2" fontId="12" fillId="36" borderId="16" xfId="0" applyNumberFormat="1" applyFont="1" applyFill="1" applyBorder="1" applyAlignment="1">
      <alignment horizontal="center"/>
    </xf>
    <xf numFmtId="2" fontId="4" fillId="0" borderId="16" xfId="0" applyNumberFormat="1" applyFont="1" applyFill="1" applyBorder="1" applyAlignment="1">
      <alignment/>
    </xf>
    <xf numFmtId="2" fontId="12" fillId="43" borderId="16" xfId="0" applyNumberFormat="1" applyFont="1" applyFill="1" applyBorder="1" applyAlignment="1">
      <alignment/>
    </xf>
    <xf numFmtId="2" fontId="4" fillId="0" borderId="16" xfId="0" applyNumberFormat="1" applyFont="1" applyFill="1" applyBorder="1" applyAlignment="1">
      <alignment horizontal="center"/>
    </xf>
    <xf numFmtId="177" fontId="12" fillId="44" borderId="16" xfId="0" applyNumberFormat="1" applyFont="1" applyFill="1" applyBorder="1" applyAlignment="1">
      <alignment horizontal="center"/>
    </xf>
    <xf numFmtId="0" fontId="4" fillId="0" borderId="17" xfId="0" applyFont="1" applyFill="1" applyBorder="1" applyAlignment="1">
      <alignment/>
    </xf>
    <xf numFmtId="0" fontId="54" fillId="0" borderId="34" xfId="0" applyFont="1" applyFill="1" applyBorder="1" applyAlignment="1">
      <alignment horizontal="right"/>
    </xf>
    <xf numFmtId="0" fontId="19" fillId="0" borderId="0" xfId="0" applyFont="1" applyFill="1" applyBorder="1" applyAlignment="1">
      <alignment/>
    </xf>
    <xf numFmtId="43" fontId="12" fillId="0" borderId="0" xfId="0" applyNumberFormat="1" applyFont="1" applyFill="1" applyBorder="1" applyAlignment="1">
      <alignment horizontal="center"/>
    </xf>
    <xf numFmtId="43" fontId="12" fillId="0" borderId="0" xfId="0" applyNumberFormat="1" applyFont="1" applyFill="1" applyBorder="1" applyAlignment="1">
      <alignment/>
    </xf>
    <xf numFmtId="167" fontId="12" fillId="0" borderId="0" xfId="0" applyNumberFormat="1" applyFont="1" applyFill="1" applyBorder="1" applyAlignment="1">
      <alignment horizontal="center"/>
    </xf>
    <xf numFmtId="0" fontId="54" fillId="0" borderId="0" xfId="0" applyFont="1" applyFill="1" applyBorder="1" applyAlignment="1">
      <alignment horizontal="right"/>
    </xf>
    <xf numFmtId="0" fontId="14" fillId="36" borderId="0" xfId="0" applyFont="1" applyFill="1" applyAlignment="1">
      <alignment/>
    </xf>
    <xf numFmtId="0" fontId="56" fillId="0" borderId="0" xfId="46" applyFont="1" applyFill="1" applyBorder="1" applyAlignment="1" applyProtection="1">
      <alignment horizontal="left"/>
      <protection/>
    </xf>
    <xf numFmtId="0" fontId="146" fillId="0" borderId="0" xfId="0" applyFont="1" applyFill="1" applyBorder="1" applyAlignment="1">
      <alignment horizontal="center"/>
    </xf>
    <xf numFmtId="0" fontId="143" fillId="0" borderId="0" xfId="0" applyFont="1" applyFill="1" applyBorder="1" applyAlignment="1">
      <alignment horizontal="center"/>
    </xf>
    <xf numFmtId="43" fontId="147" fillId="0" borderId="11" xfId="0" applyNumberFormat="1" applyFont="1" applyFill="1" applyBorder="1" applyAlignment="1">
      <alignment horizontal="center" vertical="distributed"/>
    </xf>
    <xf numFmtId="43" fontId="148" fillId="0" borderId="0" xfId="0" applyNumberFormat="1" applyFont="1" applyFill="1" applyBorder="1" applyAlignment="1">
      <alignment/>
    </xf>
    <xf numFmtId="0" fontId="141" fillId="0" borderId="0" xfId="0" applyFont="1" applyFill="1" applyBorder="1" applyAlignment="1">
      <alignment/>
    </xf>
    <xf numFmtId="0" fontId="149" fillId="0" borderId="0" xfId="0" applyFont="1" applyFill="1" applyBorder="1" applyAlignment="1">
      <alignment horizontal="right"/>
    </xf>
    <xf numFmtId="43" fontId="12" fillId="0" borderId="0" xfId="0" applyNumberFormat="1" applyFont="1" applyFill="1" applyBorder="1" applyAlignment="1">
      <alignment horizontal="left"/>
    </xf>
    <xf numFmtId="43" fontId="19" fillId="0" borderId="11" xfId="0" applyNumberFormat="1" applyFont="1" applyFill="1" applyBorder="1" applyAlignment="1">
      <alignment/>
    </xf>
    <xf numFmtId="0" fontId="4" fillId="0" borderId="0" xfId="0" applyFont="1" applyFill="1" applyAlignment="1">
      <alignment horizontal="right" vertical="center"/>
    </xf>
    <xf numFmtId="43" fontId="26" fillId="0" borderId="10" xfId="0" applyNumberFormat="1" applyFont="1" applyFill="1" applyBorder="1" applyAlignment="1">
      <alignment vertical="center"/>
    </xf>
    <xf numFmtId="0" fontId="30" fillId="0" borderId="15" xfId="0" applyFont="1" applyBorder="1" applyAlignment="1">
      <alignment/>
    </xf>
    <xf numFmtId="43" fontId="12" fillId="0" borderId="11" xfId="49" applyFont="1" applyFill="1" applyBorder="1" applyAlignment="1">
      <alignment vertical="center"/>
    </xf>
    <xf numFmtId="2" fontId="12" fillId="0" borderId="11" xfId="0" applyNumberFormat="1" applyFont="1" applyFill="1" applyBorder="1" applyAlignment="1">
      <alignment/>
    </xf>
    <xf numFmtId="43" fontId="16" fillId="0" borderId="11" xfId="49" applyFont="1" applyBorder="1" applyAlignment="1">
      <alignment/>
    </xf>
    <xf numFmtId="0" fontId="19" fillId="0" borderId="22" xfId="0" applyFont="1" applyBorder="1" applyAlignment="1">
      <alignment horizontal="center"/>
    </xf>
    <xf numFmtId="0" fontId="19" fillId="0" borderId="26" xfId="0" applyFont="1" applyBorder="1" applyAlignment="1">
      <alignment horizontal="center"/>
    </xf>
    <xf numFmtId="0" fontId="12" fillId="39" borderId="0" xfId="0" applyFont="1" applyFill="1" applyAlignment="1">
      <alignment/>
    </xf>
    <xf numFmtId="43" fontId="141" fillId="34" borderId="14" xfId="49" applyNumberFormat="1" applyFont="1" applyFill="1" applyBorder="1" applyAlignment="1">
      <alignment/>
    </xf>
    <xf numFmtId="0" fontId="147" fillId="0" borderId="11" xfId="0" applyFont="1" applyBorder="1" applyAlignment="1">
      <alignment horizontal="center" vertical="center" wrapText="1"/>
    </xf>
    <xf numFmtId="0" fontId="26" fillId="0" borderId="0" xfId="0" applyFont="1" applyAlignment="1">
      <alignment/>
    </xf>
    <xf numFmtId="0" fontId="150" fillId="0" borderId="0" xfId="0" applyFont="1" applyFill="1" applyBorder="1" applyAlignment="1">
      <alignment/>
    </xf>
    <xf numFmtId="0" fontId="151" fillId="0" borderId="0" xfId="0" applyFont="1" applyFill="1" applyBorder="1" applyAlignment="1">
      <alignment horizontal="right"/>
    </xf>
    <xf numFmtId="0" fontId="152" fillId="0" borderId="10" xfId="0" applyFont="1" applyFill="1" applyBorder="1" applyAlignment="1">
      <alignment horizontal="right"/>
    </xf>
    <xf numFmtId="2" fontId="152" fillId="34" borderId="15" xfId="0" applyNumberFormat="1" applyFont="1" applyFill="1" applyBorder="1" applyAlignment="1">
      <alignment horizontal="center"/>
    </xf>
    <xf numFmtId="0" fontId="9"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1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14" fillId="45" borderId="0" xfId="0" applyFont="1" applyFill="1" applyAlignment="1">
      <alignment/>
    </xf>
    <xf numFmtId="0" fontId="4" fillId="45" borderId="0" xfId="0" applyFont="1" applyFill="1" applyBorder="1" applyAlignment="1">
      <alignment horizontal="right"/>
    </xf>
    <xf numFmtId="0" fontId="4" fillId="45" borderId="0" xfId="0" applyFont="1" applyFill="1" applyBorder="1" applyAlignment="1">
      <alignment/>
    </xf>
    <xf numFmtId="43" fontId="12" fillId="45" borderId="0" xfId="0" applyNumberFormat="1" applyFont="1" applyFill="1" applyBorder="1" applyAlignment="1">
      <alignment horizontal="center"/>
    </xf>
    <xf numFmtId="43" fontId="12" fillId="45" borderId="0" xfId="0" applyNumberFormat="1" applyFont="1" applyFill="1" applyBorder="1" applyAlignment="1">
      <alignment/>
    </xf>
    <xf numFmtId="0" fontId="153" fillId="0" borderId="0" xfId="0" applyFont="1" applyAlignment="1">
      <alignment/>
    </xf>
    <xf numFmtId="0" fontId="154" fillId="0" borderId="0" xfId="0" applyFont="1" applyAlignment="1">
      <alignment/>
    </xf>
    <xf numFmtId="2" fontId="4" fillId="0" borderId="0" xfId="49" applyNumberFormat="1" applyFont="1" applyAlignment="1">
      <alignment/>
    </xf>
    <xf numFmtId="0" fontId="144" fillId="33" borderId="26" xfId="0" applyFont="1" applyFill="1" applyBorder="1" applyAlignment="1">
      <alignment horizontal="center"/>
    </xf>
    <xf numFmtId="0" fontId="142" fillId="0" borderId="14" xfId="0" applyFont="1" applyBorder="1" applyAlignment="1">
      <alignment horizontal="center" vertical="center"/>
    </xf>
    <xf numFmtId="0" fontId="143" fillId="33" borderId="26" xfId="0" applyFont="1" applyFill="1" applyBorder="1" applyAlignment="1">
      <alignment horizontal="center"/>
    </xf>
    <xf numFmtId="0" fontId="11" fillId="0" borderId="0" xfId="0" applyFont="1" applyAlignment="1">
      <alignment/>
    </xf>
    <xf numFmtId="0" fontId="141" fillId="0" borderId="13" xfId="0" applyFont="1" applyBorder="1" applyAlignment="1">
      <alignment horizontal="center" vertical="center"/>
    </xf>
    <xf numFmtId="181" fontId="4" fillId="0" borderId="0" xfId="0" applyNumberFormat="1" applyFont="1" applyAlignment="1">
      <alignment/>
    </xf>
    <xf numFmtId="0" fontId="5" fillId="0" borderId="0" xfId="0" applyFont="1" applyAlignment="1">
      <alignment horizontal="right"/>
    </xf>
    <xf numFmtId="2" fontId="12" fillId="0" borderId="14" xfId="49" applyNumberFormat="1" applyFont="1" applyBorder="1" applyAlignment="1">
      <alignment/>
    </xf>
    <xf numFmtId="0" fontId="5" fillId="0" borderId="34"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0" xfId="0" applyFont="1" applyAlignment="1">
      <alignment/>
    </xf>
    <xf numFmtId="0" fontId="6" fillId="0" borderId="0" xfId="0" applyFont="1" applyAlignment="1">
      <alignment/>
    </xf>
    <xf numFmtId="1" fontId="6" fillId="0" borderId="0" xfId="0" applyNumberFormat="1" applyFont="1" applyAlignment="1">
      <alignment/>
    </xf>
    <xf numFmtId="0" fontId="67" fillId="0" borderId="0" xfId="0" applyFont="1" applyAlignment="1">
      <alignment/>
    </xf>
    <xf numFmtId="43" fontId="4" fillId="0" borderId="0" xfId="0" applyNumberFormat="1" applyFont="1" applyAlignment="1">
      <alignment/>
    </xf>
    <xf numFmtId="0" fontId="106" fillId="0" borderId="22" xfId="0" applyFont="1" applyBorder="1" applyAlignment="1">
      <alignment horizontal="center" vertical="center" wrapText="1"/>
    </xf>
    <xf numFmtId="0" fontId="107" fillId="0" borderId="0" xfId="0" applyFont="1" applyFill="1" applyAlignment="1">
      <alignment/>
    </xf>
    <xf numFmtId="2" fontId="12" fillId="0" borderId="0" xfId="49" applyNumberFormat="1" applyFont="1" applyBorder="1" applyAlignment="1">
      <alignment/>
    </xf>
    <xf numFmtId="1" fontId="67" fillId="0" borderId="0" xfId="49" applyNumberFormat="1" applyFont="1" applyBorder="1" applyAlignment="1">
      <alignment/>
    </xf>
    <xf numFmtId="0" fontId="4" fillId="0" borderId="0" xfId="0" applyFont="1" applyBorder="1" applyAlignment="1">
      <alignment vertical="center"/>
    </xf>
    <xf numFmtId="177" fontId="4" fillId="34" borderId="0" xfId="0" applyNumberFormat="1" applyFont="1" applyFill="1" applyBorder="1" applyAlignment="1">
      <alignment horizontal="center"/>
    </xf>
    <xf numFmtId="0" fontId="4" fillId="0" borderId="34" xfId="0" applyFont="1" applyBorder="1" applyAlignment="1">
      <alignment vertical="center"/>
    </xf>
    <xf numFmtId="0" fontId="5" fillId="0" borderId="0" xfId="0" applyFont="1" applyBorder="1" applyAlignment="1">
      <alignment horizontal="right"/>
    </xf>
    <xf numFmtId="2" fontId="4" fillId="0" borderId="35" xfId="49" applyNumberFormat="1" applyFont="1" applyBorder="1" applyAlignment="1">
      <alignment horizontal="left"/>
    </xf>
    <xf numFmtId="2" fontId="4" fillId="0" borderId="0" xfId="0" applyNumberFormat="1" applyFont="1" applyBorder="1" applyAlignment="1">
      <alignment horizontal="center" vertical="center"/>
    </xf>
    <xf numFmtId="2" fontId="4" fillId="0" borderId="0" xfId="49" applyNumberFormat="1" applyFont="1" applyBorder="1" applyAlignment="1">
      <alignment horizontal="center"/>
    </xf>
    <xf numFmtId="177" fontId="4" fillId="0" borderId="0" xfId="0" applyNumberFormat="1" applyFont="1" applyBorder="1" applyAlignment="1">
      <alignment horizontal="center"/>
    </xf>
    <xf numFmtId="0" fontId="12" fillId="0" borderId="30" xfId="0" applyFont="1" applyBorder="1" applyAlignment="1">
      <alignment vertical="center"/>
    </xf>
    <xf numFmtId="0" fontId="4" fillId="0" borderId="5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Alignment="1">
      <alignment horizontal="center" vertical="center"/>
    </xf>
    <xf numFmtId="0" fontId="142" fillId="0" borderId="47" xfId="0" applyFont="1" applyBorder="1" applyAlignment="1">
      <alignment horizontal="center" vertical="center"/>
    </xf>
    <xf numFmtId="0" fontId="141" fillId="0" borderId="47" xfId="0" applyFont="1" applyBorder="1" applyAlignment="1">
      <alignment horizontal="center" vertical="center"/>
    </xf>
    <xf numFmtId="0" fontId="155" fillId="0" borderId="0" xfId="0" applyFont="1" applyAlignment="1">
      <alignment/>
    </xf>
    <xf numFmtId="176" fontId="4" fillId="0" borderId="0" xfId="0" applyNumberFormat="1" applyFont="1" applyAlignment="1">
      <alignment/>
    </xf>
    <xf numFmtId="0" fontId="12" fillId="0" borderId="34" xfId="0" applyFont="1" applyBorder="1" applyAlignment="1">
      <alignment/>
    </xf>
    <xf numFmtId="0" fontId="4" fillId="0" borderId="11" xfId="0" applyFont="1" applyBorder="1" applyAlignment="1">
      <alignment horizontal="center" vertical="center"/>
    </xf>
    <xf numFmtId="176" fontId="155" fillId="0" borderId="0" xfId="0" applyNumberFormat="1" applyFont="1" applyAlignment="1">
      <alignment horizontal="right"/>
    </xf>
    <xf numFmtId="177" fontId="4" fillId="34" borderId="0" xfId="0" applyNumberFormat="1" applyFont="1" applyFill="1" applyAlignment="1">
      <alignment horizontal="center"/>
    </xf>
    <xf numFmtId="176" fontId="4" fillId="34" borderId="0" xfId="0" applyNumberFormat="1" applyFont="1" applyFill="1" applyAlignment="1">
      <alignment horizontal="center"/>
    </xf>
    <xf numFmtId="176" fontId="155" fillId="34" borderId="0" xfId="0" applyNumberFormat="1" applyFont="1" applyFill="1" applyAlignment="1">
      <alignment horizontal="center"/>
    </xf>
    <xf numFmtId="0" fontId="155" fillId="0" borderId="0" xfId="0" applyFont="1" applyFill="1" applyBorder="1" applyAlignment="1">
      <alignment/>
    </xf>
    <xf numFmtId="0" fontId="156" fillId="0" borderId="34" xfId="0" applyFont="1" applyFill="1" applyBorder="1" applyAlignment="1">
      <alignment/>
    </xf>
    <xf numFmtId="0" fontId="4" fillId="0" borderId="11" xfId="0" applyFont="1" applyBorder="1" applyAlignment="1">
      <alignment horizontal="center"/>
    </xf>
    <xf numFmtId="43" fontId="4" fillId="0" borderId="0" xfId="49" applyNumberFormat="1" applyFont="1" applyBorder="1" applyAlignment="1">
      <alignment/>
    </xf>
    <xf numFmtId="177" fontId="4" fillId="0" borderId="35" xfId="0" applyNumberFormat="1" applyFont="1" applyBorder="1" applyAlignment="1">
      <alignment/>
    </xf>
    <xf numFmtId="0" fontId="4" fillId="0" borderId="31" xfId="0" applyFont="1" applyBorder="1" applyAlignment="1">
      <alignment/>
    </xf>
    <xf numFmtId="0" fontId="4" fillId="0" borderId="36" xfId="0" applyFont="1" applyBorder="1" applyAlignment="1">
      <alignment horizontal="left"/>
    </xf>
    <xf numFmtId="181" fontId="12" fillId="0" borderId="14" xfId="49" applyNumberFormat="1" applyFont="1" applyBorder="1" applyAlignment="1">
      <alignment/>
    </xf>
    <xf numFmtId="181" fontId="4" fillId="0" borderId="0" xfId="49" applyNumberFormat="1" applyFont="1" applyAlignment="1">
      <alignment/>
    </xf>
    <xf numFmtId="177" fontId="4" fillId="0" borderId="15" xfId="0" applyNumberFormat="1" applyFont="1" applyBorder="1" applyAlignment="1">
      <alignment/>
    </xf>
    <xf numFmtId="43" fontId="4" fillId="0" borderId="0" xfId="0" applyNumberFormat="1" applyFont="1" applyFill="1" applyBorder="1" applyAlignment="1">
      <alignment/>
    </xf>
    <xf numFmtId="0" fontId="12" fillId="0" borderId="0" xfId="0" applyFont="1" applyBorder="1" applyAlignment="1">
      <alignment horizontal="right" vertical="center"/>
    </xf>
    <xf numFmtId="0" fontId="24" fillId="0" borderId="0" xfId="0" applyFont="1" applyFill="1" applyBorder="1" applyAlignment="1">
      <alignment horizontal="center" vertical="center"/>
    </xf>
    <xf numFmtId="197" fontId="12" fillId="34" borderId="0" xfId="49" applyNumberFormat="1" applyFont="1" applyFill="1" applyBorder="1" applyAlignment="1">
      <alignment horizontal="center"/>
    </xf>
    <xf numFmtId="0" fontId="4" fillId="34" borderId="0" xfId="0" applyFont="1" applyFill="1" applyBorder="1" applyAlignment="1">
      <alignment/>
    </xf>
    <xf numFmtId="195" fontId="12" fillId="34" borderId="0" xfId="49" applyNumberFormat="1" applyFont="1" applyFill="1" applyBorder="1" applyAlignment="1">
      <alignment horizontal="center"/>
    </xf>
    <xf numFmtId="0" fontId="4" fillId="0" borderId="0" xfId="0" applyFont="1" applyFill="1" applyAlignment="1">
      <alignment/>
    </xf>
    <xf numFmtId="0" fontId="12" fillId="42" borderId="0" xfId="0" applyFont="1" applyFill="1" applyBorder="1" applyAlignment="1">
      <alignment horizontal="right" vertical="center"/>
    </xf>
    <xf numFmtId="0" fontId="4" fillId="42" borderId="0" xfId="0" applyFont="1" applyFill="1" applyBorder="1" applyAlignment="1">
      <alignment horizontal="right"/>
    </xf>
    <xf numFmtId="177" fontId="12" fillId="42" borderId="0" xfId="0" applyNumberFormat="1" applyFont="1" applyFill="1" applyBorder="1" applyAlignment="1">
      <alignment horizontal="center"/>
    </xf>
    <xf numFmtId="176" fontId="4" fillId="0" borderId="0" xfId="0" applyNumberFormat="1" applyFont="1" applyBorder="1" applyAlignment="1">
      <alignment horizontal="right"/>
    </xf>
    <xf numFmtId="2" fontId="4" fillId="46" borderId="0" xfId="0" applyNumberFormat="1" applyFont="1" applyFill="1" applyAlignment="1">
      <alignment/>
    </xf>
    <xf numFmtId="0" fontId="12" fillId="0" borderId="11" xfId="0" applyFont="1" applyBorder="1" applyAlignment="1">
      <alignment horizontal="center"/>
    </xf>
    <xf numFmtId="0" fontId="12" fillId="0" borderId="42" xfId="0" applyFont="1" applyBorder="1" applyAlignment="1">
      <alignment horizontal="center"/>
    </xf>
    <xf numFmtId="0" fontId="4" fillId="0" borderId="11" xfId="0" applyFont="1" applyBorder="1" applyAlignment="1">
      <alignment horizontal="center"/>
    </xf>
    <xf numFmtId="0" fontId="4" fillId="0" borderId="42" xfId="0" applyFont="1" applyBorder="1" applyAlignment="1">
      <alignment horizontal="center"/>
    </xf>
    <xf numFmtId="0" fontId="4" fillId="0" borderId="0" xfId="0" applyFont="1" applyFill="1" applyBorder="1" applyAlignment="1">
      <alignment vertical="center"/>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2" fillId="0" borderId="55" xfId="0" applyFont="1" applyBorder="1" applyAlignment="1">
      <alignment horizontal="center"/>
    </xf>
    <xf numFmtId="0" fontId="12" fillId="0" borderId="50" xfId="0" applyFont="1" applyBorder="1" applyAlignment="1">
      <alignment horizontal="center"/>
    </xf>
    <xf numFmtId="0" fontId="12" fillId="0" borderId="51" xfId="0" applyFont="1" applyBorder="1" applyAlignment="1">
      <alignment horizontal="center"/>
    </xf>
    <xf numFmtId="0" fontId="12" fillId="0" borderId="24" xfId="0" applyFont="1" applyBorder="1" applyAlignment="1">
      <alignment horizontal="center"/>
    </xf>
    <xf numFmtId="0" fontId="12" fillId="0" borderId="11" xfId="0" applyFont="1" applyBorder="1" applyAlignment="1">
      <alignment horizontal="center"/>
    </xf>
    <xf numFmtId="0" fontId="12" fillId="0" borderId="42" xfId="0" applyFont="1" applyBorder="1" applyAlignment="1">
      <alignment horizontal="center"/>
    </xf>
    <xf numFmtId="0" fontId="4" fillId="0" borderId="43" xfId="0" applyFont="1" applyBorder="1" applyAlignment="1">
      <alignment horizontal="justify" vertical="center"/>
    </xf>
    <xf numFmtId="0" fontId="4" fillId="0" borderId="44" xfId="0" applyFont="1" applyBorder="1" applyAlignment="1">
      <alignment horizontal="justify" vertical="center"/>
    </xf>
    <xf numFmtId="0" fontId="12" fillId="0" borderId="24" xfId="0" applyFont="1" applyBorder="1" applyAlignment="1">
      <alignment horizontal="justify" vertical="center"/>
    </xf>
    <xf numFmtId="0" fontId="4" fillId="0" borderId="11" xfId="0" applyFont="1" applyBorder="1" applyAlignment="1">
      <alignment horizontal="justify" vertical="center"/>
    </xf>
    <xf numFmtId="0" fontId="12" fillId="0" borderId="11" xfId="0" applyFont="1" applyBorder="1" applyAlignment="1">
      <alignment horizontal="justify" vertical="center"/>
    </xf>
    <xf numFmtId="0" fontId="4" fillId="0" borderId="42" xfId="0" applyFont="1" applyBorder="1" applyAlignment="1">
      <alignment horizontal="justify" vertical="center"/>
    </xf>
    <xf numFmtId="0" fontId="4" fillId="0" borderId="11" xfId="0" applyFont="1" applyBorder="1" applyAlignment="1">
      <alignment horizontal="center"/>
    </xf>
    <xf numFmtId="0" fontId="4" fillId="0" borderId="42"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12" fillId="0" borderId="43" xfId="0" applyFont="1" applyBorder="1" applyAlignment="1">
      <alignment horizontal="justify" vertical="center"/>
    </xf>
    <xf numFmtId="0" fontId="12" fillId="0" borderId="13" xfId="0" applyFont="1" applyBorder="1" applyAlignment="1">
      <alignment horizontal="center" vertical="distributed"/>
    </xf>
    <xf numFmtId="0" fontId="12" fillId="0" borderId="17" xfId="0" applyFont="1" applyBorder="1" applyAlignment="1">
      <alignment horizontal="center" vertical="distributed"/>
    </xf>
    <xf numFmtId="0" fontId="12" fillId="0" borderId="10" xfId="0" applyFont="1" applyBorder="1" applyAlignment="1">
      <alignment horizontal="center" vertical="distributed"/>
    </xf>
    <xf numFmtId="0" fontId="12" fillId="0" borderId="12" xfId="0" applyFont="1" applyBorder="1" applyAlignment="1">
      <alignment horizontal="center" vertical="distributed"/>
    </xf>
    <xf numFmtId="0" fontId="17" fillId="0" borderId="10" xfId="0" applyFont="1" applyBorder="1" applyAlignment="1">
      <alignment horizontal="center"/>
    </xf>
    <xf numFmtId="0" fontId="17" fillId="0" borderId="15" xfId="0" applyFont="1" applyBorder="1" applyAlignment="1">
      <alignment horizontal="center"/>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26" fillId="0" borderId="22" xfId="0" applyFont="1" applyBorder="1" applyAlignment="1">
      <alignment horizontal="center" vertical="distributed"/>
    </xf>
    <xf numFmtId="0" fontId="26" fillId="0" borderId="11" xfId="0" applyFont="1" applyBorder="1" applyAlignment="1">
      <alignment horizontal="center" vertical="distributed"/>
    </xf>
    <xf numFmtId="0" fontId="19" fillId="0" borderId="10" xfId="0" applyFont="1" applyBorder="1" applyAlignment="1">
      <alignment horizontal="left"/>
    </xf>
    <xf numFmtId="0" fontId="19" fillId="0" borderId="32" xfId="0" applyFont="1" applyBorder="1" applyAlignment="1">
      <alignment horizontal="left"/>
    </xf>
    <xf numFmtId="0" fontId="19" fillId="0" borderId="33" xfId="0" applyFont="1" applyBorder="1" applyAlignment="1">
      <alignment horizontal="left"/>
    </xf>
    <xf numFmtId="0" fontId="30" fillId="0" borderId="10"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1" xfId="0" applyFont="1" applyBorder="1" applyAlignment="1">
      <alignment horizontal="center" vertical="center" wrapText="1"/>
    </xf>
    <xf numFmtId="0" fontId="12" fillId="0" borderId="0" xfId="0" applyFont="1" applyFill="1" applyBorder="1" applyAlignment="1">
      <alignment horizontal="center"/>
    </xf>
    <xf numFmtId="0" fontId="108" fillId="0" borderId="47"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56" xfId="0" applyFont="1" applyFill="1" applyBorder="1" applyAlignment="1">
      <alignment horizontal="center" vertical="center"/>
    </xf>
    <xf numFmtId="43" fontId="12" fillId="0" borderId="14" xfId="0" applyNumberFormat="1" applyFont="1" applyFill="1" applyBorder="1" applyAlignment="1">
      <alignment horizontal="center" vertical="center"/>
    </xf>
    <xf numFmtId="0" fontId="4" fillId="32" borderId="11" xfId="0" applyFont="1" applyFill="1" applyBorder="1" applyAlignment="1">
      <alignment horizontal="center"/>
    </xf>
    <xf numFmtId="0" fontId="12" fillId="32" borderId="11" xfId="0" applyFont="1" applyFill="1" applyBorder="1" applyAlignment="1">
      <alignment horizontal="center"/>
    </xf>
    <xf numFmtId="43" fontId="157" fillId="0" borderId="14" xfId="0" applyNumberFormat="1" applyFont="1" applyFill="1" applyBorder="1" applyAlignment="1">
      <alignment horizontal="center" vertical="center"/>
    </xf>
    <xf numFmtId="0" fontId="158" fillId="0" borderId="0" xfId="0" applyFont="1" applyFill="1" applyBorder="1" applyAlignment="1">
      <alignment horizontal="center"/>
    </xf>
    <xf numFmtId="0" fontId="157" fillId="0" borderId="0" xfId="0" applyFont="1" applyFill="1" applyBorder="1" applyAlignment="1">
      <alignment horizontal="center"/>
    </xf>
    <xf numFmtId="0" fontId="159" fillId="0" borderId="14" xfId="0" applyFont="1" applyFill="1" applyBorder="1" applyAlignment="1">
      <alignment horizontal="center" vertical="center"/>
    </xf>
    <xf numFmtId="0" fontId="154" fillId="0" borderId="0" xfId="0" applyFont="1" applyFill="1" applyBorder="1" applyAlignment="1">
      <alignment horizontal="center"/>
    </xf>
    <xf numFmtId="43" fontId="108" fillId="0" borderId="11" xfId="0" applyNumberFormat="1" applyFont="1" applyFill="1" applyBorder="1" applyAlignment="1">
      <alignment horizontal="center" vertical="distributed"/>
    </xf>
    <xf numFmtId="0" fontId="4" fillId="0" borderId="11" xfId="0" applyFont="1" applyFill="1" applyBorder="1" applyAlignment="1">
      <alignment horizontal="center" vertical="center"/>
    </xf>
    <xf numFmtId="181" fontId="4" fillId="34" borderId="11" xfId="0" applyNumberFormat="1" applyFont="1" applyFill="1" applyBorder="1" applyAlignment="1">
      <alignment horizontal="center"/>
    </xf>
    <xf numFmtId="43" fontId="4" fillId="39" borderId="11" xfId="0" applyNumberFormat="1" applyFont="1" applyFill="1" applyBorder="1" applyAlignment="1">
      <alignment/>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167" fontId="12" fillId="0" borderId="0" xfId="0" applyNumberFormat="1" applyFont="1" applyFill="1" applyBorder="1" applyAlignment="1">
      <alignment horizontal="left" vertical="center"/>
    </xf>
    <xf numFmtId="43" fontId="12" fillId="0" borderId="14" xfId="0" applyNumberFormat="1" applyFont="1" applyFill="1" applyBorder="1" applyAlignment="1">
      <alignment horizontal="center" vertical="center" wrapText="1"/>
    </xf>
    <xf numFmtId="0" fontId="106" fillId="0" borderId="0" xfId="0" applyFont="1" applyFill="1" applyBorder="1" applyAlignment="1">
      <alignment horizontal="right"/>
    </xf>
    <xf numFmtId="2" fontId="12" fillId="34" borderId="11" xfId="0" applyNumberFormat="1" applyFont="1" applyFill="1" applyBorder="1" applyAlignment="1">
      <alignment/>
    </xf>
    <xf numFmtId="0" fontId="100" fillId="0" borderId="0" xfId="0" applyFont="1" applyFill="1" applyBorder="1" applyAlignment="1">
      <alignment/>
    </xf>
    <xf numFmtId="0" fontId="51" fillId="0" borderId="0" xfId="0" applyFont="1" applyFill="1" applyBorder="1" applyAlignment="1">
      <alignment horizontal="right"/>
    </xf>
    <xf numFmtId="0" fontId="46" fillId="0" borderId="0" xfId="0" applyFont="1" applyFill="1" applyBorder="1" applyAlignment="1">
      <alignment horizontal="right"/>
    </xf>
    <xf numFmtId="0" fontId="4" fillId="0" borderId="10" xfId="0" applyFont="1" applyFill="1" applyBorder="1" applyAlignment="1">
      <alignment horizontal="right"/>
    </xf>
    <xf numFmtId="0" fontId="4" fillId="0" borderId="12" xfId="0" applyFont="1" applyFill="1" applyBorder="1" applyAlignment="1">
      <alignment horizontal="right" vertical="center"/>
    </xf>
    <xf numFmtId="177" fontId="12" fillId="36"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2" fontId="12" fillId="44" borderId="12" xfId="0" applyNumberFormat="1" applyFont="1" applyFill="1" applyBorder="1" applyAlignment="1">
      <alignment horizontal="center" vertical="center"/>
    </xf>
    <xf numFmtId="0" fontId="4" fillId="0" borderId="15" xfId="0" applyFont="1" applyFill="1" applyBorder="1" applyAlignment="1">
      <alignment vertical="center"/>
    </xf>
    <xf numFmtId="177" fontId="12" fillId="43" borderId="12" xfId="0" applyNumberFormat="1" applyFont="1" applyFill="1" applyBorder="1" applyAlignment="1">
      <alignment horizontal="center" vertical="center"/>
    </xf>
    <xf numFmtId="176" fontId="155" fillId="0" borderId="0" xfId="0" applyNumberFormat="1" applyFont="1" applyAlignment="1">
      <alignment/>
    </xf>
    <xf numFmtId="0" fontId="4" fillId="0" borderId="0" xfId="0" applyFont="1" applyAlignment="1">
      <alignment horizontal="righ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órmulas y cálculos" xfId="54"/>
    <cellStyle name="Normal_Hoja1"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Curva de regresión lineal simple, que explica la variación de "y" según varía "x"</a:t>
            </a:r>
          </a:p>
        </c:rich>
      </c:tx>
      <c:layout>
        <c:manualLayout>
          <c:xMode val="factor"/>
          <c:yMode val="factor"/>
          <c:x val="-0.00425"/>
          <c:y val="-0.0155"/>
        </c:manualLayout>
      </c:layout>
      <c:spPr>
        <a:noFill/>
        <a:ln>
          <a:noFill/>
        </a:ln>
      </c:spPr>
    </c:title>
    <c:plotArea>
      <c:layout>
        <c:manualLayout>
          <c:xMode val="edge"/>
          <c:yMode val="edge"/>
          <c:x val="-0.00425"/>
          <c:y val="0.20725"/>
          <c:w val="0.97375"/>
          <c:h val="0.79075"/>
        </c:manualLayout>
      </c:layout>
      <c:scatterChart>
        <c:scatterStyle val="lineMarker"/>
        <c:varyColors val="0"/>
        <c:ser>
          <c:idx val="0"/>
          <c:order val="0"/>
          <c:tx>
            <c:strRef>
              <c:f>'contraste r'!$C$9</c:f>
              <c:strCache>
                <c:ptCount val="1"/>
                <c:pt idx="0">
                  <c:v>Me gusta organizar los eventos por Facebook</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trendline>
            <c:spPr>
              <a:ln w="12700">
                <a:solidFill>
                  <a:srgbClr val="666699"/>
                </a:solidFill>
                <a:prstDash val="sysDot"/>
              </a:ln>
            </c:spPr>
            <c:trendlineType val="linear"/>
            <c:dispEq val="1"/>
            <c:dispRSqr val="1"/>
            <c:trendlineLbl>
              <c:layout>
                <c:manualLayout>
                  <c:x val="0"/>
                  <c:y val="0"/>
                </c:manualLayout>
              </c:layout>
              <c:txPr>
                <a:bodyPr vert="horz" rot="0" anchor="ctr"/>
                <a:lstStyle/>
                <a:p>
                  <a:pPr algn="ctr">
                    <a:defRPr lang="en-US" cap="none" sz="1400" b="1" i="0" u="none" baseline="0">
                      <a:solidFill>
                        <a:srgbClr val="993300"/>
                      </a:solidFill>
                    </a:defRPr>
                  </a:pPr>
                </a:p>
              </c:txPr>
              <c:numFmt formatCode="General"/>
            </c:trendlineLbl>
          </c:trendline>
          <c:xVal>
            <c:numRef>
              <c:f>'contraste r'!$B$10:$B$38</c:f>
              <c:numCache/>
            </c:numRef>
          </c:xVal>
          <c:yVal>
            <c:numRef>
              <c:f>'contraste r'!$C$10:$C$38</c:f>
              <c:numCache/>
            </c:numRef>
          </c:yVal>
          <c:smooth val="0"/>
        </c:ser>
        <c:axId val="56185727"/>
        <c:axId val="59325812"/>
      </c:scatterChart>
      <c:valAx>
        <c:axId val="56185727"/>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325812"/>
        <c:crosses val="autoZero"/>
        <c:crossBetween val="midCat"/>
        <c:dispUnits/>
      </c:valAx>
      <c:valAx>
        <c:axId val="593258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185727"/>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Curva de regresión lineal simple, que explica la variación de "y" según varía "x"</a:t>
            </a:r>
          </a:p>
        </c:rich>
      </c:tx>
      <c:layout>
        <c:manualLayout>
          <c:xMode val="factor"/>
          <c:yMode val="factor"/>
          <c:x val="0.02975"/>
          <c:y val="-0.01525"/>
        </c:manualLayout>
      </c:layout>
      <c:spPr>
        <a:noFill/>
        <a:ln>
          <a:noFill/>
        </a:ln>
      </c:spPr>
    </c:title>
    <c:plotArea>
      <c:layout>
        <c:manualLayout>
          <c:xMode val="edge"/>
          <c:yMode val="edge"/>
          <c:x val="0.0035"/>
          <c:y val="0.19175"/>
          <c:w val="0.9755"/>
          <c:h val="0.812"/>
        </c:manualLayout>
      </c:layout>
      <c:scatterChart>
        <c:scatterStyle val="lineMarker"/>
        <c:varyColors val="0"/>
        <c:ser>
          <c:idx val="0"/>
          <c:order val="0"/>
          <c:tx>
            <c:strRef>
              <c:f>'contraste r'!$C$53</c:f>
              <c:strCache>
                <c:ptCount val="1"/>
                <c:pt idx="0">
                  <c:v>Con que frecuencia actualizas información en Facebook</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trendline>
            <c:spPr>
              <a:ln w="12700">
                <a:solidFill>
                  <a:srgbClr val="666699"/>
                </a:solidFill>
                <a:prstDash val="sysDot"/>
              </a:ln>
            </c:spPr>
            <c:trendlineType val="linear"/>
            <c:dispEq val="1"/>
            <c:dispRSqr val="1"/>
            <c:trendlineLbl>
              <c:layout>
                <c:manualLayout>
                  <c:x val="0"/>
                  <c:y val="0"/>
                </c:manualLayout>
              </c:layout>
              <c:txPr>
                <a:bodyPr vert="horz" rot="0" anchor="ctr"/>
                <a:lstStyle/>
                <a:p>
                  <a:pPr algn="ctr">
                    <a:defRPr lang="en-US" cap="none" sz="1400" b="1" i="0" u="none" baseline="0">
                      <a:solidFill>
                        <a:srgbClr val="993300"/>
                      </a:solidFill>
                    </a:defRPr>
                  </a:pPr>
                </a:p>
              </c:txPr>
              <c:numFmt formatCode="General"/>
            </c:trendlineLbl>
          </c:trendline>
          <c:xVal>
            <c:numRef>
              <c:f>'contraste r'!$B$54:$B$82</c:f>
              <c:numCache/>
            </c:numRef>
          </c:xVal>
          <c:yVal>
            <c:numRef>
              <c:f>'contraste r'!$C$54:$C$82</c:f>
              <c:numCache/>
            </c:numRef>
          </c:yVal>
          <c:smooth val="0"/>
        </c:ser>
        <c:axId val="33038053"/>
        <c:axId val="26841506"/>
      </c:scatterChart>
      <c:valAx>
        <c:axId val="33038053"/>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841506"/>
        <c:crosses val="autoZero"/>
        <c:crossBetween val="midCat"/>
        <c:dispUnits/>
      </c:valAx>
      <c:valAx>
        <c:axId val="2684150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038053"/>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Curva de regresión lineal simple que explica la variación de MMSE según varía Bartel</a:t>
            </a:r>
          </a:p>
        </c:rich>
      </c:tx>
      <c:layout>
        <c:manualLayout>
          <c:xMode val="factor"/>
          <c:yMode val="factor"/>
          <c:x val="-0.02875"/>
          <c:y val="0"/>
        </c:manualLayout>
      </c:layout>
      <c:spPr>
        <a:noFill/>
        <a:ln w="3175">
          <a:noFill/>
        </a:ln>
      </c:spPr>
    </c:title>
    <c:plotArea>
      <c:layout>
        <c:manualLayout>
          <c:xMode val="edge"/>
          <c:yMode val="edge"/>
          <c:x val="0.0035"/>
          <c:y val="0.1945"/>
          <c:w val="0.98125"/>
          <c:h val="0.81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trendline>
            <c:spPr>
              <a:ln w="12700">
                <a:solidFill>
                  <a:srgbClr val="666699"/>
                </a:solidFill>
                <a:prstDash val="sysDot"/>
              </a:ln>
            </c:spPr>
            <c:trendlineType val="linear"/>
            <c:dispEq val="1"/>
            <c:dispRSqr val="1"/>
            <c:trendlineLbl>
              <c:layout>
                <c:manualLayout>
                  <c:x val="0"/>
                  <c:y val="0"/>
                </c:manualLayout>
              </c:layout>
              <c:tx>
                <c:rich>
                  <a:bodyPr vert="horz" rot="0" anchor="ctr"/>
                  <a:lstStyle/>
                  <a:p>
                    <a:pPr algn="ctr">
                      <a:defRPr/>
                    </a:pPr>
                    <a:r>
                      <a:rPr lang="en-US" cap="none" sz="1600" b="1" i="0" u="none" baseline="0">
                        <a:solidFill>
                          <a:srgbClr val="993300"/>
                        </a:solidFill>
                      </a:rPr>
                      <a:t>y = 0,4379x - 7,6391
R² = 0,9126</a:t>
                    </a:r>
                  </a:p>
                </c:rich>
              </c:tx>
              <c:numFmt formatCode="General"/>
              <c:spPr>
                <a:noFill/>
                <a:ln w="3175">
                  <a:noFill/>
                </a:ln>
              </c:spPr>
            </c:trendlineLbl>
          </c:trendline>
          <c:trendline>
            <c:spPr>
              <a:ln w="12700">
                <a:solidFill>
                  <a:srgbClr val="666699"/>
                </a:solidFill>
                <a:prstDash val="sysDot"/>
              </a:ln>
            </c:spPr>
            <c:trendlineType val="linear"/>
            <c:dispEq val="0"/>
            <c:dispRSqr val="0"/>
          </c:trendline>
          <c:xVal>
            <c:numLit>
              <c:ptCount val="12"/>
              <c:pt idx="0">
                <c:v>20</c:v>
              </c:pt>
              <c:pt idx="1">
                <c:v>30</c:v>
              </c:pt>
              <c:pt idx="2">
                <c:v>35</c:v>
              </c:pt>
              <c:pt idx="3">
                <c:v>40</c:v>
              </c:pt>
              <c:pt idx="4">
                <c:v>45</c:v>
              </c:pt>
              <c:pt idx="5">
                <c:v>50</c:v>
              </c:pt>
              <c:pt idx="6">
                <c:v>55</c:v>
              </c:pt>
              <c:pt idx="7">
                <c:v>60</c:v>
              </c:pt>
              <c:pt idx="8">
                <c:v>65</c:v>
              </c:pt>
              <c:pt idx="9">
                <c:v>70</c:v>
              </c:pt>
              <c:pt idx="10">
                <c:v>75</c:v>
              </c:pt>
              <c:pt idx="11">
                <c:v>80</c:v>
              </c:pt>
            </c:numLit>
          </c:xVal>
          <c:yVal>
            <c:numLit>
              <c:ptCount val="12"/>
              <c:pt idx="0">
                <c:v>5</c:v>
              </c:pt>
              <c:pt idx="1">
                <c:v>7</c:v>
              </c:pt>
              <c:pt idx="2">
                <c:v>1</c:v>
              </c:pt>
              <c:pt idx="3">
                <c:v>11</c:v>
              </c:pt>
              <c:pt idx="4">
                <c:v>12</c:v>
              </c:pt>
              <c:pt idx="5">
                <c:v>14</c:v>
              </c:pt>
              <c:pt idx="6">
                <c:v>16</c:v>
              </c:pt>
              <c:pt idx="7">
                <c:v>17</c:v>
              </c:pt>
              <c:pt idx="8">
                <c:v>20</c:v>
              </c:pt>
              <c:pt idx="9">
                <c:v>24</c:v>
              </c:pt>
              <c:pt idx="10">
                <c:v>26</c:v>
              </c:pt>
              <c:pt idx="11">
                <c:v>29</c:v>
              </c:pt>
            </c:numLit>
          </c:yVal>
          <c:smooth val="0"/>
        </c:ser>
        <c:axId val="13395259"/>
        <c:axId val="39920640"/>
      </c:scatterChart>
      <c:valAx>
        <c:axId val="13395259"/>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920640"/>
        <c:crosses val="autoZero"/>
        <c:crossBetween val="midCat"/>
        <c:dispUnits/>
      </c:valAx>
      <c:valAx>
        <c:axId val="399206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395259"/>
        <c:crosses val="autoZero"/>
        <c:crossBetween val="midCat"/>
        <c:dispUnits/>
      </c:valAx>
      <c:spPr>
        <a:noFill/>
        <a:ln w="12700">
          <a:solidFill>
            <a:srgbClr val="000000"/>
          </a:solidFill>
        </a:ln>
      </c:spPr>
    </c:plotArea>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Curva de regresión lineal simple que explica la variación de Bartel según varía MMSE</a:t>
            </a:r>
          </a:p>
        </c:rich>
      </c:tx>
      <c:layout>
        <c:manualLayout>
          <c:xMode val="factor"/>
          <c:yMode val="factor"/>
          <c:x val="0.004"/>
          <c:y val="-0.00925"/>
        </c:manualLayout>
      </c:layout>
      <c:spPr>
        <a:noFill/>
        <a:ln w="3175">
          <a:noFill/>
        </a:ln>
      </c:spPr>
    </c:title>
    <c:plotArea>
      <c:layout>
        <c:manualLayout>
          <c:xMode val="edge"/>
          <c:yMode val="edge"/>
          <c:x val="0.00325"/>
          <c:y val="0.16025"/>
          <c:w val="0.97625"/>
          <c:h val="0.847"/>
        </c:manualLayout>
      </c:layout>
      <c:scatterChart>
        <c:scatterStyle val="lineMarker"/>
        <c:varyColors val="0"/>
        <c:ser>
          <c:idx val="0"/>
          <c:order val="0"/>
          <c:tx>
            <c:v>Bartel</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trendline>
            <c:spPr>
              <a:ln w="12700">
                <a:solidFill>
                  <a:srgbClr val="666699"/>
                </a:solidFill>
                <a:prstDash val="sysDot"/>
              </a:ln>
            </c:spPr>
            <c:trendlineType val="linear"/>
            <c:dispEq val="1"/>
            <c:dispRSqr val="1"/>
            <c:trendlineLbl>
              <c:layout>
                <c:manualLayout>
                  <c:x val="0"/>
                  <c:y val="0"/>
                </c:manualLayout>
              </c:layout>
              <c:txPr>
                <a:bodyPr vert="horz" rot="0" anchor="ctr"/>
                <a:lstStyle/>
                <a:p>
                  <a:pPr algn="ctr">
                    <a:defRPr lang="en-US" cap="none" sz="1400" b="1" i="0" u="none" baseline="0">
                      <a:solidFill>
                        <a:srgbClr val="0066CC"/>
                      </a:solidFill>
                    </a:defRPr>
                  </a:pPr>
                </a:p>
              </c:txPr>
              <c:numFmt formatCode="General"/>
              <c:spPr>
                <a:noFill/>
                <a:ln w="3175">
                  <a:noFill/>
                </a:ln>
              </c:spPr>
            </c:trendlineLbl>
          </c:trendline>
          <c:xVal>
            <c:numLit>
              <c:ptCount val="12"/>
              <c:pt idx="0">
                <c:v>5</c:v>
              </c:pt>
              <c:pt idx="1">
                <c:v>7</c:v>
              </c:pt>
              <c:pt idx="2">
                <c:v>1</c:v>
              </c:pt>
              <c:pt idx="3">
                <c:v>11</c:v>
              </c:pt>
              <c:pt idx="4">
                <c:v>12</c:v>
              </c:pt>
              <c:pt idx="5">
                <c:v>14</c:v>
              </c:pt>
              <c:pt idx="6">
                <c:v>16</c:v>
              </c:pt>
              <c:pt idx="7">
                <c:v>17</c:v>
              </c:pt>
              <c:pt idx="8">
                <c:v>20</c:v>
              </c:pt>
              <c:pt idx="9">
                <c:v>24</c:v>
              </c:pt>
              <c:pt idx="10">
                <c:v>26</c:v>
              </c:pt>
              <c:pt idx="11">
                <c:v>29</c:v>
              </c:pt>
            </c:numLit>
          </c:xVal>
          <c:yVal>
            <c:numLit>
              <c:ptCount val="12"/>
              <c:pt idx="0">
                <c:v>20</c:v>
              </c:pt>
              <c:pt idx="1">
                <c:v>30</c:v>
              </c:pt>
              <c:pt idx="2">
                <c:v>35</c:v>
              </c:pt>
              <c:pt idx="3">
                <c:v>40</c:v>
              </c:pt>
              <c:pt idx="4">
                <c:v>45</c:v>
              </c:pt>
              <c:pt idx="5">
                <c:v>50</c:v>
              </c:pt>
              <c:pt idx="6">
                <c:v>55</c:v>
              </c:pt>
              <c:pt idx="7">
                <c:v>60</c:v>
              </c:pt>
              <c:pt idx="8">
                <c:v>65</c:v>
              </c:pt>
              <c:pt idx="9">
                <c:v>70</c:v>
              </c:pt>
              <c:pt idx="10">
                <c:v>75</c:v>
              </c:pt>
              <c:pt idx="11">
                <c:v>80</c:v>
              </c:pt>
            </c:numLit>
          </c:yVal>
          <c:smooth val="0"/>
        </c:ser>
        <c:axId val="49206273"/>
        <c:axId val="35701774"/>
      </c:scatterChart>
      <c:valAx>
        <c:axId val="49206273"/>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701774"/>
        <c:crosses val="autoZero"/>
        <c:crossBetween val="midCat"/>
        <c:dispUnits/>
      </c:valAx>
      <c:valAx>
        <c:axId val="357017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206273"/>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Correlación y recta de regresión entre el rango de y sobre el rango de x</a:t>
            </a:r>
          </a:p>
        </c:rich>
      </c:tx>
      <c:layout>
        <c:manualLayout>
          <c:xMode val="factor"/>
          <c:yMode val="factor"/>
          <c:x val="-0.002"/>
          <c:y val="-0.01075"/>
        </c:manualLayout>
      </c:layout>
      <c:spPr>
        <a:noFill/>
        <a:ln>
          <a:noFill/>
        </a:ln>
      </c:spPr>
    </c:title>
    <c:plotArea>
      <c:layout>
        <c:manualLayout>
          <c:xMode val="edge"/>
          <c:yMode val="edge"/>
          <c:x val="0.06375"/>
          <c:y val="0.174"/>
          <c:w val="0.91775"/>
          <c:h val="0.73325"/>
        </c:manualLayout>
      </c:layout>
      <c:scatterChart>
        <c:scatterStyle val="lineMarker"/>
        <c:varyColors val="0"/>
        <c:ser>
          <c:idx val="0"/>
          <c:order val="0"/>
          <c:tx>
            <c:strRef>
              <c:f>'[1]rho Spearman'!$E$321</c:f>
              <c:strCache>
                <c:ptCount val="1"/>
                <c:pt idx="0">
                  <c:v>rango y</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trendline>
            <c:spPr>
              <a:ln w="12700">
                <a:solidFill>
                  <a:srgbClr val="666699"/>
                </a:solidFill>
                <a:prstDash val="sysDot"/>
              </a:ln>
            </c:spPr>
            <c:trendlineType val="linear"/>
            <c:dispEq val="1"/>
            <c:dispRSqr val="1"/>
            <c:trendlineLbl>
              <c:layout>
                <c:manualLayout>
                  <c:x val="0"/>
                  <c:y val="0"/>
                </c:manualLayout>
              </c:layout>
              <c:tx>
                <c:rich>
                  <a:bodyPr vert="horz" rot="0" anchor="ctr"/>
                  <a:lstStyle/>
                  <a:p>
                    <a:pPr algn="ctr">
                      <a:defRPr/>
                    </a:pPr>
                    <a:r>
                      <a:rPr lang="en-US" cap="none" sz="900" b="0" i="0" u="none" baseline="0">
                        <a:solidFill>
                          <a:srgbClr val="993300"/>
                        </a:solidFill>
                      </a:rPr>
                      <a:t>y = 0,4884x + 4,093
R² = 0,2385</a:t>
                    </a:r>
                  </a:p>
                </c:rich>
              </c:tx>
              <c:numFmt formatCode="General"/>
            </c:trendlineLbl>
          </c:trendline>
          <c:xVal>
            <c:numRef>
              <c:f>'[1]rho Spearman'!$D$322:$D$336</c:f>
              <c:numCache>
                <c:ptCount val="15"/>
                <c:pt idx="0">
                  <c:v>3</c:v>
                </c:pt>
                <c:pt idx="1">
                  <c:v>9</c:v>
                </c:pt>
                <c:pt idx="2">
                  <c:v>6</c:v>
                </c:pt>
                <c:pt idx="3">
                  <c:v>5</c:v>
                </c:pt>
                <c:pt idx="4">
                  <c:v>8</c:v>
                </c:pt>
                <c:pt idx="5">
                  <c:v>7</c:v>
                </c:pt>
                <c:pt idx="6">
                  <c:v>1.5</c:v>
                </c:pt>
                <c:pt idx="7">
                  <c:v>15</c:v>
                </c:pt>
                <c:pt idx="8">
                  <c:v>10</c:v>
                </c:pt>
                <c:pt idx="9">
                  <c:v>1.5</c:v>
                </c:pt>
                <c:pt idx="10">
                  <c:v>4</c:v>
                </c:pt>
                <c:pt idx="11">
                  <c:v>12</c:v>
                </c:pt>
                <c:pt idx="12">
                  <c:v>11</c:v>
                </c:pt>
                <c:pt idx="13">
                  <c:v>13</c:v>
                </c:pt>
                <c:pt idx="14">
                  <c:v>14</c:v>
                </c:pt>
              </c:numCache>
            </c:numRef>
          </c:xVal>
          <c:yVal>
            <c:numRef>
              <c:f>'[1]rho Spearman'!$E$322:$E$336</c:f>
              <c:numCache>
                <c:ptCount val="15"/>
                <c:pt idx="0">
                  <c:v>1.5</c:v>
                </c:pt>
                <c:pt idx="1">
                  <c:v>1.5</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yVal>
          <c:smooth val="0"/>
        </c:ser>
        <c:axId val="61469879"/>
        <c:axId val="60910924"/>
      </c:scatterChart>
      <c:valAx>
        <c:axId val="61469879"/>
        <c:scaling>
          <c:orientation val="minMax"/>
        </c:scaling>
        <c:axPos val="b"/>
        <c:title>
          <c:tx>
            <c:rich>
              <a:bodyPr vert="horz" rot="0" anchor="ctr"/>
              <a:lstStyle/>
              <a:p>
                <a:pPr algn="ctr">
                  <a:defRPr/>
                </a:pPr>
                <a:r>
                  <a:rPr lang="en-US" cap="none" sz="1000" b="1" i="0" u="none" baseline="0">
                    <a:solidFill>
                      <a:srgbClr val="FF0000"/>
                    </a:solidFill>
                  </a:rPr>
                  <a:t>Rango de x: precio real</a:t>
                </a:r>
              </a:p>
            </c:rich>
          </c:tx>
          <c:layout>
            <c:manualLayout>
              <c:xMode val="factor"/>
              <c:yMode val="factor"/>
              <c:x val="-0.008"/>
              <c:y val="0.004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FF0000"/>
                </a:solidFill>
              </a:defRPr>
            </a:pPr>
          </a:p>
        </c:txPr>
        <c:crossAx val="60910924"/>
        <c:crosses val="autoZero"/>
        <c:crossBetween val="midCat"/>
        <c:dispUnits/>
      </c:valAx>
      <c:valAx>
        <c:axId val="60910924"/>
        <c:scaling>
          <c:orientation val="minMax"/>
        </c:scaling>
        <c:axPos val="l"/>
        <c:title>
          <c:tx>
            <c:rich>
              <a:bodyPr vert="horz" rot="-5400000" anchor="ctr"/>
              <a:lstStyle/>
              <a:p>
                <a:pPr algn="ctr">
                  <a:defRPr/>
                </a:pPr>
                <a:r>
                  <a:rPr lang="en-US" cap="none" sz="1000" b="1" i="0" u="none" baseline="0">
                    <a:solidFill>
                      <a:srgbClr val="008000"/>
                    </a:solidFill>
                  </a:rPr>
                  <a:t>Rango de y: Influencia el precio</a:t>
                </a:r>
              </a:p>
            </c:rich>
          </c:tx>
          <c:layout>
            <c:manualLayout>
              <c:xMode val="factor"/>
              <c:yMode val="factor"/>
              <c:x val="-0.0035"/>
              <c:y val="-0.012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008000"/>
                </a:solidFill>
              </a:defRPr>
            </a:pPr>
          </a:p>
        </c:txPr>
        <c:crossAx val="61469879"/>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1</xdr:row>
      <xdr:rowOff>66675</xdr:rowOff>
    </xdr:from>
    <xdr:to>
      <xdr:col>15</xdr:col>
      <xdr:colOff>142875</xdr:colOff>
      <xdr:row>6</xdr:row>
      <xdr:rowOff>76200</xdr:rowOff>
    </xdr:to>
    <xdr:pic>
      <xdr:nvPicPr>
        <xdr:cNvPr id="1" name="Picture 2"/>
        <xdr:cNvPicPr preferRelativeResize="1">
          <a:picLocks noChangeAspect="1"/>
        </xdr:cNvPicPr>
      </xdr:nvPicPr>
      <xdr:blipFill>
        <a:blip r:embed="rId1"/>
        <a:stretch>
          <a:fillRect/>
        </a:stretch>
      </xdr:blipFill>
      <xdr:spPr>
        <a:xfrm>
          <a:off x="5438775" y="314325"/>
          <a:ext cx="6143625" cy="866775"/>
        </a:xfrm>
        <a:prstGeom prst="rect">
          <a:avLst/>
        </a:prstGeom>
        <a:noFill/>
        <a:ln w="9525" cmpd="sng">
          <a:noFill/>
        </a:ln>
      </xdr:spPr>
    </xdr:pic>
    <xdr:clientData/>
  </xdr:twoCellAnchor>
  <xdr:twoCellAnchor>
    <xdr:from>
      <xdr:col>5</xdr:col>
      <xdr:colOff>76200</xdr:colOff>
      <xdr:row>8</xdr:row>
      <xdr:rowOff>19050</xdr:rowOff>
    </xdr:from>
    <xdr:to>
      <xdr:col>11</xdr:col>
      <xdr:colOff>533400</xdr:colOff>
      <xdr:row>38</xdr:row>
      <xdr:rowOff>19050</xdr:rowOff>
    </xdr:to>
    <xdr:graphicFrame>
      <xdr:nvGraphicFramePr>
        <xdr:cNvPr id="2" name="Gráfico 7"/>
        <xdr:cNvGraphicFramePr/>
      </xdr:nvGraphicFramePr>
      <xdr:xfrm>
        <a:off x="4352925" y="1447800"/>
        <a:ext cx="4572000" cy="550545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52</xdr:row>
      <xdr:rowOff>28575</xdr:rowOff>
    </xdr:from>
    <xdr:to>
      <xdr:col>11</xdr:col>
      <xdr:colOff>581025</xdr:colOff>
      <xdr:row>82</xdr:row>
      <xdr:rowOff>9525</xdr:rowOff>
    </xdr:to>
    <xdr:graphicFrame>
      <xdr:nvGraphicFramePr>
        <xdr:cNvPr id="3" name="Gráfico 8"/>
        <xdr:cNvGraphicFramePr/>
      </xdr:nvGraphicFramePr>
      <xdr:xfrm>
        <a:off x="4400550" y="7972425"/>
        <a:ext cx="4572000" cy="56483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55</xdr:row>
      <xdr:rowOff>123825</xdr:rowOff>
    </xdr:from>
    <xdr:to>
      <xdr:col>11</xdr:col>
      <xdr:colOff>619125</xdr:colOff>
      <xdr:row>70</xdr:row>
      <xdr:rowOff>0</xdr:rowOff>
    </xdr:to>
    <xdr:graphicFrame>
      <xdr:nvGraphicFramePr>
        <xdr:cNvPr id="1" name="Gráfico 1"/>
        <xdr:cNvGraphicFramePr/>
      </xdr:nvGraphicFramePr>
      <xdr:xfrm>
        <a:off x="4524375" y="11172825"/>
        <a:ext cx="4400550" cy="2590800"/>
      </xdr:xfrm>
      <a:graphic>
        <a:graphicData uri="http://schemas.openxmlformats.org/drawingml/2006/chart">
          <c:chart xmlns:c="http://schemas.openxmlformats.org/drawingml/2006/chart" r:id="rId1"/>
        </a:graphicData>
      </a:graphic>
    </xdr:graphicFrame>
    <xdr:clientData/>
  </xdr:twoCellAnchor>
  <xdr:twoCellAnchor>
    <xdr:from>
      <xdr:col>5</xdr:col>
      <xdr:colOff>123825</xdr:colOff>
      <xdr:row>70</xdr:row>
      <xdr:rowOff>142875</xdr:rowOff>
    </xdr:from>
    <xdr:to>
      <xdr:col>11</xdr:col>
      <xdr:colOff>657225</xdr:colOff>
      <xdr:row>88</xdr:row>
      <xdr:rowOff>9525</xdr:rowOff>
    </xdr:to>
    <xdr:graphicFrame>
      <xdr:nvGraphicFramePr>
        <xdr:cNvPr id="2" name="Gráfico 4"/>
        <xdr:cNvGraphicFramePr/>
      </xdr:nvGraphicFramePr>
      <xdr:xfrm>
        <a:off x="4219575" y="13906500"/>
        <a:ext cx="4743450" cy="3124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319</xdr:row>
      <xdr:rowOff>323850</xdr:rowOff>
    </xdr:from>
    <xdr:to>
      <xdr:col>12</xdr:col>
      <xdr:colOff>304800</xdr:colOff>
      <xdr:row>323</xdr:row>
      <xdr:rowOff>104775</xdr:rowOff>
    </xdr:to>
    <xdr:sp>
      <xdr:nvSpPr>
        <xdr:cNvPr id="1" name="Conector recto de flecha 1"/>
        <xdr:cNvSpPr>
          <a:spLocks/>
        </xdr:cNvSpPr>
      </xdr:nvSpPr>
      <xdr:spPr>
        <a:xfrm>
          <a:off x="8734425" y="2247900"/>
          <a:ext cx="2600325" cy="8858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304800</xdr:colOff>
      <xdr:row>324</xdr:row>
      <xdr:rowOff>57150</xdr:rowOff>
    </xdr:from>
    <xdr:to>
      <xdr:col>11</xdr:col>
      <xdr:colOff>142875</xdr:colOff>
      <xdr:row>341</xdr:row>
      <xdr:rowOff>9525</xdr:rowOff>
    </xdr:to>
    <xdr:sp>
      <xdr:nvSpPr>
        <xdr:cNvPr id="2" name="Conector recto de flecha 2"/>
        <xdr:cNvSpPr>
          <a:spLocks/>
        </xdr:cNvSpPr>
      </xdr:nvSpPr>
      <xdr:spPr>
        <a:xfrm flipH="1">
          <a:off x="2000250" y="3248025"/>
          <a:ext cx="7639050" cy="32289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238125</xdr:colOff>
      <xdr:row>340</xdr:row>
      <xdr:rowOff>104775</xdr:rowOff>
    </xdr:from>
    <xdr:to>
      <xdr:col>9</xdr:col>
      <xdr:colOff>266700</xdr:colOff>
      <xdr:row>342</xdr:row>
      <xdr:rowOff>28575</xdr:rowOff>
    </xdr:to>
    <xdr:sp>
      <xdr:nvSpPr>
        <xdr:cNvPr id="3" name="Conector recto de flecha 3"/>
        <xdr:cNvSpPr>
          <a:spLocks/>
        </xdr:cNvSpPr>
      </xdr:nvSpPr>
      <xdr:spPr>
        <a:xfrm flipV="1">
          <a:off x="7429500" y="6400800"/>
          <a:ext cx="714375" cy="2667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123825</xdr:colOff>
      <xdr:row>363</xdr:row>
      <xdr:rowOff>123825</xdr:rowOff>
    </xdr:from>
    <xdr:to>
      <xdr:col>6</xdr:col>
      <xdr:colOff>666750</xdr:colOff>
      <xdr:row>442</xdr:row>
      <xdr:rowOff>123825</xdr:rowOff>
    </xdr:to>
    <xdr:graphicFrame>
      <xdr:nvGraphicFramePr>
        <xdr:cNvPr id="4" name="Gráfico 4"/>
        <xdr:cNvGraphicFramePr/>
      </xdr:nvGraphicFramePr>
      <xdr:xfrm>
        <a:off x="1047750" y="8763000"/>
        <a:ext cx="4686300" cy="2752725"/>
      </xdr:xfrm>
      <a:graphic>
        <a:graphicData uri="http://schemas.openxmlformats.org/drawingml/2006/chart">
          <c:chart xmlns:c="http://schemas.openxmlformats.org/drawingml/2006/chart" r:id="rId1"/>
        </a:graphicData>
      </a:graphic>
    </xdr:graphicFrame>
    <xdr:clientData/>
  </xdr:twoCellAnchor>
  <xdr:twoCellAnchor>
    <xdr:from>
      <xdr:col>0</xdr:col>
      <xdr:colOff>904875</xdr:colOff>
      <xdr:row>434</xdr:row>
      <xdr:rowOff>114300</xdr:rowOff>
    </xdr:from>
    <xdr:to>
      <xdr:col>6</xdr:col>
      <xdr:colOff>1066800</xdr:colOff>
      <xdr:row>434</xdr:row>
      <xdr:rowOff>123825</xdr:rowOff>
    </xdr:to>
    <xdr:sp>
      <xdr:nvSpPr>
        <xdr:cNvPr id="5" name="Conector recto 5"/>
        <xdr:cNvSpPr>
          <a:spLocks/>
        </xdr:cNvSpPr>
      </xdr:nvSpPr>
      <xdr:spPr>
        <a:xfrm flipV="1">
          <a:off x="904875" y="10210800"/>
          <a:ext cx="5229225" cy="9525"/>
        </a:xfrm>
        <a:prstGeom prst="line">
          <a:avLst/>
        </a:prstGeom>
        <a:noFill/>
        <a:ln w="9525" cmpd="sng">
          <a:solidFill>
            <a:srgbClr val="00B05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142875</xdr:colOff>
      <xdr:row>426</xdr:row>
      <xdr:rowOff>47625</xdr:rowOff>
    </xdr:from>
    <xdr:to>
      <xdr:col>4</xdr:col>
      <xdr:colOff>142875</xdr:colOff>
      <xdr:row>442</xdr:row>
      <xdr:rowOff>85725</xdr:rowOff>
    </xdr:to>
    <xdr:sp>
      <xdr:nvSpPr>
        <xdr:cNvPr id="6" name="Conector recto 6"/>
        <xdr:cNvSpPr>
          <a:spLocks/>
        </xdr:cNvSpPr>
      </xdr:nvSpPr>
      <xdr:spPr>
        <a:xfrm>
          <a:off x="3419475" y="8848725"/>
          <a:ext cx="0" cy="262890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152400</xdr:colOff>
      <xdr:row>431</xdr:row>
      <xdr:rowOff>142875</xdr:rowOff>
    </xdr:from>
    <xdr:to>
      <xdr:col>5</xdr:col>
      <xdr:colOff>371475</xdr:colOff>
      <xdr:row>432</xdr:row>
      <xdr:rowOff>0</xdr:rowOff>
    </xdr:to>
    <xdr:sp>
      <xdr:nvSpPr>
        <xdr:cNvPr id="7" name="Conector recto de flecha 7"/>
        <xdr:cNvSpPr>
          <a:spLocks/>
        </xdr:cNvSpPr>
      </xdr:nvSpPr>
      <xdr:spPr>
        <a:xfrm flipH="1" flipV="1">
          <a:off x="3429000" y="9753600"/>
          <a:ext cx="1047750" cy="190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432</xdr:row>
      <xdr:rowOff>0</xdr:rowOff>
    </xdr:from>
    <xdr:to>
      <xdr:col>5</xdr:col>
      <xdr:colOff>419100</xdr:colOff>
      <xdr:row>434</xdr:row>
      <xdr:rowOff>133350</xdr:rowOff>
    </xdr:to>
    <xdr:sp>
      <xdr:nvSpPr>
        <xdr:cNvPr id="8" name="Conector recto de flecha 8"/>
        <xdr:cNvSpPr>
          <a:spLocks/>
        </xdr:cNvSpPr>
      </xdr:nvSpPr>
      <xdr:spPr>
        <a:xfrm>
          <a:off x="4514850" y="9772650"/>
          <a:ext cx="9525" cy="457200"/>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Rep-045-Coef%20Correlac%20r%20de%20Pearson,%20rho%20de%20Spearman.%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aste r y b"/>
      <sheetName val="RegrLin Mïn Cuadrados"/>
      <sheetName val="Regr como ANOVA"/>
      <sheetName val="r Pearson"/>
      <sheetName val="rho Spearman"/>
      <sheetName val="r y error"/>
    </sheetNames>
    <sheetDataSet>
      <sheetData sheetId="4">
        <row r="321">
          <cell r="E321" t="str">
            <v>rango y</v>
          </cell>
        </row>
        <row r="322">
          <cell r="D322">
            <v>3</v>
          </cell>
          <cell r="E322">
            <v>1.5</v>
          </cell>
        </row>
        <row r="323">
          <cell r="D323">
            <v>9</v>
          </cell>
          <cell r="E323">
            <v>1.5</v>
          </cell>
        </row>
        <row r="324">
          <cell r="D324">
            <v>6</v>
          </cell>
          <cell r="E324">
            <v>3</v>
          </cell>
        </row>
        <row r="325">
          <cell r="D325">
            <v>5</v>
          </cell>
          <cell r="E325">
            <v>4</v>
          </cell>
        </row>
        <row r="326">
          <cell r="D326">
            <v>8</v>
          </cell>
          <cell r="E326">
            <v>5</v>
          </cell>
        </row>
        <row r="327">
          <cell r="D327">
            <v>7</v>
          </cell>
          <cell r="E327">
            <v>6</v>
          </cell>
        </row>
        <row r="328">
          <cell r="D328">
            <v>1.5</v>
          </cell>
          <cell r="E328">
            <v>7</v>
          </cell>
        </row>
        <row r="329">
          <cell r="D329">
            <v>15</v>
          </cell>
          <cell r="E329">
            <v>8</v>
          </cell>
        </row>
        <row r="330">
          <cell r="D330">
            <v>10</v>
          </cell>
          <cell r="E330">
            <v>9</v>
          </cell>
        </row>
        <row r="331">
          <cell r="D331">
            <v>1.5</v>
          </cell>
          <cell r="E331">
            <v>10</v>
          </cell>
        </row>
        <row r="332">
          <cell r="D332">
            <v>4</v>
          </cell>
          <cell r="E332">
            <v>11</v>
          </cell>
        </row>
        <row r="333">
          <cell r="D333">
            <v>12</v>
          </cell>
          <cell r="E333">
            <v>12</v>
          </cell>
        </row>
        <row r="334">
          <cell r="D334">
            <v>11</v>
          </cell>
          <cell r="E334">
            <v>13</v>
          </cell>
        </row>
        <row r="335">
          <cell r="D335">
            <v>13</v>
          </cell>
          <cell r="E335">
            <v>14</v>
          </cell>
        </row>
        <row r="336">
          <cell r="D336">
            <v>14</v>
          </cell>
          <cell r="E336">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ho Spearm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95"/>
  <sheetViews>
    <sheetView tabSelected="1" zoomScale="115" zoomScaleNormal="115" zoomScalePageLayoutView="0" workbookViewId="0" topLeftCell="A1">
      <selection activeCell="C99" sqref="C99"/>
    </sheetView>
  </sheetViews>
  <sheetFormatPr defaultColWidth="12" defaultRowHeight="12.75"/>
  <cols>
    <col min="1" max="1" width="23.83203125" style="1" customWidth="1"/>
    <col min="2" max="2" width="13.5" style="1" customWidth="1"/>
    <col min="3" max="4" width="12" style="1" customWidth="1"/>
    <col min="5" max="5" width="13.5" style="1" customWidth="1"/>
    <col min="6" max="13" width="12" style="1" customWidth="1"/>
    <col min="14" max="14" width="17.33203125" style="1" customWidth="1"/>
    <col min="15" max="16384" width="12" style="1" customWidth="1"/>
  </cols>
  <sheetData>
    <row r="1" ht="19.5" thickBot="1">
      <c r="A1" s="12" t="s">
        <v>457</v>
      </c>
    </row>
    <row r="2" spans="2:6" ht="15.75">
      <c r="B2" s="458" t="s">
        <v>83</v>
      </c>
      <c r="C2" s="459">
        <v>0</v>
      </c>
      <c r="D2" s="460" t="s">
        <v>85</v>
      </c>
      <c r="E2" s="460" t="s">
        <v>86</v>
      </c>
      <c r="F2" s="461" t="s">
        <v>90</v>
      </c>
    </row>
    <row r="3" spans="2:6" ht="13.5" thickBot="1">
      <c r="B3" s="462" t="s">
        <v>518</v>
      </c>
      <c r="C3" s="463" t="s">
        <v>519</v>
      </c>
      <c r="D3" s="464" t="s">
        <v>520</v>
      </c>
      <c r="E3" s="464" t="s">
        <v>521</v>
      </c>
      <c r="F3" s="465" t="s">
        <v>522</v>
      </c>
    </row>
    <row r="4" ht="12.75">
      <c r="C4" s="3"/>
    </row>
    <row r="5" ht="12.75">
      <c r="C5" s="3"/>
    </row>
    <row r="6" ht="12.75">
      <c r="C6" s="3"/>
    </row>
    <row r="7" spans="2:3" ht="12.75">
      <c r="B7" s="9"/>
      <c r="C7" s="3"/>
    </row>
    <row r="8" spans="2:3" s="5" customFormat="1" ht="12.75">
      <c r="B8" s="11" t="s">
        <v>275</v>
      </c>
      <c r="C8" s="13" t="s">
        <v>274</v>
      </c>
    </row>
    <row r="9" spans="2:7" ht="63.75">
      <c r="B9" s="22" t="s">
        <v>466</v>
      </c>
      <c r="C9" s="23" t="s">
        <v>467</v>
      </c>
      <c r="E9" s="7"/>
      <c r="F9" s="7"/>
      <c r="G9" s="7"/>
    </row>
    <row r="10" spans="1:7" ht="12.75">
      <c r="A10" s="15"/>
      <c r="B10" s="16">
        <v>1</v>
      </c>
      <c r="C10" s="17">
        <v>1</v>
      </c>
      <c r="D10" s="18"/>
      <c r="E10" s="7"/>
      <c r="F10" s="7"/>
      <c r="G10" s="7"/>
    </row>
    <row r="11" spans="2:7" ht="12.75">
      <c r="B11" s="16">
        <v>2</v>
      </c>
      <c r="C11" s="17">
        <v>1</v>
      </c>
      <c r="D11" s="7"/>
      <c r="E11" s="7"/>
      <c r="F11" s="7"/>
      <c r="G11" s="7"/>
    </row>
    <row r="12" spans="2:7" ht="12.75">
      <c r="B12" s="16">
        <v>4</v>
      </c>
      <c r="C12" s="17">
        <v>2</v>
      </c>
      <c r="D12" s="7"/>
      <c r="E12" s="7"/>
      <c r="F12" s="7"/>
      <c r="G12" s="7"/>
    </row>
    <row r="13" spans="2:7" ht="12.75">
      <c r="B13" s="16">
        <v>5</v>
      </c>
      <c r="C13" s="17">
        <v>1</v>
      </c>
      <c r="D13" s="7"/>
      <c r="E13" s="7"/>
      <c r="F13" s="7"/>
      <c r="G13" s="7"/>
    </row>
    <row r="14" spans="2:7" ht="12.75">
      <c r="B14" s="16">
        <v>1</v>
      </c>
      <c r="C14" s="17">
        <v>1</v>
      </c>
      <c r="D14" s="7"/>
      <c r="E14" s="7"/>
      <c r="F14" s="7"/>
      <c r="G14" s="7"/>
    </row>
    <row r="15" spans="2:7" ht="12.75">
      <c r="B15" s="16">
        <v>3</v>
      </c>
      <c r="C15" s="17">
        <v>2</v>
      </c>
      <c r="D15" s="7"/>
      <c r="E15" s="7"/>
      <c r="F15" s="7"/>
      <c r="G15" s="7"/>
    </row>
    <row r="16" spans="2:7" ht="12.75">
      <c r="B16" s="16">
        <v>3</v>
      </c>
      <c r="C16" s="17">
        <v>1</v>
      </c>
      <c r="D16" s="7"/>
      <c r="E16" s="7"/>
      <c r="F16" s="7"/>
      <c r="G16" s="7"/>
    </row>
    <row r="17" spans="2:7" ht="12.75">
      <c r="B17" s="16">
        <v>3</v>
      </c>
      <c r="C17" s="17">
        <v>1</v>
      </c>
      <c r="D17" s="7"/>
      <c r="E17" s="7"/>
      <c r="F17" s="7"/>
      <c r="G17" s="7"/>
    </row>
    <row r="18" spans="2:7" ht="12.75">
      <c r="B18" s="16">
        <v>4</v>
      </c>
      <c r="C18" s="17">
        <v>1</v>
      </c>
      <c r="D18" s="7"/>
      <c r="E18" s="7"/>
      <c r="F18" s="7"/>
      <c r="G18" s="7"/>
    </row>
    <row r="19" spans="2:7" ht="12.75">
      <c r="B19" s="16">
        <v>3</v>
      </c>
      <c r="C19" s="17">
        <v>1</v>
      </c>
      <c r="D19" s="7"/>
      <c r="E19" s="7"/>
      <c r="F19" s="7"/>
      <c r="G19" s="7"/>
    </row>
    <row r="20" spans="2:7" ht="12.75">
      <c r="B20" s="16">
        <v>2</v>
      </c>
      <c r="C20" s="17">
        <v>1</v>
      </c>
      <c r="D20" s="7"/>
      <c r="E20" s="7"/>
      <c r="F20" s="7"/>
      <c r="G20" s="7"/>
    </row>
    <row r="21" spans="2:7" ht="12.75">
      <c r="B21" s="16">
        <v>2</v>
      </c>
      <c r="C21" s="17">
        <v>1</v>
      </c>
      <c r="D21" s="7"/>
      <c r="E21" s="7"/>
      <c r="F21" s="7"/>
      <c r="G21" s="7"/>
    </row>
    <row r="22" spans="2:7" ht="12.75">
      <c r="B22" s="16">
        <v>4</v>
      </c>
      <c r="C22" s="17">
        <v>1</v>
      </c>
      <c r="D22" s="7"/>
      <c r="E22" s="7"/>
      <c r="F22" s="7"/>
      <c r="G22" s="7"/>
    </row>
    <row r="23" spans="2:7" ht="12.75">
      <c r="B23" s="16">
        <v>3</v>
      </c>
      <c r="C23" s="17">
        <v>1</v>
      </c>
      <c r="D23" s="7"/>
      <c r="E23" s="7"/>
      <c r="F23" s="7"/>
      <c r="G23" s="7"/>
    </row>
    <row r="24" spans="2:7" ht="12.75">
      <c r="B24" s="16">
        <v>4</v>
      </c>
      <c r="C24" s="17">
        <v>4</v>
      </c>
      <c r="D24" s="7"/>
      <c r="E24" s="7"/>
      <c r="F24" s="7"/>
      <c r="G24" s="7"/>
    </row>
    <row r="25" spans="2:7" ht="12.75">
      <c r="B25" s="16">
        <v>2</v>
      </c>
      <c r="C25" s="17">
        <v>1</v>
      </c>
      <c r="D25" s="7"/>
      <c r="E25" s="7"/>
      <c r="F25" s="7"/>
      <c r="G25" s="7"/>
    </row>
    <row r="26" spans="2:7" ht="12.75">
      <c r="B26" s="16">
        <v>3</v>
      </c>
      <c r="C26" s="17">
        <v>1</v>
      </c>
      <c r="D26" s="7"/>
      <c r="E26" s="7"/>
      <c r="F26" s="7"/>
      <c r="G26" s="7"/>
    </row>
    <row r="27" spans="2:7" ht="12.75">
      <c r="B27" s="16">
        <v>3</v>
      </c>
      <c r="C27" s="17">
        <v>1</v>
      </c>
      <c r="D27" s="7"/>
      <c r="E27" s="7"/>
      <c r="F27" s="7"/>
      <c r="G27" s="7"/>
    </row>
    <row r="28" spans="2:7" ht="12.75">
      <c r="B28" s="16">
        <v>3</v>
      </c>
      <c r="C28" s="17">
        <v>1</v>
      </c>
      <c r="D28" s="7"/>
      <c r="E28" s="7"/>
      <c r="F28" s="7"/>
      <c r="G28" s="7"/>
    </row>
    <row r="29" spans="2:7" ht="12.75">
      <c r="B29" s="16">
        <v>3</v>
      </c>
      <c r="C29" s="17">
        <v>1</v>
      </c>
      <c r="D29" s="7"/>
      <c r="E29" s="7"/>
      <c r="F29" s="7"/>
      <c r="G29" s="7"/>
    </row>
    <row r="30" spans="2:7" ht="12.75">
      <c r="B30" s="16">
        <v>3</v>
      </c>
      <c r="C30" s="17">
        <v>1</v>
      </c>
      <c r="D30" s="7"/>
      <c r="E30" s="7"/>
      <c r="F30" s="7"/>
      <c r="G30" s="7"/>
    </row>
    <row r="31" spans="2:7" ht="12.75">
      <c r="B31" s="16">
        <v>4</v>
      </c>
      <c r="C31" s="17">
        <v>1</v>
      </c>
      <c r="D31" s="7"/>
      <c r="E31" s="7"/>
      <c r="F31" s="7"/>
      <c r="G31" s="7"/>
    </row>
    <row r="32" spans="2:7" ht="12.75">
      <c r="B32" s="16">
        <v>4</v>
      </c>
      <c r="C32" s="17">
        <v>1</v>
      </c>
      <c r="D32" s="7"/>
      <c r="E32" s="7"/>
      <c r="F32" s="7"/>
      <c r="G32" s="7"/>
    </row>
    <row r="33" spans="2:7" ht="12.75">
      <c r="B33" s="16">
        <v>4</v>
      </c>
      <c r="C33" s="17">
        <v>1</v>
      </c>
      <c r="D33" s="7"/>
      <c r="E33" s="7"/>
      <c r="F33" s="7"/>
      <c r="G33" s="7"/>
    </row>
    <row r="34" spans="2:7" ht="12.75">
      <c r="B34" s="16">
        <v>5</v>
      </c>
      <c r="C34" s="17">
        <v>1</v>
      </c>
      <c r="D34" s="7"/>
      <c r="E34" s="7"/>
      <c r="F34" s="7"/>
      <c r="G34" s="7"/>
    </row>
    <row r="35" spans="2:7" ht="12.75">
      <c r="B35" s="16">
        <v>4</v>
      </c>
      <c r="C35" s="17">
        <v>1</v>
      </c>
      <c r="D35" s="7"/>
      <c r="E35" s="7"/>
      <c r="F35" s="7"/>
      <c r="G35" s="7"/>
    </row>
    <row r="36" spans="2:7" ht="12.75">
      <c r="B36" s="16">
        <v>4</v>
      </c>
      <c r="C36" s="17">
        <v>1</v>
      </c>
      <c r="D36" s="7"/>
      <c r="E36" s="7"/>
      <c r="F36" s="7"/>
      <c r="G36" s="7"/>
    </row>
    <row r="37" spans="2:7" ht="12.75">
      <c r="B37" s="16">
        <v>2</v>
      </c>
      <c r="C37" s="17">
        <v>4</v>
      </c>
      <c r="D37" s="7"/>
      <c r="E37" s="7"/>
      <c r="F37" s="7"/>
      <c r="G37" s="7"/>
    </row>
    <row r="38" spans="2:7" ht="12.75">
      <c r="B38" s="16">
        <v>2</v>
      </c>
      <c r="C38" s="17">
        <v>1</v>
      </c>
      <c r="D38" s="7"/>
      <c r="E38" s="7"/>
      <c r="F38" s="7"/>
      <c r="G38" s="7"/>
    </row>
    <row r="39" spans="1:7" ht="12.75">
      <c r="A39" s="102" t="s">
        <v>551</v>
      </c>
      <c r="B39" s="7">
        <f>COUNT(B10:B38)</f>
        <v>29</v>
      </c>
      <c r="C39" s="7"/>
      <c r="D39" s="7"/>
      <c r="E39" s="7"/>
      <c r="F39" s="7"/>
      <c r="G39" s="7"/>
    </row>
    <row r="40" spans="1:7" ht="15.75">
      <c r="A40" s="8"/>
      <c r="B40" s="19" t="s">
        <v>460</v>
      </c>
      <c r="C40" s="24">
        <f>CORREL(B10:B38,C10:C38)</f>
        <v>0.007378195358287626</v>
      </c>
      <c r="D40" s="7"/>
      <c r="E40" s="7"/>
      <c r="F40" s="7"/>
      <c r="G40" s="7"/>
    </row>
    <row r="41" spans="1:3" ht="12.75">
      <c r="A41" s="8" t="s">
        <v>634</v>
      </c>
      <c r="B41" s="66" t="s">
        <v>635</v>
      </c>
      <c r="C41" s="24">
        <f>F50</f>
        <v>0.9696992578785186</v>
      </c>
    </row>
    <row r="43" spans="1:4" s="108" customFormat="1" ht="12.75" hidden="1">
      <c r="A43" s="491" t="s">
        <v>550</v>
      </c>
      <c r="B43" s="383"/>
      <c r="C43" s="314"/>
      <c r="D43" s="32"/>
    </row>
    <row r="44" spans="1:4" s="108" customFormat="1" ht="12.75" hidden="1">
      <c r="A44" s="532" t="s">
        <v>590</v>
      </c>
      <c r="B44" s="383"/>
      <c r="C44" s="314"/>
      <c r="D44" s="32"/>
    </row>
    <row r="45" spans="1:10" s="108" customFormat="1" ht="12.75" hidden="1">
      <c r="A45" s="108" t="s">
        <v>589</v>
      </c>
      <c r="B45" s="383"/>
      <c r="C45" s="314"/>
      <c r="D45" s="32"/>
      <c r="I45" s="386" t="s">
        <v>587</v>
      </c>
      <c r="J45" s="530">
        <f>B39-2</f>
        <v>27</v>
      </c>
    </row>
    <row r="46" spans="1:10" s="108" customFormat="1" ht="15.75" hidden="1">
      <c r="A46" s="1" t="s">
        <v>636</v>
      </c>
      <c r="B46" s="1"/>
      <c r="C46" s="612"/>
      <c r="D46" s="508"/>
      <c r="E46" s="508"/>
      <c r="I46" s="386"/>
      <c r="J46" s="386"/>
    </row>
    <row r="47" spans="2:17" s="108" customFormat="1" ht="15.75" hidden="1">
      <c r="B47" s="32"/>
      <c r="C47" s="613" t="s">
        <v>637</v>
      </c>
      <c r="D47" s="531">
        <f>C40*(SQRT((B39-2)/(1-C40^2)))</f>
        <v>0.03833927125252443</v>
      </c>
      <c r="E47" s="32"/>
      <c r="F47" s="32"/>
      <c r="G47" s="32"/>
      <c r="H47" s="32"/>
      <c r="I47" s="32"/>
      <c r="J47" s="32"/>
      <c r="K47" s="412" t="s">
        <v>586</v>
      </c>
      <c r="L47" s="533" t="s">
        <v>553</v>
      </c>
      <c r="M47" s="306"/>
      <c r="N47" s="534" t="s">
        <v>552</v>
      </c>
      <c r="O47" s="535">
        <f>TINV(0.05,B39-2)</f>
        <v>2.051830516480286</v>
      </c>
      <c r="Q47" s="32"/>
    </row>
    <row r="48" spans="1:17" s="108" customFormat="1" ht="12.75" hidden="1">
      <c r="A48" s="32"/>
      <c r="B48" s="32"/>
      <c r="C48" s="526"/>
      <c r="D48" s="412" t="s">
        <v>349</v>
      </c>
      <c r="E48" s="531">
        <f>D47-O47</f>
        <v>-2.0134912452277614</v>
      </c>
      <c r="F48" s="3" t="s">
        <v>591</v>
      </c>
      <c r="G48" s="32"/>
      <c r="H48" s="32"/>
      <c r="I48" s="32"/>
      <c r="J48" s="32"/>
      <c r="K48" s="32"/>
      <c r="L48" s="32"/>
      <c r="M48" s="32"/>
      <c r="N48" s="32"/>
      <c r="O48" s="32"/>
      <c r="P48" s="32"/>
      <c r="Q48" s="32"/>
    </row>
    <row r="49" spans="1:17" s="108" customFormat="1" ht="12.75" hidden="1">
      <c r="A49" s="32"/>
      <c r="B49" s="32"/>
      <c r="C49" s="526"/>
      <c r="D49" s="412" t="s">
        <v>588</v>
      </c>
      <c r="F49" s="494"/>
      <c r="G49" s="32"/>
      <c r="H49" s="32"/>
      <c r="I49" s="32"/>
      <c r="J49" s="32"/>
      <c r="K49" s="32"/>
      <c r="L49" s="32"/>
      <c r="M49" s="32"/>
      <c r="N49" s="32"/>
      <c r="O49" s="32"/>
      <c r="P49" s="32"/>
      <c r="Q49" s="32"/>
    </row>
    <row r="50" spans="1:17" s="108" customFormat="1" ht="12.75" hidden="1">
      <c r="A50" s="253"/>
      <c r="B50" s="253"/>
      <c r="C50" s="253"/>
      <c r="D50" s="527" t="s">
        <v>585</v>
      </c>
      <c r="E50" s="528" t="s">
        <v>549</v>
      </c>
      <c r="F50" s="529">
        <f>TDIST(D47,J45,2)</f>
        <v>0.9696992578785186</v>
      </c>
      <c r="G50" s="32" t="s">
        <v>351</v>
      </c>
      <c r="H50" s="32"/>
      <c r="I50" s="526"/>
      <c r="J50" s="32"/>
      <c r="K50" s="32"/>
      <c r="L50" s="32"/>
      <c r="M50" s="32"/>
      <c r="N50" s="32"/>
      <c r="O50" s="32"/>
      <c r="P50" s="32"/>
      <c r="Q50" s="32"/>
    </row>
    <row r="52" spans="1:3" ht="12.75">
      <c r="A52" s="5"/>
      <c r="B52" s="11" t="s">
        <v>275</v>
      </c>
      <c r="C52" s="13" t="s">
        <v>274</v>
      </c>
    </row>
    <row r="53" spans="2:3" ht="76.5">
      <c r="B53" s="22" t="s">
        <v>466</v>
      </c>
      <c r="C53" s="23" t="s">
        <v>468</v>
      </c>
    </row>
    <row r="54" spans="1:4" ht="12.75">
      <c r="A54" s="18"/>
      <c r="B54" s="16">
        <v>1</v>
      </c>
      <c r="C54" s="17">
        <v>1</v>
      </c>
      <c r="D54" s="15"/>
    </row>
    <row r="55" spans="1:3" ht="12.75">
      <c r="A55" s="7"/>
      <c r="B55" s="16">
        <v>2</v>
      </c>
      <c r="C55" s="17">
        <v>2</v>
      </c>
    </row>
    <row r="56" spans="1:3" ht="12.75">
      <c r="A56" s="7"/>
      <c r="B56" s="16">
        <v>4</v>
      </c>
      <c r="C56" s="17">
        <v>4</v>
      </c>
    </row>
    <row r="57" spans="1:3" ht="12.75">
      <c r="A57" s="7"/>
      <c r="B57" s="16">
        <v>5</v>
      </c>
      <c r="C57" s="17">
        <v>4</v>
      </c>
    </row>
    <row r="58" spans="1:3" ht="12.75">
      <c r="A58" s="7"/>
      <c r="B58" s="16">
        <v>1</v>
      </c>
      <c r="C58" s="17">
        <v>1</v>
      </c>
    </row>
    <row r="59" spans="1:3" ht="12.75">
      <c r="A59" s="7"/>
      <c r="B59" s="16">
        <v>3</v>
      </c>
      <c r="C59" s="17">
        <v>3</v>
      </c>
    </row>
    <row r="60" spans="1:3" ht="12.75">
      <c r="A60" s="7"/>
      <c r="B60" s="16">
        <v>3</v>
      </c>
      <c r="C60" s="17">
        <v>3</v>
      </c>
    </row>
    <row r="61" spans="1:3" ht="12.75">
      <c r="A61" s="7"/>
      <c r="B61" s="16">
        <v>3</v>
      </c>
      <c r="C61" s="17">
        <v>1</v>
      </c>
    </row>
    <row r="62" spans="1:3" ht="12.75">
      <c r="A62" s="7"/>
      <c r="B62" s="16">
        <v>4</v>
      </c>
      <c r="C62" s="17">
        <v>2</v>
      </c>
    </row>
    <row r="63" spans="1:3" ht="12.75">
      <c r="A63" s="7"/>
      <c r="B63" s="16">
        <v>3</v>
      </c>
      <c r="C63" s="17">
        <v>3</v>
      </c>
    </row>
    <row r="64" spans="1:3" ht="12.75">
      <c r="A64" s="7"/>
      <c r="B64" s="16">
        <v>2</v>
      </c>
      <c r="C64" s="17">
        <v>1</v>
      </c>
    </row>
    <row r="65" spans="1:3" ht="12.75">
      <c r="A65" s="7"/>
      <c r="B65" s="16">
        <v>2</v>
      </c>
      <c r="C65" s="17">
        <v>2</v>
      </c>
    </row>
    <row r="66" spans="1:3" ht="12.75">
      <c r="A66" s="7"/>
      <c r="B66" s="16">
        <v>4</v>
      </c>
      <c r="C66" s="17">
        <v>4</v>
      </c>
    </row>
    <row r="67" spans="1:3" ht="12.75">
      <c r="A67" s="7"/>
      <c r="B67" s="16">
        <v>3</v>
      </c>
      <c r="C67" s="17">
        <v>3</v>
      </c>
    </row>
    <row r="68" spans="1:3" ht="12.75">
      <c r="A68" s="7"/>
      <c r="B68" s="16">
        <v>4</v>
      </c>
      <c r="C68" s="17">
        <v>4</v>
      </c>
    </row>
    <row r="69" spans="1:3" ht="12.75">
      <c r="A69" s="7"/>
      <c r="B69" s="16">
        <v>2</v>
      </c>
      <c r="C69" s="17">
        <v>2</v>
      </c>
    </row>
    <row r="70" spans="1:3" ht="12.75">
      <c r="A70" s="7"/>
      <c r="B70" s="16">
        <v>3</v>
      </c>
      <c r="C70" s="17">
        <v>3</v>
      </c>
    </row>
    <row r="71" spans="1:3" ht="12.75">
      <c r="A71" s="7"/>
      <c r="B71" s="16">
        <v>3</v>
      </c>
      <c r="C71" s="17">
        <v>2</v>
      </c>
    </row>
    <row r="72" spans="1:3" ht="12.75">
      <c r="A72" s="7"/>
      <c r="B72" s="16">
        <v>3</v>
      </c>
      <c r="C72" s="17">
        <v>3</v>
      </c>
    </row>
    <row r="73" spans="1:3" ht="12.75">
      <c r="A73" s="7"/>
      <c r="B73" s="16">
        <v>3</v>
      </c>
      <c r="C73" s="17">
        <v>1</v>
      </c>
    </row>
    <row r="74" spans="1:3" ht="12.75">
      <c r="A74" s="7"/>
      <c r="B74" s="16">
        <v>3</v>
      </c>
      <c r="C74" s="17">
        <v>3</v>
      </c>
    </row>
    <row r="75" spans="1:3" ht="12.75">
      <c r="A75" s="7"/>
      <c r="B75" s="16">
        <v>4</v>
      </c>
      <c r="C75" s="17">
        <v>2</v>
      </c>
    </row>
    <row r="76" spans="1:3" ht="12.75">
      <c r="A76" s="7"/>
      <c r="B76" s="16">
        <v>4</v>
      </c>
      <c r="C76" s="17">
        <v>4</v>
      </c>
    </row>
    <row r="77" spans="1:3" ht="12.75">
      <c r="A77" s="7"/>
      <c r="B77" s="16">
        <v>4</v>
      </c>
      <c r="C77" s="17">
        <v>1</v>
      </c>
    </row>
    <row r="78" spans="1:3" ht="12.75">
      <c r="A78" s="7"/>
      <c r="B78" s="16">
        <v>5</v>
      </c>
      <c r="C78" s="17">
        <v>3</v>
      </c>
    </row>
    <row r="79" spans="1:3" ht="12.75">
      <c r="A79" s="7"/>
      <c r="B79" s="16">
        <v>4</v>
      </c>
      <c r="C79" s="17">
        <v>2</v>
      </c>
    </row>
    <row r="80" spans="1:3" ht="12.75">
      <c r="A80" s="7"/>
      <c r="B80" s="16">
        <v>4</v>
      </c>
      <c r="C80" s="17">
        <v>3</v>
      </c>
    </row>
    <row r="81" spans="1:3" ht="12.75">
      <c r="A81" s="7"/>
      <c r="B81" s="16">
        <v>2</v>
      </c>
      <c r="C81" s="17">
        <v>2</v>
      </c>
    </row>
    <row r="82" spans="1:3" ht="12.75">
      <c r="A82" s="7"/>
      <c r="B82" s="16">
        <v>2</v>
      </c>
      <c r="C82" s="17">
        <v>1</v>
      </c>
    </row>
    <row r="83" spans="1:4" ht="12.75">
      <c r="A83" s="102" t="s">
        <v>551</v>
      </c>
      <c r="B83" s="7">
        <f>COUNT(B54:B82)</f>
        <v>29</v>
      </c>
      <c r="C83" s="7"/>
      <c r="D83" s="7"/>
    </row>
    <row r="84" spans="1:4" ht="15.75">
      <c r="A84" s="8"/>
      <c r="B84" s="19" t="s">
        <v>460</v>
      </c>
      <c r="C84" s="24">
        <f>CORREL(C54:C82,B54:B82)</f>
        <v>0.6078307143262851</v>
      </c>
      <c r="D84" s="7"/>
    </row>
    <row r="85" spans="1:3" ht="12.75">
      <c r="A85" s="8" t="s">
        <v>634</v>
      </c>
      <c r="B85" s="66" t="s">
        <v>635</v>
      </c>
      <c r="C85" s="24">
        <f>F94</f>
        <v>0.0004697268889525171</v>
      </c>
    </row>
    <row r="87" spans="1:4" s="108" customFormat="1" ht="12.75" hidden="1">
      <c r="A87" s="491" t="s">
        <v>550</v>
      </c>
      <c r="B87" s="383"/>
      <c r="C87" s="314"/>
      <c r="D87" s="32"/>
    </row>
    <row r="88" spans="1:4" s="108" customFormat="1" ht="12.75" hidden="1">
      <c r="A88" s="532" t="s">
        <v>590</v>
      </c>
      <c r="B88" s="383"/>
      <c r="C88" s="314"/>
      <c r="D88" s="32"/>
    </row>
    <row r="89" spans="1:10" s="108" customFormat="1" ht="12.75" hidden="1">
      <c r="A89" s="108" t="s">
        <v>589</v>
      </c>
      <c r="B89" s="383"/>
      <c r="C89" s="314"/>
      <c r="D89" s="32"/>
      <c r="I89" s="386" t="s">
        <v>587</v>
      </c>
      <c r="J89" s="530">
        <f>B83-2</f>
        <v>27</v>
      </c>
    </row>
    <row r="90" spans="1:10" s="108" customFormat="1" ht="15.75" hidden="1">
      <c r="A90" s="1" t="s">
        <v>636</v>
      </c>
      <c r="B90" s="1"/>
      <c r="C90" s="612"/>
      <c r="D90" s="508"/>
      <c r="E90" s="508"/>
      <c r="I90" s="386"/>
      <c r="J90" s="386"/>
    </row>
    <row r="91" spans="2:17" s="108" customFormat="1" ht="15.75" hidden="1">
      <c r="B91" s="32"/>
      <c r="C91" s="613" t="s">
        <v>637</v>
      </c>
      <c r="D91" s="531">
        <f>C84*(SQRT((B83-2)/(1-C84^2)))</f>
        <v>3.9774760641845135</v>
      </c>
      <c r="E91" s="32"/>
      <c r="F91" s="32"/>
      <c r="G91" s="32"/>
      <c r="H91" s="32"/>
      <c r="I91" s="32"/>
      <c r="J91" s="32"/>
      <c r="K91" s="412" t="s">
        <v>586</v>
      </c>
      <c r="L91" s="533" t="s">
        <v>553</v>
      </c>
      <c r="M91" s="306"/>
      <c r="N91" s="534" t="s">
        <v>552</v>
      </c>
      <c r="O91" s="535">
        <f>TINV(0.05,B83-2)</f>
        <v>2.051830516480286</v>
      </c>
      <c r="Q91" s="32"/>
    </row>
    <row r="92" spans="1:17" s="108" customFormat="1" ht="12.75" hidden="1">
      <c r="A92" s="32"/>
      <c r="B92" s="32"/>
      <c r="C92" s="526"/>
      <c r="D92" s="412" t="s">
        <v>349</v>
      </c>
      <c r="E92" s="531">
        <f>D91-O91</f>
        <v>1.9256455477042276</v>
      </c>
      <c r="F92" s="3" t="s">
        <v>591</v>
      </c>
      <c r="G92" s="32"/>
      <c r="H92" s="32"/>
      <c r="I92" s="32"/>
      <c r="J92" s="32"/>
      <c r="K92" s="32"/>
      <c r="L92" s="32"/>
      <c r="M92" s="32"/>
      <c r="N92" s="32"/>
      <c r="O92" s="32"/>
      <c r="P92" s="32"/>
      <c r="Q92" s="32"/>
    </row>
    <row r="93" spans="1:17" s="108" customFormat="1" ht="12.75" hidden="1">
      <c r="A93" s="32"/>
      <c r="B93" s="32"/>
      <c r="C93" s="526"/>
      <c r="D93" s="412" t="s">
        <v>588</v>
      </c>
      <c r="F93" s="494"/>
      <c r="G93" s="32"/>
      <c r="H93" s="32"/>
      <c r="I93" s="32"/>
      <c r="J93" s="32"/>
      <c r="K93" s="32"/>
      <c r="L93" s="32"/>
      <c r="M93" s="32"/>
      <c r="N93" s="32"/>
      <c r="O93" s="32"/>
      <c r="P93" s="32"/>
      <c r="Q93" s="32"/>
    </row>
    <row r="94" spans="1:17" s="108" customFormat="1" ht="12.75" hidden="1">
      <c r="A94" s="253"/>
      <c r="B94" s="253"/>
      <c r="C94" s="253"/>
      <c r="D94" s="527" t="s">
        <v>585</v>
      </c>
      <c r="E94" s="528" t="s">
        <v>549</v>
      </c>
      <c r="F94" s="529">
        <f>TDIST(D91,J89,2)</f>
        <v>0.0004697268889525171</v>
      </c>
      <c r="G94" s="32" t="s">
        <v>351</v>
      </c>
      <c r="H94" s="32"/>
      <c r="I94" s="526"/>
      <c r="J94" s="32"/>
      <c r="K94" s="32"/>
      <c r="L94" s="32"/>
      <c r="M94" s="32"/>
      <c r="N94" s="32"/>
      <c r="O94" s="32"/>
      <c r="P94" s="32"/>
      <c r="Q94" s="32"/>
    </row>
    <row r="95" spans="1:15" ht="12.75">
      <c r="A95" s="3"/>
      <c r="B95" s="3"/>
      <c r="C95" s="3"/>
      <c r="D95" s="3"/>
      <c r="E95" s="3"/>
      <c r="F95" s="3"/>
      <c r="G95" s="3"/>
      <c r="H95" s="3"/>
      <c r="I95" s="3"/>
      <c r="J95" s="3"/>
      <c r="K95" s="3"/>
      <c r="L95" s="3"/>
      <c r="M95" s="3"/>
      <c r="N95" s="3"/>
      <c r="O95" s="3"/>
    </row>
  </sheetData>
  <sheetProtection/>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B88"/>
  <sheetViews>
    <sheetView zoomScale="120" zoomScaleNormal="120" zoomScalePageLayoutView="0" workbookViewId="0" topLeftCell="A58">
      <selection activeCell="F12" sqref="F12:G12"/>
    </sheetView>
  </sheetViews>
  <sheetFormatPr defaultColWidth="12" defaultRowHeight="12.75"/>
  <cols>
    <col min="1" max="1" width="23.66015625" style="1" customWidth="1"/>
    <col min="2" max="9" width="12" style="1" customWidth="1"/>
    <col min="10" max="10" width="13.66015625" style="1" customWidth="1"/>
    <col min="11" max="13" width="12" style="1" customWidth="1"/>
    <col min="14" max="14" width="16.33203125" style="486" customWidth="1"/>
    <col min="15" max="15" width="4.16015625" style="1" customWidth="1"/>
    <col min="16" max="16" width="12" style="1" customWidth="1"/>
    <col min="17" max="17" width="13.5" style="1" customWidth="1"/>
    <col min="18" max="18" width="12" style="1" customWidth="1"/>
    <col min="19" max="19" width="13.66015625" style="1" customWidth="1"/>
    <col min="20" max="16384" width="12" style="1" customWidth="1"/>
  </cols>
  <sheetData>
    <row r="1" ht="18.75">
      <c r="A1" s="477" t="s">
        <v>532</v>
      </c>
    </row>
    <row r="2" ht="15.75">
      <c r="A2" s="471" t="s">
        <v>523</v>
      </c>
    </row>
    <row r="3" ht="14.25">
      <c r="A3" s="1" t="s">
        <v>524</v>
      </c>
    </row>
    <row r="4" ht="14.25">
      <c r="A4" s="1" t="s">
        <v>525</v>
      </c>
    </row>
    <row r="5" spans="1:18" ht="14.25">
      <c r="A5" s="1" t="s">
        <v>526</v>
      </c>
      <c r="M5" s="485" t="s">
        <v>548</v>
      </c>
      <c r="Q5" s="1" t="s">
        <v>572</v>
      </c>
      <c r="R5" s="221" t="s">
        <v>573</v>
      </c>
    </row>
    <row r="6" spans="1:16" ht="15.75">
      <c r="A6" s="472" t="s">
        <v>528</v>
      </c>
      <c r="B6" s="472" t="s">
        <v>571</v>
      </c>
      <c r="M6" s="485" t="s">
        <v>554</v>
      </c>
      <c r="P6" s="485" t="s">
        <v>555</v>
      </c>
    </row>
    <row r="7" ht="14.25">
      <c r="A7" s="1" t="s">
        <v>527</v>
      </c>
    </row>
    <row r="8" spans="13:16" ht="12.75" customHeight="1">
      <c r="M8" s="485" t="s">
        <v>556</v>
      </c>
      <c r="P8" s="485" t="s">
        <v>557</v>
      </c>
    </row>
    <row r="9" spans="1:7" ht="15.75">
      <c r="A9" s="1" t="s">
        <v>545</v>
      </c>
      <c r="B9" s="1" t="s">
        <v>546</v>
      </c>
      <c r="G9" s="509" t="s">
        <v>567</v>
      </c>
    </row>
    <row r="10" spans="1:13" ht="15.75">
      <c r="A10" s="472" t="s">
        <v>529</v>
      </c>
      <c r="M10" s="485" t="s">
        <v>583</v>
      </c>
    </row>
    <row r="11" spans="6:21" ht="14.25">
      <c r="F11" s="7" t="s">
        <v>563</v>
      </c>
      <c r="G11" s="7" t="s">
        <v>562</v>
      </c>
      <c r="J11" s="518" t="s">
        <v>540</v>
      </c>
      <c r="L11" s="518" t="s">
        <v>541</v>
      </c>
      <c r="M11" s="518" t="s">
        <v>542</v>
      </c>
      <c r="N11" s="518" t="s">
        <v>558</v>
      </c>
      <c r="U11" s="489"/>
    </row>
    <row r="12" spans="6:24" ht="23.25" thickBot="1">
      <c r="F12" s="14" t="s">
        <v>91</v>
      </c>
      <c r="G12" s="10" t="s">
        <v>561</v>
      </c>
      <c r="J12" s="490" t="s">
        <v>533</v>
      </c>
      <c r="K12" s="6"/>
      <c r="L12" s="490" t="s">
        <v>534</v>
      </c>
      <c r="M12" s="490" t="s">
        <v>535</v>
      </c>
      <c r="N12" s="490" t="s">
        <v>559</v>
      </c>
      <c r="U12" s="489"/>
      <c r="V12" s="543" t="s">
        <v>570</v>
      </c>
      <c r="W12" s="544"/>
      <c r="X12" s="545"/>
    </row>
    <row r="13" spans="3:26" ht="37.5" customHeight="1" thickBot="1">
      <c r="C13" s="511" t="s">
        <v>565</v>
      </c>
      <c r="D13" s="505" t="s">
        <v>580</v>
      </c>
      <c r="E13" s="505" t="s">
        <v>564</v>
      </c>
      <c r="F13" s="506" t="s">
        <v>275</v>
      </c>
      <c r="G13" s="507" t="s">
        <v>274</v>
      </c>
      <c r="H13" s="20" t="s">
        <v>433</v>
      </c>
      <c r="I13" s="21" t="s">
        <v>434</v>
      </c>
      <c r="J13" s="21" t="s">
        <v>437</v>
      </c>
      <c r="L13" s="21" t="s">
        <v>435</v>
      </c>
      <c r="M13" s="21" t="s">
        <v>436</v>
      </c>
      <c r="N13" s="21" t="s">
        <v>438</v>
      </c>
      <c r="P13" s="502" t="s">
        <v>578</v>
      </c>
      <c r="Q13" s="376"/>
      <c r="R13" s="376"/>
      <c r="S13" s="376"/>
      <c r="T13" s="220"/>
      <c r="U13" s="3"/>
      <c r="V13" s="503" t="s">
        <v>440</v>
      </c>
      <c r="W13" s="504" t="s">
        <v>441</v>
      </c>
      <c r="X13" s="21" t="s">
        <v>442</v>
      </c>
      <c r="Z13" s="21" t="s">
        <v>592</v>
      </c>
    </row>
    <row r="14" spans="1:28" ht="14.25">
      <c r="A14" s="102" t="s">
        <v>568</v>
      </c>
      <c r="B14" s="514">
        <f>J26/L26</f>
        <v>2.0841868086849655</v>
      </c>
      <c r="C14" s="90">
        <f>B16+(B15*F14)</f>
        <v>30.894100778369523</v>
      </c>
      <c r="D14" s="2">
        <f aca="true" t="shared" si="0" ref="D14:D25">C14-G14</f>
        <v>10.894100778369523</v>
      </c>
      <c r="E14" s="7">
        <v>1</v>
      </c>
      <c r="F14" s="17">
        <v>5</v>
      </c>
      <c r="G14" s="16">
        <v>20</v>
      </c>
      <c r="H14" s="473">
        <f>F14-F26</f>
        <v>-10.166666666666666</v>
      </c>
      <c r="I14" s="473">
        <f>G14-G26</f>
        <v>-32.083333333333336</v>
      </c>
      <c r="J14" s="524">
        <f>H14*I14</f>
        <v>326.18055555555554</v>
      </c>
      <c r="K14" s="479"/>
      <c r="L14" s="479">
        <f>H14^2</f>
        <v>103.3611111111111</v>
      </c>
      <c r="M14" s="479">
        <f aca="true" t="shared" si="1" ref="M14:M25">I14^2</f>
        <v>1029.3402777777778</v>
      </c>
      <c r="N14" s="487"/>
      <c r="P14" s="496" t="s">
        <v>543</v>
      </c>
      <c r="Q14" s="494"/>
      <c r="R14" s="499">
        <f>J26/G29</f>
        <v>141.31944444444446</v>
      </c>
      <c r="S14" s="3"/>
      <c r="T14" s="223"/>
      <c r="U14" s="3"/>
      <c r="V14" s="2">
        <f>H14/F27</f>
        <v>-1.182093052473333</v>
      </c>
      <c r="W14" s="2">
        <f>I14/G27</f>
        <v>-1.7098450279846609</v>
      </c>
      <c r="X14" s="2">
        <f>V14*W14</f>
        <v>2.0211959283867396</v>
      </c>
      <c r="Z14" s="2">
        <f>C14/C27</f>
        <v>1.7235028119962026</v>
      </c>
      <c r="AB14" s="537">
        <f>Z14/V14</f>
        <v>-1.4580094252225404</v>
      </c>
    </row>
    <row r="15" spans="1:28" ht="15.75">
      <c r="A15" s="512" t="s">
        <v>569</v>
      </c>
      <c r="B15" s="515">
        <f>R17*G27/F27</f>
        <v>2.084186808684966</v>
      </c>
      <c r="C15" s="90">
        <f>B16+(B15*F15)</f>
        <v>35.06247439573946</v>
      </c>
      <c r="D15" s="2">
        <f t="shared" si="0"/>
        <v>5.062474395739457</v>
      </c>
      <c r="E15" s="7">
        <v>2</v>
      </c>
      <c r="F15" s="17">
        <v>7</v>
      </c>
      <c r="G15" s="16">
        <v>30</v>
      </c>
      <c r="H15" s="473">
        <f>F15-F26</f>
        <v>-8.166666666666666</v>
      </c>
      <c r="I15" s="473">
        <f>G15-G26</f>
        <v>-22.083333333333336</v>
      </c>
      <c r="J15" s="524">
        <f aca="true" t="shared" si="2" ref="J15:J25">H15*I15</f>
        <v>180.34722222222223</v>
      </c>
      <c r="K15" s="479"/>
      <c r="L15" s="479">
        <f aca="true" t="shared" si="3" ref="L15:L25">H15^2</f>
        <v>66.69444444444443</v>
      </c>
      <c r="M15" s="479">
        <f t="shared" si="1"/>
        <v>487.6736111111112</v>
      </c>
      <c r="N15" s="487"/>
      <c r="P15" s="482" t="s">
        <v>544</v>
      </c>
      <c r="Q15" s="3"/>
      <c r="R15" s="500">
        <f>L26/12</f>
        <v>67.80555555555556</v>
      </c>
      <c r="S15" s="497" t="s">
        <v>538</v>
      </c>
      <c r="T15" s="498">
        <f>SQRT(R15)</f>
        <v>8.234412884690418</v>
      </c>
      <c r="U15" s="3"/>
      <c r="V15" s="2">
        <f>H15/F27</f>
        <v>-0.9495501569048085</v>
      </c>
      <c r="W15" s="2">
        <f>I15/G27</f>
        <v>-1.176906317963468</v>
      </c>
      <c r="X15" s="2">
        <f>V15*W15</f>
        <v>1.1175315788844715</v>
      </c>
      <c r="Z15" s="2">
        <f>C15/C27</f>
        <v>1.9560457075647273</v>
      </c>
      <c r="AB15" s="537">
        <f aca="true" t="shared" si="4" ref="AB15:AB25">Z15/V15</f>
        <v>-2.059970917113775</v>
      </c>
    </row>
    <row r="16" spans="1:28" ht="15.75">
      <c r="A16" s="102" t="s">
        <v>530</v>
      </c>
      <c r="B16" s="513">
        <f>G26-(F26*B14)</f>
        <v>20.473166734944694</v>
      </c>
      <c r="C16" s="90">
        <f>B16+(B15*F16)</f>
        <v>22.55735354362966</v>
      </c>
      <c r="D16" s="2">
        <f t="shared" si="0"/>
        <v>-12.44264645637034</v>
      </c>
      <c r="E16" s="7">
        <v>3</v>
      </c>
      <c r="F16" s="17">
        <v>1</v>
      </c>
      <c r="G16" s="16">
        <v>35</v>
      </c>
      <c r="H16" s="473">
        <f>F16-F26</f>
        <v>-14.166666666666666</v>
      </c>
      <c r="I16" s="473">
        <f>G16-G26</f>
        <v>-17.083333333333336</v>
      </c>
      <c r="J16" s="524">
        <f t="shared" si="2"/>
        <v>242.0138888888889</v>
      </c>
      <c r="K16" s="479"/>
      <c r="L16" s="479">
        <f t="shared" si="3"/>
        <v>200.69444444444443</v>
      </c>
      <c r="M16" s="479">
        <f t="shared" si="1"/>
        <v>291.8402777777779</v>
      </c>
      <c r="N16" s="487"/>
      <c r="P16" s="482" t="s">
        <v>547</v>
      </c>
      <c r="Q16" s="3"/>
      <c r="R16" s="500">
        <f>M26/12</f>
        <v>322.7430555555555</v>
      </c>
      <c r="S16" s="497" t="s">
        <v>539</v>
      </c>
      <c r="T16" s="498">
        <f>SQRT(R16)</f>
        <v>17.965050947758414</v>
      </c>
      <c r="U16" s="3"/>
      <c r="V16" s="2">
        <f>H16/F27</f>
        <v>-1.647178843610382</v>
      </c>
      <c r="W16" s="2">
        <f>I16/G27</f>
        <v>-0.9104369629528715</v>
      </c>
      <c r="X16" s="2">
        <f>V16*W16</f>
        <v>1.499652503816859</v>
      </c>
      <c r="Z16" s="2">
        <f>C16/C27</f>
        <v>1.2584170208591532</v>
      </c>
      <c r="AB16" s="537">
        <f t="shared" si="4"/>
        <v>-0.76398323457147</v>
      </c>
    </row>
    <row r="17" spans="3:28" ht="14.25">
      <c r="C17" s="90">
        <f>B16+(B15*F17)</f>
        <v>43.39922163047932</v>
      </c>
      <c r="D17" s="2">
        <f t="shared" si="0"/>
        <v>3.3992216304793175</v>
      </c>
      <c r="E17" s="7">
        <v>4</v>
      </c>
      <c r="F17" s="17">
        <v>11</v>
      </c>
      <c r="G17" s="16">
        <v>40</v>
      </c>
      <c r="H17" s="473">
        <f>F17-F26</f>
        <v>-4.166666666666666</v>
      </c>
      <c r="I17" s="473">
        <f>G17-G26</f>
        <v>-12.083333333333336</v>
      </c>
      <c r="J17" s="524">
        <f t="shared" si="2"/>
        <v>50.34722222222222</v>
      </c>
      <c r="K17" s="479"/>
      <c r="L17" s="479">
        <f t="shared" si="3"/>
        <v>17.361111111111107</v>
      </c>
      <c r="M17" s="479">
        <f t="shared" si="1"/>
        <v>146.0069444444445</v>
      </c>
      <c r="N17" s="487"/>
      <c r="P17" s="221" t="s">
        <v>574</v>
      </c>
      <c r="Q17" s="3"/>
      <c r="R17" s="495">
        <f>R14/(T15*T16)</f>
        <v>0.9553023123309691</v>
      </c>
      <c r="S17" s="3"/>
      <c r="T17" s="223"/>
      <c r="U17" s="3"/>
      <c r="V17" s="2">
        <f>H17/F27</f>
        <v>-0.48446436576775936</v>
      </c>
      <c r="W17" s="2">
        <f>I17/G27</f>
        <v>-0.643967607942275</v>
      </c>
      <c r="X17" s="2">
        <f>V17*W17</f>
        <v>0.3119793587567354</v>
      </c>
      <c r="Z17" s="2">
        <f>C17/C27</f>
        <v>2.4211314987017762</v>
      </c>
      <c r="AB17" s="537">
        <f t="shared" si="4"/>
        <v>-4.9975429975429995</v>
      </c>
    </row>
    <row r="18" spans="1:28" ht="14.25">
      <c r="A18" s="480" t="s">
        <v>536</v>
      </c>
      <c r="B18" s="513">
        <f>J26/SQRT(N26)</f>
        <v>0.955302312330969</v>
      </c>
      <c r="C18" s="90">
        <f>B16+(B15*F18)</f>
        <v>45.483408439164286</v>
      </c>
      <c r="D18" s="2">
        <f t="shared" si="0"/>
        <v>0.4834084391642861</v>
      </c>
      <c r="E18" s="7">
        <v>5</v>
      </c>
      <c r="F18" s="17">
        <v>12</v>
      </c>
      <c r="G18" s="16">
        <v>45</v>
      </c>
      <c r="H18" s="473">
        <f>F18-F26</f>
        <v>-3.166666666666666</v>
      </c>
      <c r="I18" s="473">
        <f>G18-G26</f>
        <v>-7.083333333333336</v>
      </c>
      <c r="J18" s="524">
        <f t="shared" si="2"/>
        <v>22.430555555555557</v>
      </c>
      <c r="K18" s="479"/>
      <c r="L18" s="479">
        <f t="shared" si="3"/>
        <v>10.027777777777773</v>
      </c>
      <c r="M18" s="479">
        <f t="shared" si="1"/>
        <v>50.17361111111114</v>
      </c>
      <c r="N18" s="487"/>
      <c r="P18" s="221"/>
      <c r="Q18" s="3"/>
      <c r="R18" s="501"/>
      <c r="S18" s="3"/>
      <c r="T18" s="223"/>
      <c r="U18" s="3"/>
      <c r="V18" s="2">
        <f>H18/F27</f>
        <v>-0.3681929179834971</v>
      </c>
      <c r="W18" s="2">
        <f>I18/G27</f>
        <v>-0.3774982529316785</v>
      </c>
      <c r="X18" s="2">
        <f aca="true" t="shared" si="5" ref="X18:X25">V18*W18</f>
        <v>0.13899218328058696</v>
      </c>
      <c r="Z18" s="2">
        <f>C18/C27</f>
        <v>2.537402946486039</v>
      </c>
      <c r="AB18" s="537">
        <f t="shared" si="4"/>
        <v>-6.891503944135527</v>
      </c>
    </row>
    <row r="19" spans="1:28" ht="15.75">
      <c r="A19" s="480" t="s">
        <v>537</v>
      </c>
      <c r="B19" s="513">
        <f>B18^2</f>
        <v>0.9126025079448962</v>
      </c>
      <c r="C19" s="90">
        <f>B16+(B15*F19)</f>
        <v>49.651782056534216</v>
      </c>
      <c r="D19" s="2">
        <f t="shared" si="0"/>
        <v>-0.3482179434657837</v>
      </c>
      <c r="E19" s="7">
        <v>6</v>
      </c>
      <c r="F19" s="17">
        <v>14</v>
      </c>
      <c r="G19" s="16">
        <v>50</v>
      </c>
      <c r="H19" s="473">
        <f>F19-F26</f>
        <v>-1.166666666666666</v>
      </c>
      <c r="I19" s="473">
        <f>G19-G26</f>
        <v>-2.0833333333333357</v>
      </c>
      <c r="J19" s="524">
        <f t="shared" si="2"/>
        <v>2.430555555555557</v>
      </c>
      <c r="K19" s="479"/>
      <c r="L19" s="479">
        <f t="shared" si="3"/>
        <v>1.3611111111111098</v>
      </c>
      <c r="M19" s="479">
        <f t="shared" si="1"/>
        <v>4.3402777777777874</v>
      </c>
      <c r="N19" s="487"/>
      <c r="P19" s="510" t="s">
        <v>575</v>
      </c>
      <c r="Q19" s="3"/>
      <c r="R19" s="495">
        <f>X26/(G29-1)</f>
        <v>0.9553023123309692</v>
      </c>
      <c r="S19" s="3"/>
      <c r="T19" s="223"/>
      <c r="V19" s="2">
        <f>H19/F27</f>
        <v>-0.13565002241497257</v>
      </c>
      <c r="W19" s="2">
        <f>I19/G27</f>
        <v>-0.111028897921082</v>
      </c>
      <c r="X19" s="2">
        <f t="shared" si="5"/>
        <v>0.015061072491704474</v>
      </c>
      <c r="Z19" s="2">
        <f>C19/C27</f>
        <v>2.7699458420545633</v>
      </c>
      <c r="AB19" s="537">
        <f t="shared" si="4"/>
        <v>-20.419796419796437</v>
      </c>
    </row>
    <row r="20" spans="3:28" ht="14.25">
      <c r="C20" s="90">
        <f>B16+(B15*F20)</f>
        <v>53.820155673904154</v>
      </c>
      <c r="D20" s="2">
        <f t="shared" si="0"/>
        <v>-1.1798443260958464</v>
      </c>
      <c r="E20" s="7">
        <v>7</v>
      </c>
      <c r="F20" s="17">
        <v>16</v>
      </c>
      <c r="G20" s="16">
        <v>55</v>
      </c>
      <c r="H20" s="473">
        <f>F20-F26</f>
        <v>0.8333333333333339</v>
      </c>
      <c r="I20" s="473">
        <f>G20-G26</f>
        <v>2.9166666666666643</v>
      </c>
      <c r="J20" s="524">
        <f t="shared" si="2"/>
        <v>2.4305555555555554</v>
      </c>
      <c r="K20" s="479"/>
      <c r="L20" s="479">
        <f t="shared" si="3"/>
        <v>0.6944444444444454</v>
      </c>
      <c r="M20" s="479">
        <f t="shared" si="1"/>
        <v>8.50694444444443</v>
      </c>
      <c r="N20" s="487"/>
      <c r="P20" s="221"/>
      <c r="Q20" s="3"/>
      <c r="R20" s="3"/>
      <c r="S20" s="3"/>
      <c r="T20" s="223"/>
      <c r="V20" s="2">
        <f>H20/F27</f>
        <v>0.09689287315355195</v>
      </c>
      <c r="W20" s="2">
        <f>I20/G27</f>
        <v>0.15544045708951448</v>
      </c>
      <c r="X20" s="2">
        <f t="shared" si="5"/>
        <v>0.015061072491704462</v>
      </c>
      <c r="Z20" s="2">
        <f>C20/C27</f>
        <v>3.0024887376230884</v>
      </c>
      <c r="AB20" s="537">
        <f t="shared" si="4"/>
        <v>30.98771498771498</v>
      </c>
    </row>
    <row r="21" spans="3:28" ht="14.25">
      <c r="C21" s="90">
        <f>B16+(B15*F21)</f>
        <v>55.904342482589115</v>
      </c>
      <c r="D21" s="2">
        <f t="shared" si="0"/>
        <v>-4.095657517410885</v>
      </c>
      <c r="E21" s="7">
        <v>8</v>
      </c>
      <c r="F21" s="17">
        <v>17</v>
      </c>
      <c r="G21" s="16">
        <v>60</v>
      </c>
      <c r="H21" s="473">
        <f>F21-F26</f>
        <v>1.833333333333334</v>
      </c>
      <c r="I21" s="473">
        <f>G21-G26</f>
        <v>7.916666666666664</v>
      </c>
      <c r="J21" s="524">
        <f t="shared" si="2"/>
        <v>14.51388888888889</v>
      </c>
      <c r="K21" s="479"/>
      <c r="L21" s="479">
        <f t="shared" si="3"/>
        <v>3.3611111111111134</v>
      </c>
      <c r="M21" s="479">
        <f t="shared" si="1"/>
        <v>62.67361111111107</v>
      </c>
      <c r="N21" s="487"/>
      <c r="P21" s="517" t="s">
        <v>576</v>
      </c>
      <c r="Q21" s="516"/>
      <c r="R21" s="495">
        <f>G30/C30</f>
        <v>0.9553023123309682</v>
      </c>
      <c r="S21" s="3"/>
      <c r="T21" s="223"/>
      <c r="V21" s="2">
        <f>H21/F27</f>
        <v>0.21316432093781423</v>
      </c>
      <c r="W21" s="2">
        <f>I21/G27</f>
        <v>0.42190981210011097</v>
      </c>
      <c r="X21" s="2">
        <f t="shared" si="5"/>
        <v>0.08993611859332096</v>
      </c>
      <c r="Z21" s="2">
        <f>C21/C27</f>
        <v>3.1187601854073503</v>
      </c>
      <c r="AB21" s="537">
        <f t="shared" si="4"/>
        <v>14.63077953987045</v>
      </c>
    </row>
    <row r="22" spans="3:28" ht="14.25">
      <c r="C22" s="90">
        <f>B16+(B15*F22)</f>
        <v>62.156902908644014</v>
      </c>
      <c r="D22" s="2">
        <f t="shared" si="0"/>
        <v>-2.843097091355986</v>
      </c>
      <c r="E22" s="7">
        <v>9</v>
      </c>
      <c r="F22" s="17">
        <v>20</v>
      </c>
      <c r="G22" s="16">
        <v>65</v>
      </c>
      <c r="H22" s="473">
        <f>F22-F26</f>
        <v>4.833333333333334</v>
      </c>
      <c r="I22" s="473">
        <f>G22-G26</f>
        <v>12.916666666666664</v>
      </c>
      <c r="J22" s="524">
        <f t="shared" si="2"/>
        <v>62.43055555555555</v>
      </c>
      <c r="K22" s="479"/>
      <c r="L22" s="479">
        <f t="shared" si="3"/>
        <v>23.361111111111118</v>
      </c>
      <c r="M22" s="479">
        <f t="shared" si="1"/>
        <v>166.84027777777771</v>
      </c>
      <c r="N22" s="487"/>
      <c r="P22" s="517" t="s">
        <v>577</v>
      </c>
      <c r="Q22" s="3"/>
      <c r="R22" s="495">
        <f>C27/G27</f>
        <v>0.9553023123309685</v>
      </c>
      <c r="S22" s="3"/>
      <c r="T22" s="223"/>
      <c r="V22" s="2">
        <f>H22/F27</f>
        <v>0.5619786642906011</v>
      </c>
      <c r="W22" s="2">
        <f>I22/G27</f>
        <v>0.6883791671107075</v>
      </c>
      <c r="X22" s="2">
        <f t="shared" si="5"/>
        <v>0.3868544048583518</v>
      </c>
      <c r="Z22" s="2">
        <f>C22/C27</f>
        <v>3.4675745287601374</v>
      </c>
      <c r="AB22" s="537">
        <f t="shared" si="4"/>
        <v>6.170295687537068</v>
      </c>
    </row>
    <row r="23" spans="3:28" ht="14.25">
      <c r="C23" s="90">
        <f>B16+(B15*F23)</f>
        <v>70.49365014338387</v>
      </c>
      <c r="D23" s="2">
        <f t="shared" si="0"/>
        <v>0.49365014338387425</v>
      </c>
      <c r="E23" s="7">
        <v>10</v>
      </c>
      <c r="F23" s="17">
        <v>24</v>
      </c>
      <c r="G23" s="16">
        <v>70</v>
      </c>
      <c r="H23" s="473">
        <f>F23-F26</f>
        <v>8.833333333333334</v>
      </c>
      <c r="I23" s="473">
        <f>G23-G26</f>
        <v>17.916666666666664</v>
      </c>
      <c r="J23" s="524">
        <f t="shared" si="2"/>
        <v>158.26388888888889</v>
      </c>
      <c r="K23" s="479"/>
      <c r="L23" s="479">
        <f t="shared" si="3"/>
        <v>78.02777777777779</v>
      </c>
      <c r="M23" s="479">
        <f t="shared" si="1"/>
        <v>321.00694444444434</v>
      </c>
      <c r="N23" s="487"/>
      <c r="P23" s="221"/>
      <c r="Q23" s="3"/>
      <c r="R23" s="519"/>
      <c r="S23" s="3"/>
      <c r="T23" s="520"/>
      <c r="V23" s="2">
        <f>H23/F27</f>
        <v>1.02706445542765</v>
      </c>
      <c r="W23" s="2">
        <f>I23/G27</f>
        <v>0.954848522121304</v>
      </c>
      <c r="X23" s="2">
        <f t="shared" si="5"/>
        <v>0.9806909773884135</v>
      </c>
      <c r="Z23" s="2">
        <f>C23/C27</f>
        <v>3.932660319897187</v>
      </c>
      <c r="AB23" s="537">
        <f t="shared" si="4"/>
        <v>3.82902971582217</v>
      </c>
    </row>
    <row r="24" spans="3:28" ht="15.75">
      <c r="C24" s="90">
        <f>B16+(B15*F24)</f>
        <v>74.66202376075381</v>
      </c>
      <c r="D24" s="2">
        <f t="shared" si="0"/>
        <v>-0.33797623924618847</v>
      </c>
      <c r="E24" s="7">
        <v>11</v>
      </c>
      <c r="F24" s="17">
        <v>26</v>
      </c>
      <c r="G24" s="16">
        <v>75</v>
      </c>
      <c r="H24" s="473">
        <f>F24-F26</f>
        <v>10.833333333333334</v>
      </c>
      <c r="I24" s="473">
        <f>G24-G26</f>
        <v>22.916666666666664</v>
      </c>
      <c r="J24" s="524">
        <f t="shared" si="2"/>
        <v>248.26388888888889</v>
      </c>
      <c r="K24" s="479"/>
      <c r="L24" s="479">
        <f t="shared" si="3"/>
        <v>117.36111111111113</v>
      </c>
      <c r="M24" s="479">
        <f t="shared" si="1"/>
        <v>525.173611111111</v>
      </c>
      <c r="N24" s="487"/>
      <c r="P24" s="521" t="s">
        <v>582</v>
      </c>
      <c r="Q24" s="483"/>
      <c r="R24" s="522" t="s">
        <v>581</v>
      </c>
      <c r="S24" s="483"/>
      <c r="T24" s="484"/>
      <c r="V24" s="2">
        <f>H24/F27</f>
        <v>1.2596073509961747</v>
      </c>
      <c r="W24" s="2">
        <f>I24/G27</f>
        <v>1.2213178771319004</v>
      </c>
      <c r="X24" s="2">
        <f t="shared" si="5"/>
        <v>1.5383809759383846</v>
      </c>
      <c r="Z24" s="2">
        <f>C24/C27</f>
        <v>4.165203215465712</v>
      </c>
      <c r="AB24" s="537">
        <f t="shared" si="4"/>
        <v>3.306747306747308</v>
      </c>
    </row>
    <row r="25" spans="3:28" ht="15" thickBot="1">
      <c r="C25" s="90">
        <f>B16+(B15*F25)</f>
        <v>80.91458418680871</v>
      </c>
      <c r="D25" s="2">
        <f t="shared" si="0"/>
        <v>0.9145841868087103</v>
      </c>
      <c r="E25" s="7">
        <v>12</v>
      </c>
      <c r="F25" s="17">
        <v>29</v>
      </c>
      <c r="G25" s="16">
        <v>80</v>
      </c>
      <c r="H25" s="473">
        <f>F25-F26</f>
        <v>13.833333333333334</v>
      </c>
      <c r="I25" s="473">
        <f>G25-G26</f>
        <v>27.916666666666664</v>
      </c>
      <c r="J25" s="524">
        <f t="shared" si="2"/>
        <v>386.18055555555554</v>
      </c>
      <c r="K25" s="479"/>
      <c r="L25" s="479">
        <f t="shared" si="3"/>
        <v>191.36111111111111</v>
      </c>
      <c r="M25" s="479">
        <f t="shared" si="1"/>
        <v>779.3402777777776</v>
      </c>
      <c r="N25" s="487"/>
      <c r="V25" s="2">
        <f>H25/F27</f>
        <v>1.6084216943489615</v>
      </c>
      <c r="W25" s="2">
        <f>I25/G27</f>
        <v>1.487787232142497</v>
      </c>
      <c r="X25" s="2">
        <f t="shared" si="5"/>
        <v>2.392989260753387</v>
      </c>
      <c r="Z25" s="2">
        <f>C25/C27</f>
        <v>4.514017558818499</v>
      </c>
      <c r="AB25" s="537">
        <f t="shared" si="4"/>
        <v>2.806488854681627</v>
      </c>
    </row>
    <row r="26" spans="2:24" ht="15" thickBot="1">
      <c r="B26" s="1" t="s">
        <v>560</v>
      </c>
      <c r="C26" s="2">
        <f>AVERAGE(C14:C25)</f>
        <v>52.08333333333335</v>
      </c>
      <c r="D26" s="2">
        <f>AVERAGE(D14:D25)</f>
        <v>1.1546319456101628E-14</v>
      </c>
      <c r="F26" s="2">
        <f>AVERAGE(F14:F25)</f>
        <v>15.166666666666666</v>
      </c>
      <c r="G26" s="2">
        <f>AVERAGE(G14:G25)</f>
        <v>52.083333333333336</v>
      </c>
      <c r="I26" s="41" t="s">
        <v>201</v>
      </c>
      <c r="J26" s="523">
        <f>SUM(J14:J25)</f>
        <v>1695.8333333333335</v>
      </c>
      <c r="K26" s="41" t="s">
        <v>201</v>
      </c>
      <c r="L26" s="523">
        <f>SUM(L14:L25)</f>
        <v>813.6666666666666</v>
      </c>
      <c r="M26" s="523">
        <f>SUM(M14:M25)</f>
        <v>3872.916666666666</v>
      </c>
      <c r="N26" s="523">
        <f>M26*L26</f>
        <v>3151263.194444444</v>
      </c>
      <c r="P26" s="8" t="s">
        <v>582</v>
      </c>
      <c r="Q26" s="66"/>
      <c r="R26" s="66" t="s">
        <v>584</v>
      </c>
      <c r="S26" s="66"/>
      <c r="T26" s="525">
        <f>D27/G27</f>
        <v>0.29563066832638324</v>
      </c>
      <c r="V26" s="2"/>
      <c r="W26" s="2"/>
      <c r="X26" s="481">
        <f>SUM(X14:X25)</f>
        <v>10.50832543564066</v>
      </c>
    </row>
    <row r="27" spans="2:14" ht="14.25">
      <c r="B27" s="3" t="s">
        <v>432</v>
      </c>
      <c r="C27" s="4">
        <f>STDEVA(C14:C25)</f>
        <v>17.92518153340709</v>
      </c>
      <c r="D27" s="4">
        <f>STDEVA(D14:D25)</f>
        <v>5.547179493015756</v>
      </c>
      <c r="E27" s="3"/>
      <c r="F27" s="4">
        <f>STDEVA(F14:F25)</f>
        <v>8.600563758829821</v>
      </c>
      <c r="G27" s="4">
        <f>STDEVA(G14:G25)</f>
        <v>18.76388374866284</v>
      </c>
      <c r="I27" s="41"/>
      <c r="J27" s="492"/>
      <c r="K27" s="41"/>
      <c r="L27" s="492"/>
      <c r="M27" s="492"/>
      <c r="N27" s="493"/>
    </row>
    <row r="28" spans="2:14" ht="15.75">
      <c r="B28" s="3" t="s">
        <v>579</v>
      </c>
      <c r="C28" s="4">
        <f>C27^2</f>
        <v>321.3121330055986</v>
      </c>
      <c r="D28" s="4">
        <f>D27^2</f>
        <v>30.77120032773454</v>
      </c>
      <c r="E28" s="3"/>
      <c r="F28" s="4">
        <f>F27^2</f>
        <v>73.96969696969694</v>
      </c>
      <c r="G28" s="4">
        <f>G27^2</f>
        <v>352.08333333333337</v>
      </c>
      <c r="H28" s="509"/>
      <c r="I28" s="536"/>
      <c r="J28" s="492"/>
      <c r="K28" s="41"/>
      <c r="L28" s="492"/>
      <c r="M28" s="492"/>
      <c r="N28" s="493"/>
    </row>
    <row r="29" spans="2:14" ht="14.25">
      <c r="B29" s="1" t="s">
        <v>398</v>
      </c>
      <c r="C29" s="4">
        <f>COUNT(C14:C25)</f>
        <v>12</v>
      </c>
      <c r="D29" s="4">
        <f>COUNT(D14:D25)</f>
        <v>12</v>
      </c>
      <c r="F29" s="4">
        <f>COUNT(F14:F25)</f>
        <v>12</v>
      </c>
      <c r="G29" s="4">
        <f>COUNT(G14:G25)</f>
        <v>12</v>
      </c>
      <c r="I29" s="41"/>
      <c r="J29" s="492"/>
      <c r="K29" s="41"/>
      <c r="L29" s="492"/>
      <c r="M29" s="492"/>
      <c r="N29" s="493"/>
    </row>
    <row r="30" spans="2:10" ht="14.25">
      <c r="B30" s="508" t="s">
        <v>566</v>
      </c>
      <c r="C30" s="508">
        <f>C26/C27</f>
        <v>2.9055958644695368</v>
      </c>
      <c r="D30" s="508">
        <f>D26/D27</f>
        <v>2.0814757248506493E-15</v>
      </c>
      <c r="E30" s="508"/>
      <c r="F30" s="508">
        <f>F26/F27</f>
        <v>1.7634502913946444</v>
      </c>
      <c r="G30" s="508">
        <f>G26/G27</f>
        <v>2.775722448027047</v>
      </c>
      <c r="H30" s="508"/>
      <c r="I30" s="41"/>
      <c r="J30" s="508"/>
    </row>
    <row r="31" spans="2:21" ht="14.25">
      <c r="B31" s="508"/>
      <c r="C31" s="508"/>
      <c r="D31" s="508"/>
      <c r="E31" s="508"/>
      <c r="F31" s="508"/>
      <c r="G31" s="508"/>
      <c r="J31" s="518" t="s">
        <v>540</v>
      </c>
      <c r="L31" s="518" t="s">
        <v>541</v>
      </c>
      <c r="M31" s="518" t="s">
        <v>542</v>
      </c>
      <c r="N31" s="518" t="s">
        <v>558</v>
      </c>
      <c r="U31" s="489"/>
    </row>
    <row r="32" spans="6:24" ht="23.25" customHeight="1" thickBot="1">
      <c r="F32" s="10" t="s">
        <v>561</v>
      </c>
      <c r="G32" s="14" t="s">
        <v>91</v>
      </c>
      <c r="J32" s="490" t="s">
        <v>533</v>
      </c>
      <c r="K32" s="6"/>
      <c r="L32" s="490" t="s">
        <v>534</v>
      </c>
      <c r="M32" s="490" t="s">
        <v>535</v>
      </c>
      <c r="N32" s="490" t="s">
        <v>559</v>
      </c>
      <c r="U32" s="489"/>
      <c r="V32" s="543" t="s">
        <v>570</v>
      </c>
      <c r="W32" s="544"/>
      <c r="X32" s="545"/>
    </row>
    <row r="33" spans="3:24" ht="32.25" thickBot="1">
      <c r="C33" s="511" t="s">
        <v>565</v>
      </c>
      <c r="D33" s="505" t="s">
        <v>580</v>
      </c>
      <c r="F33" s="478" t="s">
        <v>275</v>
      </c>
      <c r="G33" s="475" t="s">
        <v>274</v>
      </c>
      <c r="H33" s="20" t="s">
        <v>433</v>
      </c>
      <c r="I33" s="21" t="s">
        <v>434</v>
      </c>
      <c r="J33" s="21" t="s">
        <v>437</v>
      </c>
      <c r="L33" s="21" t="s">
        <v>435</v>
      </c>
      <c r="M33" s="21" t="s">
        <v>436</v>
      </c>
      <c r="N33" s="21" t="s">
        <v>438</v>
      </c>
      <c r="P33" s="502" t="s">
        <v>578</v>
      </c>
      <c r="Q33" s="376"/>
      <c r="R33" s="376"/>
      <c r="S33" s="376"/>
      <c r="T33" s="220"/>
      <c r="U33" s="3"/>
      <c r="V33" s="503" t="s">
        <v>440</v>
      </c>
      <c r="W33" s="504" t="s">
        <v>441</v>
      </c>
      <c r="X33" s="21" t="s">
        <v>442</v>
      </c>
    </row>
    <row r="34" spans="1:24" ht="14.25">
      <c r="A34" s="102" t="s">
        <v>531</v>
      </c>
      <c r="B34" s="514">
        <f>J46/L46</f>
        <v>0.4378698224852072</v>
      </c>
      <c r="C34" s="90">
        <f>B36+(B35*F34)</f>
        <v>1.118343195266263</v>
      </c>
      <c r="D34" s="2">
        <f>C34-G34</f>
        <v>-3.881656804733737</v>
      </c>
      <c r="F34" s="476">
        <v>20</v>
      </c>
      <c r="G34" s="474">
        <v>5</v>
      </c>
      <c r="H34" s="473">
        <f>F34-F46</f>
        <v>-32.083333333333336</v>
      </c>
      <c r="I34" s="473">
        <f>G34-G46</f>
        <v>-10.166666666666666</v>
      </c>
      <c r="J34" s="524">
        <f>H34*I34</f>
        <v>326.18055555555554</v>
      </c>
      <c r="K34" s="479"/>
      <c r="L34" s="479">
        <f>H34^2</f>
        <v>1029.3402777777778</v>
      </c>
      <c r="M34" s="479">
        <f aca="true" t="shared" si="6" ref="M34:M45">I34^2</f>
        <v>103.3611111111111</v>
      </c>
      <c r="N34" s="487"/>
      <c r="P34" s="496" t="s">
        <v>543</v>
      </c>
      <c r="Q34" s="494"/>
      <c r="R34" s="499">
        <f>J46/G49</f>
        <v>141.31944444444446</v>
      </c>
      <c r="S34" s="3"/>
      <c r="T34" s="223"/>
      <c r="U34" s="3"/>
      <c r="V34" s="2">
        <f>H34/F47</f>
        <v>-1.7098450279846609</v>
      </c>
      <c r="W34" s="2">
        <f>I34/G47</f>
        <v>-1.182093052473333</v>
      </c>
      <c r="X34" s="2">
        <f>V34*W34</f>
        <v>2.0211959283867396</v>
      </c>
    </row>
    <row r="35" spans="1:24" ht="15.75">
      <c r="A35" s="512" t="s">
        <v>569</v>
      </c>
      <c r="B35" s="515">
        <f>R37*G47/F47</f>
        <v>0.43786982248520706</v>
      </c>
      <c r="C35" s="90">
        <f>B36+(B35*F35)</f>
        <v>5.497041420118334</v>
      </c>
      <c r="D35" s="2">
        <f aca="true" t="shared" si="7" ref="D35:D45">C35-G35</f>
        <v>-1.5029585798816658</v>
      </c>
      <c r="F35" s="16">
        <v>30</v>
      </c>
      <c r="G35" s="17">
        <v>7</v>
      </c>
      <c r="H35" s="473">
        <f>F35-F46</f>
        <v>-22.083333333333336</v>
      </c>
      <c r="I35" s="473">
        <f>G35-G46</f>
        <v>-8.166666666666666</v>
      </c>
      <c r="J35" s="524">
        <f aca="true" t="shared" si="8" ref="J35:J45">H35*I35</f>
        <v>180.34722222222223</v>
      </c>
      <c r="K35" s="479"/>
      <c r="L35" s="479">
        <f aca="true" t="shared" si="9" ref="L35:L45">H35^2</f>
        <v>487.6736111111112</v>
      </c>
      <c r="M35" s="479">
        <f t="shared" si="6"/>
        <v>66.69444444444443</v>
      </c>
      <c r="N35" s="487"/>
      <c r="P35" s="482" t="s">
        <v>544</v>
      </c>
      <c r="Q35" s="3"/>
      <c r="R35" s="500">
        <f>L46/12</f>
        <v>322.7430555555555</v>
      </c>
      <c r="S35" s="497" t="s">
        <v>538</v>
      </c>
      <c r="T35" s="498">
        <f>SQRT(R35)</f>
        <v>17.965050947758414</v>
      </c>
      <c r="U35" s="3"/>
      <c r="V35" s="2">
        <f>H35/F47</f>
        <v>-1.176906317963468</v>
      </c>
      <c r="W35" s="2">
        <f>I35/G47</f>
        <v>-0.9495501569048085</v>
      </c>
      <c r="X35" s="2">
        <f>V35*W35</f>
        <v>1.1175315788844715</v>
      </c>
    </row>
    <row r="36" spans="1:24" ht="15.75">
      <c r="A36" s="102" t="s">
        <v>530</v>
      </c>
      <c r="B36" s="513">
        <f>G46-(F46*B34)</f>
        <v>-7.6390532544378775</v>
      </c>
      <c r="C36" s="90">
        <f>B36+(B35*F36)</f>
        <v>7.686390532544369</v>
      </c>
      <c r="D36" s="2">
        <f t="shared" si="7"/>
        <v>6.686390532544369</v>
      </c>
      <c r="F36" s="16">
        <v>35</v>
      </c>
      <c r="G36" s="17">
        <v>1</v>
      </c>
      <c r="H36" s="473">
        <f>F36-F46</f>
        <v>-17.083333333333336</v>
      </c>
      <c r="I36" s="473">
        <f>G36-G46</f>
        <v>-14.166666666666666</v>
      </c>
      <c r="J36" s="524">
        <f t="shared" si="8"/>
        <v>242.0138888888889</v>
      </c>
      <c r="K36" s="479"/>
      <c r="L36" s="479">
        <f t="shared" si="9"/>
        <v>291.8402777777779</v>
      </c>
      <c r="M36" s="479">
        <f t="shared" si="6"/>
        <v>200.69444444444443</v>
      </c>
      <c r="N36" s="487"/>
      <c r="P36" s="482" t="s">
        <v>547</v>
      </c>
      <c r="Q36" s="3"/>
      <c r="R36" s="500">
        <f>M46/12</f>
        <v>67.80555555555556</v>
      </c>
      <c r="S36" s="497" t="s">
        <v>539</v>
      </c>
      <c r="T36" s="498">
        <f>SQRT(R36)</f>
        <v>8.234412884690418</v>
      </c>
      <c r="U36" s="3"/>
      <c r="V36" s="2">
        <f>H36/F47</f>
        <v>-0.9104369629528715</v>
      </c>
      <c r="W36" s="2">
        <f>I36/G47</f>
        <v>-1.647178843610382</v>
      </c>
      <c r="X36" s="2">
        <f>V36*W36</f>
        <v>1.499652503816859</v>
      </c>
    </row>
    <row r="37" spans="3:24" ht="14.25">
      <c r="C37" s="90">
        <f>B36+(B35*F37)</f>
        <v>9.875739644970404</v>
      </c>
      <c r="D37" s="2">
        <f t="shared" si="7"/>
        <v>-1.1242603550295964</v>
      </c>
      <c r="F37" s="16">
        <v>40</v>
      </c>
      <c r="G37" s="17">
        <v>11</v>
      </c>
      <c r="H37" s="473">
        <f>F37-F46</f>
        <v>-12.083333333333336</v>
      </c>
      <c r="I37" s="473">
        <f>G37-G46</f>
        <v>-4.166666666666666</v>
      </c>
      <c r="J37" s="524">
        <f t="shared" si="8"/>
        <v>50.34722222222222</v>
      </c>
      <c r="K37" s="479"/>
      <c r="L37" s="479">
        <f t="shared" si="9"/>
        <v>146.0069444444445</v>
      </c>
      <c r="M37" s="479">
        <f t="shared" si="6"/>
        <v>17.361111111111107</v>
      </c>
      <c r="N37" s="487"/>
      <c r="P37" s="221" t="s">
        <v>574</v>
      </c>
      <c r="Q37" s="3"/>
      <c r="R37" s="495">
        <f>R34/(T35*T36)</f>
        <v>0.9553023123309691</v>
      </c>
      <c r="S37" s="3"/>
      <c r="T37" s="223"/>
      <c r="U37" s="3"/>
      <c r="V37" s="2">
        <f>H37/F47</f>
        <v>-0.643967607942275</v>
      </c>
      <c r="W37" s="2">
        <f>I37/G47</f>
        <v>-0.48446436576775936</v>
      </c>
      <c r="X37" s="2">
        <f>V37*W37</f>
        <v>0.3119793587567354</v>
      </c>
    </row>
    <row r="38" spans="1:24" ht="14.25">
      <c r="A38" s="480" t="s">
        <v>536</v>
      </c>
      <c r="B38" s="513">
        <f>J46/SQRT(N46)</f>
        <v>0.955302312330969</v>
      </c>
      <c r="C38" s="90">
        <f>B36+(B35*F38)</f>
        <v>12.06508875739644</v>
      </c>
      <c r="D38" s="2">
        <f t="shared" si="7"/>
        <v>0.06508875739644004</v>
      </c>
      <c r="F38" s="16">
        <v>45</v>
      </c>
      <c r="G38" s="17">
        <v>12</v>
      </c>
      <c r="H38" s="473">
        <f>F38-F46</f>
        <v>-7.083333333333336</v>
      </c>
      <c r="I38" s="473">
        <f>G38-G46</f>
        <v>-3.166666666666666</v>
      </c>
      <c r="J38" s="524">
        <f t="shared" si="8"/>
        <v>22.430555555555557</v>
      </c>
      <c r="K38" s="479"/>
      <c r="L38" s="479">
        <f t="shared" si="9"/>
        <v>50.17361111111114</v>
      </c>
      <c r="M38" s="479">
        <f t="shared" si="6"/>
        <v>10.027777777777773</v>
      </c>
      <c r="N38" s="487"/>
      <c r="P38" s="221"/>
      <c r="Q38" s="3"/>
      <c r="R38" s="501"/>
      <c r="S38" s="3"/>
      <c r="T38" s="223"/>
      <c r="U38" s="3"/>
      <c r="V38" s="2">
        <f>H38/F47</f>
        <v>-0.3774982529316785</v>
      </c>
      <c r="W38" s="2">
        <f>I38/G47</f>
        <v>-0.3681929179834971</v>
      </c>
      <c r="X38" s="2">
        <f aca="true" t="shared" si="10" ref="X38:X45">V38*W38</f>
        <v>0.13899218328058696</v>
      </c>
    </row>
    <row r="39" spans="1:24" ht="15.75">
      <c r="A39" s="480" t="s">
        <v>537</v>
      </c>
      <c r="B39" s="513">
        <f>B38^2</f>
        <v>0.9126025079448962</v>
      </c>
      <c r="C39" s="90">
        <f>B36+(B35*F39)</f>
        <v>14.254437869822477</v>
      </c>
      <c r="D39" s="2">
        <f t="shared" si="7"/>
        <v>0.2544378698224765</v>
      </c>
      <c r="F39" s="16">
        <v>50</v>
      </c>
      <c r="G39" s="17">
        <v>14</v>
      </c>
      <c r="H39" s="473">
        <f>F39-F46</f>
        <v>-2.0833333333333357</v>
      </c>
      <c r="I39" s="473">
        <f>G39-G46</f>
        <v>-1.166666666666666</v>
      </c>
      <c r="J39" s="524">
        <f t="shared" si="8"/>
        <v>2.430555555555557</v>
      </c>
      <c r="K39" s="479"/>
      <c r="L39" s="479">
        <f t="shared" si="9"/>
        <v>4.3402777777777874</v>
      </c>
      <c r="M39" s="479">
        <f t="shared" si="6"/>
        <v>1.3611111111111098</v>
      </c>
      <c r="N39" s="487"/>
      <c r="P39" s="510" t="s">
        <v>575</v>
      </c>
      <c r="Q39" s="3"/>
      <c r="R39" s="495">
        <f>X46/(G49-1)</f>
        <v>0.9553023123309692</v>
      </c>
      <c r="S39" s="3"/>
      <c r="T39" s="223"/>
      <c r="V39" s="2">
        <f>H39/F47</f>
        <v>-0.111028897921082</v>
      </c>
      <c r="W39" s="2">
        <f>I39/G47</f>
        <v>-0.13565002241497257</v>
      </c>
      <c r="X39" s="2">
        <f t="shared" si="10"/>
        <v>0.015061072491704474</v>
      </c>
    </row>
    <row r="40" spans="3:24" ht="14.25">
      <c r="C40" s="90">
        <f>B36+(B35*F40)</f>
        <v>16.44378698224851</v>
      </c>
      <c r="D40" s="2">
        <f t="shared" si="7"/>
        <v>0.4437869822485112</v>
      </c>
      <c r="F40" s="16">
        <v>55</v>
      </c>
      <c r="G40" s="17">
        <v>16</v>
      </c>
      <c r="H40" s="473">
        <f>F40-F46</f>
        <v>2.9166666666666643</v>
      </c>
      <c r="I40" s="473">
        <f>G40-G46</f>
        <v>0.8333333333333339</v>
      </c>
      <c r="J40" s="524">
        <f t="shared" si="8"/>
        <v>2.4305555555555554</v>
      </c>
      <c r="K40" s="479"/>
      <c r="L40" s="479">
        <f t="shared" si="9"/>
        <v>8.50694444444443</v>
      </c>
      <c r="M40" s="479">
        <f t="shared" si="6"/>
        <v>0.6944444444444454</v>
      </c>
      <c r="N40" s="487"/>
      <c r="P40" s="221"/>
      <c r="Q40" s="3"/>
      <c r="R40" s="3"/>
      <c r="S40" s="3"/>
      <c r="T40" s="223"/>
      <c r="V40" s="2">
        <f>H40/F47</f>
        <v>0.15544045708951448</v>
      </c>
      <c r="W40" s="2">
        <f>I40/G47</f>
        <v>0.09689287315355195</v>
      </c>
      <c r="X40" s="2">
        <f t="shared" si="10"/>
        <v>0.015061072491704462</v>
      </c>
    </row>
    <row r="41" spans="3:24" ht="14.25">
      <c r="C41" s="90">
        <f>B36+(B35*F41)</f>
        <v>18.633136094674548</v>
      </c>
      <c r="D41" s="2">
        <f t="shared" si="7"/>
        <v>1.6331360946745477</v>
      </c>
      <c r="F41" s="16">
        <v>60</v>
      </c>
      <c r="G41" s="17">
        <v>17</v>
      </c>
      <c r="H41" s="473">
        <f>F41-F46</f>
        <v>7.916666666666664</v>
      </c>
      <c r="I41" s="473">
        <f>G41-G46</f>
        <v>1.833333333333334</v>
      </c>
      <c r="J41" s="524">
        <f t="shared" si="8"/>
        <v>14.51388888888889</v>
      </c>
      <c r="K41" s="479"/>
      <c r="L41" s="479">
        <f t="shared" si="9"/>
        <v>62.67361111111107</v>
      </c>
      <c r="M41" s="479">
        <f t="shared" si="6"/>
        <v>3.3611111111111134</v>
      </c>
      <c r="N41" s="487"/>
      <c r="P41" s="517" t="s">
        <v>576</v>
      </c>
      <c r="Q41" s="516"/>
      <c r="R41" s="495">
        <f>G50/C50</f>
        <v>0.9553023123309695</v>
      </c>
      <c r="S41" s="3"/>
      <c r="T41" s="223"/>
      <c r="V41" s="2">
        <f>H41/F47</f>
        <v>0.42190981210011097</v>
      </c>
      <c r="W41" s="2">
        <f>I41/G47</f>
        <v>0.21316432093781423</v>
      </c>
      <c r="X41" s="2">
        <f t="shared" si="10"/>
        <v>0.08993611859332096</v>
      </c>
    </row>
    <row r="42" spans="3:24" ht="14.25">
      <c r="C42" s="90">
        <f>B36+(B35*F42)</f>
        <v>20.822485207100584</v>
      </c>
      <c r="D42" s="2">
        <f t="shared" si="7"/>
        <v>0.8224852071005841</v>
      </c>
      <c r="F42" s="16">
        <v>65</v>
      </c>
      <c r="G42" s="17">
        <v>20</v>
      </c>
      <c r="H42" s="473">
        <f>F42-F46</f>
        <v>12.916666666666664</v>
      </c>
      <c r="I42" s="473">
        <f>G42-G46</f>
        <v>4.833333333333334</v>
      </c>
      <c r="J42" s="524">
        <f t="shared" si="8"/>
        <v>62.43055555555555</v>
      </c>
      <c r="K42" s="479"/>
      <c r="L42" s="479">
        <f t="shared" si="9"/>
        <v>166.84027777777771</v>
      </c>
      <c r="M42" s="479">
        <f t="shared" si="6"/>
        <v>23.361111111111118</v>
      </c>
      <c r="N42" s="487"/>
      <c r="P42" s="517" t="s">
        <v>577</v>
      </c>
      <c r="Q42" s="3"/>
      <c r="R42" s="495">
        <f>C47/G47</f>
        <v>0.9553023123309691</v>
      </c>
      <c r="S42" s="3"/>
      <c r="T42" s="223"/>
      <c r="V42" s="2">
        <f>H42/F47</f>
        <v>0.6883791671107075</v>
      </c>
      <c r="W42" s="2">
        <f>I42/G47</f>
        <v>0.5619786642906011</v>
      </c>
      <c r="X42" s="2">
        <f t="shared" si="10"/>
        <v>0.3868544048583518</v>
      </c>
    </row>
    <row r="43" spans="3:24" ht="14.25">
      <c r="C43" s="90">
        <f>B36+(B35*F43)</f>
        <v>23.011834319526614</v>
      </c>
      <c r="D43" s="2">
        <f t="shared" si="7"/>
        <v>-0.9881656804733865</v>
      </c>
      <c r="F43" s="16">
        <v>70</v>
      </c>
      <c r="G43" s="17">
        <v>24</v>
      </c>
      <c r="H43" s="473">
        <f>F43-F46</f>
        <v>17.916666666666664</v>
      </c>
      <c r="I43" s="473">
        <f>G43-G46</f>
        <v>8.833333333333334</v>
      </c>
      <c r="J43" s="524">
        <f t="shared" si="8"/>
        <v>158.26388888888889</v>
      </c>
      <c r="K43" s="479"/>
      <c r="L43" s="479">
        <f t="shared" si="9"/>
        <v>321.00694444444434</v>
      </c>
      <c r="M43" s="479">
        <f t="shared" si="6"/>
        <v>78.02777777777779</v>
      </c>
      <c r="N43" s="487"/>
      <c r="P43" s="221"/>
      <c r="Q43" s="3"/>
      <c r="R43" s="519"/>
      <c r="S43" s="3"/>
      <c r="T43" s="520"/>
      <c r="V43" s="2">
        <f>H43/F47</f>
        <v>0.954848522121304</v>
      </c>
      <c r="W43" s="2">
        <f>I43/G47</f>
        <v>1.02706445542765</v>
      </c>
      <c r="X43" s="2">
        <f t="shared" si="10"/>
        <v>0.9806909773884135</v>
      </c>
    </row>
    <row r="44" spans="3:24" ht="15.75">
      <c r="C44" s="90">
        <f>B36+(B35*F44)</f>
        <v>25.201183431952657</v>
      </c>
      <c r="D44" s="2">
        <f t="shared" si="7"/>
        <v>-0.7988165680473429</v>
      </c>
      <c r="F44" s="16">
        <v>75</v>
      </c>
      <c r="G44" s="17">
        <v>26</v>
      </c>
      <c r="H44" s="473">
        <f>F44-F46</f>
        <v>22.916666666666664</v>
      </c>
      <c r="I44" s="473">
        <f>G44-G46</f>
        <v>10.833333333333334</v>
      </c>
      <c r="J44" s="524">
        <f t="shared" si="8"/>
        <v>248.26388888888889</v>
      </c>
      <c r="K44" s="479"/>
      <c r="L44" s="479">
        <f t="shared" si="9"/>
        <v>525.173611111111</v>
      </c>
      <c r="M44" s="479">
        <f t="shared" si="6"/>
        <v>117.36111111111113</v>
      </c>
      <c r="N44" s="487"/>
      <c r="P44" s="521" t="s">
        <v>582</v>
      </c>
      <c r="Q44" s="483"/>
      <c r="R44" s="522" t="s">
        <v>581</v>
      </c>
      <c r="S44" s="483"/>
      <c r="T44" s="484"/>
      <c r="V44" s="2">
        <f>H44/F47</f>
        <v>1.2213178771319004</v>
      </c>
      <c r="W44" s="2">
        <f>I44/G47</f>
        <v>1.2596073509961747</v>
      </c>
      <c r="X44" s="2">
        <f t="shared" si="10"/>
        <v>1.5383809759383846</v>
      </c>
    </row>
    <row r="45" spans="3:24" ht="15" thickBot="1">
      <c r="C45" s="90">
        <f>B36+(B35*F45)</f>
        <v>27.390532544378686</v>
      </c>
      <c r="D45" s="2">
        <f t="shared" si="7"/>
        <v>-1.6094674556213135</v>
      </c>
      <c r="F45" s="16">
        <v>80</v>
      </c>
      <c r="G45" s="17">
        <v>29</v>
      </c>
      <c r="H45" s="473">
        <f>F45-F46</f>
        <v>27.916666666666664</v>
      </c>
      <c r="I45" s="473">
        <f>G45-G46</f>
        <v>13.833333333333334</v>
      </c>
      <c r="J45" s="524">
        <f t="shared" si="8"/>
        <v>386.18055555555554</v>
      </c>
      <c r="K45" s="479"/>
      <c r="L45" s="479">
        <f t="shared" si="9"/>
        <v>779.3402777777776</v>
      </c>
      <c r="M45" s="479">
        <f t="shared" si="6"/>
        <v>191.36111111111111</v>
      </c>
      <c r="N45" s="487"/>
      <c r="V45" s="2">
        <f>H45/F47</f>
        <v>1.487787232142497</v>
      </c>
      <c r="W45" s="2">
        <f>I45/G47</f>
        <v>1.6084216943489615</v>
      </c>
      <c r="X45" s="2">
        <f t="shared" si="10"/>
        <v>2.392989260753387</v>
      </c>
    </row>
    <row r="46" spans="2:24" ht="15" thickBot="1">
      <c r="B46" s="1" t="s">
        <v>560</v>
      </c>
      <c r="C46" s="2">
        <f>AVERAGE(C34:C45)</f>
        <v>15.166666666666657</v>
      </c>
      <c r="D46" s="2">
        <f>AVERAGE(D34:D45)</f>
        <v>-9.473903143468002E-15</v>
      </c>
      <c r="E46" s="1" t="s">
        <v>560</v>
      </c>
      <c r="F46" s="2">
        <f>AVERAGE(F34:F45)</f>
        <v>52.083333333333336</v>
      </c>
      <c r="G46" s="2">
        <f>AVERAGE(G34:G45)</f>
        <v>15.166666666666666</v>
      </c>
      <c r="I46" s="41" t="s">
        <v>201</v>
      </c>
      <c r="J46" s="523">
        <f>SUM(J34:J45)</f>
        <v>1695.8333333333335</v>
      </c>
      <c r="K46" s="41" t="s">
        <v>201</v>
      </c>
      <c r="L46" s="523">
        <f>SUM(L34:L45)</f>
        <v>3872.916666666666</v>
      </c>
      <c r="M46" s="523">
        <f>SUM(M34:M45)</f>
        <v>813.6666666666666</v>
      </c>
      <c r="N46" s="523">
        <f>M46*L46</f>
        <v>3151263.194444444</v>
      </c>
      <c r="P46" s="8" t="s">
        <v>582</v>
      </c>
      <c r="Q46" s="66"/>
      <c r="R46" s="66" t="s">
        <v>584</v>
      </c>
      <c r="S46" s="66"/>
      <c r="T46" s="525">
        <f>D47/G47</f>
        <v>0.29563066832638335</v>
      </c>
      <c r="V46" s="2"/>
      <c r="W46" s="2"/>
      <c r="X46" s="481">
        <f>SUM(X34:X45)</f>
        <v>10.50832543564066</v>
      </c>
    </row>
    <row r="47" spans="2:14" ht="14.25">
      <c r="B47" s="3" t="s">
        <v>432</v>
      </c>
      <c r="C47" s="4">
        <f>STDEVA(C34:C45)</f>
        <v>8.216138446160059</v>
      </c>
      <c r="D47" s="4">
        <f>STDEVA(D34:D45)</f>
        <v>2.5425904120065317</v>
      </c>
      <c r="E47" s="3" t="s">
        <v>432</v>
      </c>
      <c r="F47" s="4">
        <f>STDEVA(F34:F45)</f>
        <v>18.76388374866284</v>
      </c>
      <c r="G47" s="4">
        <f>STDEVA(G34:G45)</f>
        <v>8.600563758829821</v>
      </c>
      <c r="I47" s="41"/>
      <c r="J47" s="492"/>
      <c r="K47" s="41"/>
      <c r="L47" s="492"/>
      <c r="M47" s="492"/>
      <c r="N47" s="493"/>
    </row>
    <row r="48" spans="2:14" ht="15.75">
      <c r="B48" s="3" t="s">
        <v>579</v>
      </c>
      <c r="C48" s="4">
        <f>C47^2</f>
        <v>67.50493096646943</v>
      </c>
      <c r="D48" s="4">
        <f>D47^2</f>
        <v>6.4647660032275445</v>
      </c>
      <c r="E48" s="3"/>
      <c r="F48" s="4">
        <f>F47^2</f>
        <v>352.08333333333337</v>
      </c>
      <c r="G48" s="4">
        <f>G47^2</f>
        <v>73.96969696969694</v>
      </c>
      <c r="H48" s="509"/>
      <c r="I48" s="536"/>
      <c r="J48" s="492"/>
      <c r="K48" s="41"/>
      <c r="L48" s="492"/>
      <c r="M48" s="492"/>
      <c r="N48" s="493"/>
    </row>
    <row r="49" spans="2:14" ht="14.25">
      <c r="B49" s="1" t="s">
        <v>398</v>
      </c>
      <c r="C49" s="4">
        <f>COUNT(C34:C45)</f>
        <v>12</v>
      </c>
      <c r="E49" s="1" t="s">
        <v>398</v>
      </c>
      <c r="F49" s="4">
        <f>COUNT(F34:F45)</f>
        <v>12</v>
      </c>
      <c r="G49" s="4">
        <f>COUNT(G34:G45)</f>
        <v>12</v>
      </c>
      <c r="I49" s="41"/>
      <c r="J49" s="492"/>
      <c r="K49" s="41"/>
      <c r="L49" s="492"/>
      <c r="M49" s="492"/>
      <c r="N49" s="493"/>
    </row>
    <row r="50" spans="2:14" s="5" customFormat="1" ht="14.25">
      <c r="B50" s="508" t="s">
        <v>566</v>
      </c>
      <c r="C50" s="508">
        <f>C46/C47</f>
        <v>1.8459604552738564</v>
      </c>
      <c r="D50" s="508"/>
      <c r="E50" s="508"/>
      <c r="F50" s="508">
        <f>F46/F47</f>
        <v>2.775722448027047</v>
      </c>
      <c r="G50" s="508">
        <f>G46/G47</f>
        <v>1.7634502913946444</v>
      </c>
      <c r="I50" s="1"/>
      <c r="N50" s="488"/>
    </row>
    <row r="51" spans="2:14" s="5" customFormat="1" ht="14.25">
      <c r="B51" s="11"/>
      <c r="C51" s="508"/>
      <c r="N51" s="488"/>
    </row>
    <row r="52" spans="2:14" s="5" customFormat="1" ht="14.25">
      <c r="B52" s="11"/>
      <c r="C52" s="508"/>
      <c r="N52" s="488"/>
    </row>
    <row r="53" spans="2:14" s="5" customFormat="1" ht="14.25">
      <c r="B53" s="11"/>
      <c r="C53" s="508"/>
      <c r="N53" s="488"/>
    </row>
    <row r="54" spans="2:14" s="5" customFormat="1" ht="14.25">
      <c r="B54" s="11" t="s">
        <v>275</v>
      </c>
      <c r="C54" s="14" t="s">
        <v>274</v>
      </c>
      <c r="N54" s="488"/>
    </row>
    <row r="55" spans="2:7" ht="14.25">
      <c r="B55" s="10" t="s">
        <v>561</v>
      </c>
      <c r="C55" s="14" t="s">
        <v>91</v>
      </c>
      <c r="E55" s="7"/>
      <c r="F55" s="7"/>
      <c r="G55" s="7"/>
    </row>
    <row r="56" spans="1:7" ht="14.25">
      <c r="A56" s="15" t="s">
        <v>458</v>
      </c>
      <c r="B56" s="16">
        <v>20</v>
      </c>
      <c r="C56" s="17">
        <v>5</v>
      </c>
      <c r="D56" s="18" t="s">
        <v>92</v>
      </c>
      <c r="E56" s="7"/>
      <c r="F56" s="7"/>
      <c r="G56" s="7"/>
    </row>
    <row r="57" spans="2:7" ht="14.25">
      <c r="B57" s="16">
        <v>30</v>
      </c>
      <c r="C57" s="17">
        <v>7</v>
      </c>
      <c r="D57" s="7"/>
      <c r="E57" s="7"/>
      <c r="F57" s="7"/>
      <c r="G57" s="7"/>
    </row>
    <row r="58" spans="2:7" ht="14.25">
      <c r="B58" s="16">
        <v>35</v>
      </c>
      <c r="C58" s="17">
        <v>1</v>
      </c>
      <c r="D58" s="7"/>
      <c r="E58" s="7"/>
      <c r="F58" s="7"/>
      <c r="G58" s="7"/>
    </row>
    <row r="59" spans="2:7" ht="14.25">
      <c r="B59" s="16">
        <v>40</v>
      </c>
      <c r="C59" s="17">
        <v>11</v>
      </c>
      <c r="D59" s="7"/>
      <c r="E59" s="7"/>
      <c r="F59" s="7"/>
      <c r="G59" s="7"/>
    </row>
    <row r="60" spans="2:7" ht="14.25">
      <c r="B60" s="16">
        <v>45</v>
      </c>
      <c r="C60" s="17">
        <v>12</v>
      </c>
      <c r="D60" s="7"/>
      <c r="E60" s="7"/>
      <c r="F60" s="7"/>
      <c r="G60" s="7"/>
    </row>
    <row r="61" spans="2:7" ht="14.25">
      <c r="B61" s="16">
        <v>50</v>
      </c>
      <c r="C61" s="17">
        <v>14</v>
      </c>
      <c r="D61" s="7"/>
      <c r="E61" s="7"/>
      <c r="F61" s="7"/>
      <c r="G61" s="7"/>
    </row>
    <row r="62" spans="2:7" ht="14.25">
      <c r="B62" s="16">
        <v>55</v>
      </c>
      <c r="C62" s="17">
        <v>16</v>
      </c>
      <c r="D62" s="7"/>
      <c r="E62" s="7"/>
      <c r="F62" s="7"/>
      <c r="G62" s="7"/>
    </row>
    <row r="63" spans="2:7" ht="14.25">
      <c r="B63" s="16">
        <v>60</v>
      </c>
      <c r="C63" s="17">
        <v>17</v>
      </c>
      <c r="D63" s="7"/>
      <c r="E63" s="7"/>
      <c r="F63" s="7"/>
      <c r="G63" s="7"/>
    </row>
    <row r="64" spans="2:7" ht="14.25">
      <c r="B64" s="16">
        <v>65</v>
      </c>
      <c r="C64" s="17">
        <v>20</v>
      </c>
      <c r="D64" s="7"/>
      <c r="E64" s="7"/>
      <c r="F64" s="7"/>
      <c r="G64" s="7"/>
    </row>
    <row r="65" spans="2:7" ht="14.25">
      <c r="B65" s="16">
        <v>70</v>
      </c>
      <c r="C65" s="17">
        <v>24</v>
      </c>
      <c r="D65" s="7"/>
      <c r="E65" s="7"/>
      <c r="F65" s="7"/>
      <c r="G65" s="7"/>
    </row>
    <row r="66" spans="2:7" ht="14.25">
      <c r="B66" s="16">
        <v>75</v>
      </c>
      <c r="C66" s="17">
        <v>26</v>
      </c>
      <c r="D66" s="7"/>
      <c r="E66" s="7"/>
      <c r="F66" s="7"/>
      <c r="G66" s="7"/>
    </row>
    <row r="67" spans="1:7" ht="14.25">
      <c r="A67" s="15" t="s">
        <v>459</v>
      </c>
      <c r="B67" s="16">
        <v>80</v>
      </c>
      <c r="C67" s="17">
        <v>29</v>
      </c>
      <c r="D67" s="18" t="s">
        <v>93</v>
      </c>
      <c r="E67" s="7"/>
      <c r="F67" s="7"/>
      <c r="G67" s="7"/>
    </row>
    <row r="68" spans="2:7" ht="14.25">
      <c r="B68" s="7"/>
      <c r="C68" s="7"/>
      <c r="D68" s="7"/>
      <c r="E68" s="7"/>
      <c r="F68" s="7"/>
      <c r="G68" s="7"/>
    </row>
    <row r="69" spans="1:7" ht="15.75">
      <c r="A69" s="8"/>
      <c r="B69" s="19" t="s">
        <v>460</v>
      </c>
      <c r="C69" s="24">
        <f>CORREL(B56:B67,C56:C67)</f>
        <v>0.9553023123309691</v>
      </c>
      <c r="D69" s="7"/>
      <c r="E69" s="7"/>
      <c r="F69" s="7"/>
      <c r="G69" s="7"/>
    </row>
    <row r="73" spans="1:3" ht="14.25">
      <c r="A73" s="5"/>
      <c r="B73" s="13" t="s">
        <v>275</v>
      </c>
      <c r="C73" s="11" t="s">
        <v>274</v>
      </c>
    </row>
    <row r="74" spans="2:3" ht="14.25">
      <c r="B74" s="14" t="s">
        <v>91</v>
      </c>
      <c r="C74" s="10" t="s">
        <v>561</v>
      </c>
    </row>
    <row r="75" spans="1:4" ht="14.25">
      <c r="A75" s="18" t="s">
        <v>92</v>
      </c>
      <c r="B75" s="17">
        <v>5</v>
      </c>
      <c r="C75" s="16">
        <v>20</v>
      </c>
      <c r="D75" s="15" t="s">
        <v>458</v>
      </c>
    </row>
    <row r="76" spans="1:3" ht="14.25">
      <c r="A76" s="7"/>
      <c r="B76" s="17">
        <v>7</v>
      </c>
      <c r="C76" s="16">
        <v>30</v>
      </c>
    </row>
    <row r="77" spans="1:3" ht="14.25">
      <c r="A77" s="7"/>
      <c r="B77" s="17">
        <v>1</v>
      </c>
      <c r="C77" s="16">
        <v>35</v>
      </c>
    </row>
    <row r="78" spans="1:3" ht="14.25">
      <c r="A78" s="7"/>
      <c r="B78" s="17">
        <v>11</v>
      </c>
      <c r="C78" s="16">
        <v>40</v>
      </c>
    </row>
    <row r="79" spans="1:3" ht="14.25">
      <c r="A79" s="7"/>
      <c r="B79" s="17">
        <v>12</v>
      </c>
      <c r="C79" s="16">
        <v>45</v>
      </c>
    </row>
    <row r="80" spans="1:3" ht="14.25">
      <c r="A80" s="7"/>
      <c r="B80" s="17">
        <v>14</v>
      </c>
      <c r="C80" s="16">
        <v>50</v>
      </c>
    </row>
    <row r="81" spans="1:3" ht="14.25">
      <c r="A81" s="7"/>
      <c r="B81" s="17">
        <v>16</v>
      </c>
      <c r="C81" s="16">
        <v>55</v>
      </c>
    </row>
    <row r="82" spans="1:3" ht="14.25">
      <c r="A82" s="7"/>
      <c r="B82" s="17">
        <v>17</v>
      </c>
      <c r="C82" s="16">
        <v>60</v>
      </c>
    </row>
    <row r="83" spans="1:3" ht="14.25">
      <c r="A83" s="7"/>
      <c r="B83" s="17">
        <v>20</v>
      </c>
      <c r="C83" s="16">
        <v>65</v>
      </c>
    </row>
    <row r="84" spans="1:3" ht="14.25">
      <c r="A84" s="7"/>
      <c r="B84" s="17">
        <v>24</v>
      </c>
      <c r="C84" s="16">
        <v>70</v>
      </c>
    </row>
    <row r="85" spans="1:3" ht="14.25">
      <c r="A85" s="7"/>
      <c r="B85" s="17">
        <v>26</v>
      </c>
      <c r="C85" s="16">
        <v>75</v>
      </c>
    </row>
    <row r="86" spans="1:4" ht="14.25">
      <c r="A86" s="18" t="s">
        <v>93</v>
      </c>
      <c r="B86" s="17">
        <v>29</v>
      </c>
      <c r="C86" s="16">
        <v>80</v>
      </c>
      <c r="D86" s="15" t="s">
        <v>459</v>
      </c>
    </row>
    <row r="87" spans="2:4" ht="14.25">
      <c r="B87" s="7"/>
      <c r="C87" s="7"/>
      <c r="D87" s="7"/>
    </row>
    <row r="88" spans="1:4" ht="15.75">
      <c r="A88" s="8"/>
      <c r="B88" s="19" t="s">
        <v>460</v>
      </c>
      <c r="C88" s="24">
        <f>CORREL(C75:C86,B75:B86)</f>
        <v>0.9553023123309691</v>
      </c>
      <c r="D88" s="7"/>
    </row>
  </sheetData>
  <sheetProtection/>
  <mergeCells count="2">
    <mergeCell ref="V12:X12"/>
    <mergeCell ref="V32:X32"/>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2:S425"/>
  <sheetViews>
    <sheetView zoomScalePageLayoutView="0" workbookViewId="0" topLeftCell="A309">
      <selection activeCell="J438" sqref="J438"/>
    </sheetView>
  </sheetViews>
  <sheetFormatPr defaultColWidth="12" defaultRowHeight="12.75"/>
  <cols>
    <col min="1" max="1" width="16.16015625" style="1" customWidth="1"/>
    <col min="2" max="2" width="13.5" style="1" customWidth="1"/>
    <col min="3" max="4" width="13.83203125" style="1" customWidth="1"/>
    <col min="5" max="5" width="14.5" style="1" customWidth="1"/>
    <col min="6" max="6" width="16.83203125" style="1" customWidth="1"/>
    <col min="7" max="7" width="24.16015625" style="1" customWidth="1"/>
    <col min="8" max="8" width="13" style="1" customWidth="1"/>
    <col min="9" max="9" width="12" style="1" customWidth="1"/>
    <col min="10" max="10" width="15" style="1" customWidth="1"/>
    <col min="11" max="11" width="13.33203125" style="1" customWidth="1"/>
    <col min="12" max="12" width="26.83203125" style="1" customWidth="1"/>
    <col min="13" max="13" width="12.83203125" style="1" customWidth="1"/>
    <col min="14" max="14" width="13.33203125" style="1" customWidth="1"/>
    <col min="15" max="15" width="12.5" style="1" bestFit="1" customWidth="1"/>
    <col min="16" max="16384" width="12" style="1" customWidth="1"/>
  </cols>
  <sheetData>
    <row r="2" spans="1:6" ht="12.75" hidden="1">
      <c r="A2" s="546" t="s">
        <v>229</v>
      </c>
      <c r="B2" s="547"/>
      <c r="C2" s="547"/>
      <c r="D2" s="547"/>
      <c r="E2" s="547"/>
      <c r="F2" s="548"/>
    </row>
    <row r="3" spans="1:6" ht="12.75" hidden="1">
      <c r="A3" s="549" t="s">
        <v>230</v>
      </c>
      <c r="B3" s="550"/>
      <c r="C3" s="550"/>
      <c r="D3" s="550" t="s">
        <v>234</v>
      </c>
      <c r="E3" s="550"/>
      <c r="F3" s="551"/>
    </row>
    <row r="4" spans="1:7" ht="56.25" customHeight="1" hidden="1">
      <c r="A4" s="552" t="s">
        <v>231</v>
      </c>
      <c r="B4" s="553"/>
      <c r="C4" s="553"/>
      <c r="D4" s="552" t="s">
        <v>232</v>
      </c>
      <c r="E4" s="553"/>
      <c r="F4" s="553"/>
      <c r="G4" s="25"/>
    </row>
    <row r="5" spans="1:6" ht="12.75" hidden="1">
      <c r="A5" s="549" t="s">
        <v>233</v>
      </c>
      <c r="B5" s="550"/>
      <c r="C5" s="550"/>
      <c r="D5" s="550" t="s">
        <v>233</v>
      </c>
      <c r="E5" s="550"/>
      <c r="F5" s="551"/>
    </row>
    <row r="6" spans="1:6" ht="63" customHeight="1" hidden="1">
      <c r="A6" s="554" t="s">
        <v>593</v>
      </c>
      <c r="B6" s="555"/>
      <c r="C6" s="555"/>
      <c r="D6" s="556" t="s">
        <v>594</v>
      </c>
      <c r="E6" s="555"/>
      <c r="F6" s="557"/>
    </row>
    <row r="7" spans="1:6" ht="54" customHeight="1" hidden="1">
      <c r="A7" s="554" t="s">
        <v>595</v>
      </c>
      <c r="B7" s="555"/>
      <c r="C7" s="555"/>
      <c r="D7" s="558"/>
      <c r="E7" s="558"/>
      <c r="F7" s="559"/>
    </row>
    <row r="8" spans="1:6" ht="52.5" customHeight="1" hidden="1">
      <c r="A8" s="554" t="s">
        <v>596</v>
      </c>
      <c r="B8" s="555"/>
      <c r="C8" s="555"/>
      <c r="D8" s="558"/>
      <c r="E8" s="558"/>
      <c r="F8" s="559"/>
    </row>
    <row r="9" spans="1:6" ht="66.75" customHeight="1" hidden="1">
      <c r="A9" s="562" t="s">
        <v>597</v>
      </c>
      <c r="B9" s="553"/>
      <c r="C9" s="553"/>
      <c r="D9" s="560"/>
      <c r="E9" s="560"/>
      <c r="F9" s="561"/>
    </row>
    <row r="10" ht="12.75" hidden="1"/>
    <row r="11" ht="12.75" hidden="1"/>
    <row r="12" spans="1:13" ht="16.5" hidden="1" thickBot="1">
      <c r="A12" s="26" t="s">
        <v>428</v>
      </c>
      <c r="B12" s="27"/>
      <c r="C12" s="27"/>
      <c r="D12" s="27"/>
      <c r="E12" s="27"/>
      <c r="F12" s="27"/>
      <c r="G12" s="27"/>
      <c r="H12" s="28"/>
      <c r="I12" s="29"/>
      <c r="J12" s="29"/>
      <c r="K12" s="29"/>
      <c r="L12" s="29"/>
      <c r="M12" s="30"/>
    </row>
    <row r="13" spans="1:13" ht="12.75" hidden="1">
      <c r="A13" s="31"/>
      <c r="B13" s="32"/>
      <c r="C13" s="32"/>
      <c r="D13" s="32"/>
      <c r="E13" s="32"/>
      <c r="F13" s="32"/>
      <c r="G13" s="32"/>
      <c r="H13" s="3"/>
      <c r="I13" s="33"/>
      <c r="J13" s="3"/>
      <c r="K13" s="3"/>
      <c r="L13" s="3"/>
      <c r="M13" s="34"/>
    </row>
    <row r="14" spans="1:13" ht="12.75" hidden="1">
      <c r="A14" s="35" t="s">
        <v>235</v>
      </c>
      <c r="B14" s="36"/>
      <c r="C14" s="36"/>
      <c r="D14" s="36"/>
      <c r="E14" s="3"/>
      <c r="F14" s="37">
        <f>D17*C19/D19</f>
        <v>43384.3</v>
      </c>
      <c r="G14" s="3"/>
      <c r="H14" s="3"/>
      <c r="I14" s="3"/>
      <c r="J14" s="3"/>
      <c r="K14" s="3"/>
      <c r="L14" s="3"/>
      <c r="M14" s="34"/>
    </row>
    <row r="15" spans="1:13" ht="12.75" hidden="1">
      <c r="A15" s="38"/>
      <c r="B15" s="3"/>
      <c r="C15" s="3"/>
      <c r="D15" s="3"/>
      <c r="E15" s="3"/>
      <c r="F15" s="37">
        <f>D18*C19/D19</f>
        <v>43477.7</v>
      </c>
      <c r="G15" s="3"/>
      <c r="H15" s="3"/>
      <c r="I15" s="3"/>
      <c r="J15" s="3"/>
      <c r="K15" s="3"/>
      <c r="L15" s="3"/>
      <c r="M15" s="34"/>
    </row>
    <row r="16" spans="1:13" ht="12.75" hidden="1">
      <c r="A16" s="39" t="s">
        <v>166</v>
      </c>
      <c r="B16" s="9" t="s">
        <v>167</v>
      </c>
      <c r="C16" s="9" t="s">
        <v>168</v>
      </c>
      <c r="D16" s="9" t="s">
        <v>171</v>
      </c>
      <c r="E16" s="3"/>
      <c r="F16" s="40" t="s">
        <v>295</v>
      </c>
      <c r="G16" s="40"/>
      <c r="H16" s="40"/>
      <c r="I16" s="3"/>
      <c r="J16" s="41" t="s">
        <v>166</v>
      </c>
      <c r="K16" s="9" t="s">
        <v>167</v>
      </c>
      <c r="L16" s="9" t="s">
        <v>168</v>
      </c>
      <c r="M16" s="42" t="s">
        <v>171</v>
      </c>
    </row>
    <row r="17" spans="1:13" ht="12.75" hidden="1">
      <c r="A17" s="43" t="s">
        <v>169</v>
      </c>
      <c r="B17" s="44">
        <v>2226</v>
      </c>
      <c r="C17" s="45">
        <f>D17-B17</f>
        <v>43295</v>
      </c>
      <c r="D17" s="44">
        <v>45521</v>
      </c>
      <c r="E17" s="46"/>
      <c r="F17" s="47">
        <f>H17*F19</f>
        <v>0.023444151854290104</v>
      </c>
      <c r="G17" s="48">
        <f>H17*G19</f>
        <v>0.47601821373710773</v>
      </c>
      <c r="H17" s="49">
        <f>(B17+C17)/D19</f>
        <v>0.49946236559139784</v>
      </c>
      <c r="I17" s="3"/>
      <c r="J17" s="50" t="s">
        <v>169</v>
      </c>
      <c r="K17" s="51" t="s">
        <v>174</v>
      </c>
      <c r="L17" s="52" t="s">
        <v>175</v>
      </c>
      <c r="M17" s="541" t="s">
        <v>289</v>
      </c>
    </row>
    <row r="18" spans="1:13" ht="12.75" hidden="1">
      <c r="A18" s="43" t="s">
        <v>170</v>
      </c>
      <c r="B18" s="53">
        <v>2052</v>
      </c>
      <c r="C18" s="54">
        <f>D18-B18</f>
        <v>43567</v>
      </c>
      <c r="D18" s="53">
        <v>45619</v>
      </c>
      <c r="E18" s="46"/>
      <c r="F18" s="55">
        <f>F19*H18</f>
        <v>0.023494623655913975</v>
      </c>
      <c r="G18" s="48">
        <f>G19*H18</f>
        <v>0.4770430107526881</v>
      </c>
      <c r="H18" s="49">
        <f>(B18+C18)/D19</f>
        <v>0.5005376344086021</v>
      </c>
      <c r="I18" s="3"/>
      <c r="J18" s="50" t="s">
        <v>170</v>
      </c>
      <c r="K18" s="51" t="s">
        <v>176</v>
      </c>
      <c r="L18" s="52" t="s">
        <v>177</v>
      </c>
      <c r="M18" s="541" t="s">
        <v>290</v>
      </c>
    </row>
    <row r="19" spans="1:13" ht="12.75" hidden="1">
      <c r="A19" s="43" t="s">
        <v>171</v>
      </c>
      <c r="B19" s="56">
        <f>SUM(B17:B18)</f>
        <v>4278</v>
      </c>
      <c r="C19" s="56">
        <f>SUM(C17:C18)</f>
        <v>86862</v>
      </c>
      <c r="D19" s="57">
        <f>SUM(D17:D18)</f>
        <v>91140</v>
      </c>
      <c r="E19" s="3"/>
      <c r="F19" s="58">
        <f>(B17+B18)/D19</f>
        <v>0.04693877551020408</v>
      </c>
      <c r="G19" s="58">
        <f>(C17+C18)/D19</f>
        <v>0.9530612244897959</v>
      </c>
      <c r="H19" s="59">
        <f>SUM(H17:H18)</f>
        <v>1</v>
      </c>
      <c r="I19" s="3"/>
      <c r="J19" s="50" t="s">
        <v>171</v>
      </c>
      <c r="K19" s="60" t="s">
        <v>183</v>
      </c>
      <c r="L19" s="60" t="s">
        <v>184</v>
      </c>
      <c r="M19" s="539" t="s">
        <v>185</v>
      </c>
    </row>
    <row r="20" spans="1:13" ht="12.75" hidden="1">
      <c r="A20" s="38"/>
      <c r="B20" s="46"/>
      <c r="C20" s="61"/>
      <c r="D20" s="3"/>
      <c r="E20" s="62"/>
      <c r="F20" s="63" t="s">
        <v>335</v>
      </c>
      <c r="G20" s="64">
        <f>CHIINV(0.05,L20)</f>
        <v>3.8414588206941236</v>
      </c>
      <c r="H20" s="65"/>
      <c r="I20" s="65"/>
      <c r="J20" s="66"/>
      <c r="K20" s="67" t="s">
        <v>23</v>
      </c>
      <c r="L20" s="68">
        <f>(COUNT(B17:C17)-1)*(COUNT(B17:B18)-1)</f>
        <v>1</v>
      </c>
      <c r="M20" s="34"/>
    </row>
    <row r="21" spans="1:13" ht="13.5" hidden="1" thickBot="1">
      <c r="A21" s="69" t="s">
        <v>412</v>
      </c>
      <c r="B21" s="3"/>
      <c r="C21" s="3"/>
      <c r="D21" s="3"/>
      <c r="E21" s="70"/>
      <c r="F21" s="63" t="s">
        <v>334</v>
      </c>
      <c r="G21" s="71">
        <f>CHIINV(0.01,L20)</f>
        <v>6.634896601021212</v>
      </c>
      <c r="M21" s="34"/>
    </row>
    <row r="22" spans="1:13" ht="12.75" hidden="1">
      <c r="A22" s="72" t="s">
        <v>172</v>
      </c>
      <c r="B22" s="73" t="s">
        <v>167</v>
      </c>
      <c r="C22" s="73" t="s">
        <v>168</v>
      </c>
      <c r="D22" s="73" t="s">
        <v>171</v>
      </c>
      <c r="E22" s="3"/>
      <c r="F22" s="41" t="s">
        <v>343</v>
      </c>
      <c r="G22" s="3" t="s">
        <v>191</v>
      </c>
      <c r="H22" s="3"/>
      <c r="I22" s="3"/>
      <c r="J22" s="3"/>
      <c r="K22" s="3"/>
      <c r="L22" s="3"/>
      <c r="M22" s="34"/>
    </row>
    <row r="23" spans="1:13" ht="12.75" hidden="1">
      <c r="A23" s="74" t="s">
        <v>169</v>
      </c>
      <c r="B23" s="75">
        <f>D19*F17</f>
        <v>2136.7000000000003</v>
      </c>
      <c r="C23" s="75">
        <f>D19*G17</f>
        <v>43384.299999999996</v>
      </c>
      <c r="D23" s="76">
        <f>SUM(B23:C23)</f>
        <v>45520.99999999999</v>
      </c>
      <c r="E23" s="3"/>
      <c r="F23" s="41" t="s">
        <v>344</v>
      </c>
      <c r="G23" s="3" t="s">
        <v>136</v>
      </c>
      <c r="H23" s="3"/>
      <c r="I23" s="3"/>
      <c r="J23" s="3"/>
      <c r="K23" s="3"/>
      <c r="L23" s="3"/>
      <c r="M23" s="34"/>
    </row>
    <row r="24" spans="1:13" ht="12.75" hidden="1">
      <c r="A24" s="74" t="s">
        <v>170</v>
      </c>
      <c r="B24" s="75">
        <f>D19*F18</f>
        <v>2141.2999999999997</v>
      </c>
      <c r="C24" s="75">
        <f>D19*G18</f>
        <v>43477.7</v>
      </c>
      <c r="D24" s="77">
        <f>SUM(B24:C24)</f>
        <v>45619</v>
      </c>
      <c r="E24" s="3"/>
      <c r="F24" s="3" t="s">
        <v>291</v>
      </c>
      <c r="G24" s="3"/>
      <c r="H24" s="3"/>
      <c r="I24" s="3"/>
      <c r="J24" s="3"/>
      <c r="K24" s="3"/>
      <c r="L24" s="3"/>
      <c r="M24" s="34"/>
    </row>
    <row r="25" spans="1:13" ht="12.75" hidden="1">
      <c r="A25" s="74" t="s">
        <v>171</v>
      </c>
      <c r="B25" s="78">
        <f>SUM(B23:B24)</f>
        <v>4278</v>
      </c>
      <c r="C25" s="78">
        <f>SUM(C23:C24)</f>
        <v>86862</v>
      </c>
      <c r="D25" s="79">
        <f>SUM(D23:D24)</f>
        <v>91140</v>
      </c>
      <c r="E25" s="3"/>
      <c r="F25" s="80" t="s">
        <v>188</v>
      </c>
      <c r="G25" s="81">
        <f>D19</f>
        <v>91140</v>
      </c>
      <c r="H25" s="3"/>
      <c r="I25" s="3"/>
      <c r="J25" s="3"/>
      <c r="K25" s="3"/>
      <c r="L25" s="3"/>
      <c r="M25" s="34"/>
    </row>
    <row r="26" spans="1:13" ht="12.75" hidden="1">
      <c r="A26" s="38"/>
      <c r="B26" s="37"/>
      <c r="C26" s="37"/>
      <c r="D26" s="3"/>
      <c r="E26" s="3"/>
      <c r="F26" s="80" t="s">
        <v>186</v>
      </c>
      <c r="G26" s="82">
        <f>((B17*C18)-(C17*B18))^2</f>
        <v>66240097995204</v>
      </c>
      <c r="H26" s="3"/>
      <c r="I26" s="3"/>
      <c r="J26" s="3"/>
      <c r="K26" s="3"/>
      <c r="L26" s="3"/>
      <c r="M26" s="34"/>
    </row>
    <row r="27" spans="1:13" ht="28.5" customHeight="1" hidden="1">
      <c r="A27" s="83"/>
      <c r="B27" s="563" t="s">
        <v>21</v>
      </c>
      <c r="C27" s="564"/>
      <c r="D27" s="84"/>
      <c r="E27" s="85"/>
      <c r="F27" s="80" t="s">
        <v>187</v>
      </c>
      <c r="G27" s="82">
        <f>B19*C19*D17*D18</f>
        <v>7.716638582478144E+17</v>
      </c>
      <c r="H27" s="3"/>
      <c r="I27" s="3"/>
      <c r="J27" s="3"/>
      <c r="K27" s="3"/>
      <c r="L27" s="3"/>
      <c r="M27" s="34"/>
    </row>
    <row r="28" spans="1:13" ht="12.75" hidden="1">
      <c r="A28" s="83"/>
      <c r="B28" s="86">
        <f>(B17-B23)^2/B23</f>
        <v>3.7321523845181592</v>
      </c>
      <c r="C28" s="86">
        <f>(C17-C23)^2/C23</f>
        <v>0.1838105028777512</v>
      </c>
      <c r="D28" s="87"/>
      <c r="E28" s="85"/>
      <c r="F28" s="88" t="s">
        <v>345</v>
      </c>
      <c r="G28" s="89">
        <f>G25*G26/G27</f>
        <v>7.823513394797497</v>
      </c>
      <c r="H28" s="3"/>
      <c r="I28" s="3"/>
      <c r="J28" s="3"/>
      <c r="K28" s="3"/>
      <c r="L28" s="3"/>
      <c r="M28" s="34"/>
    </row>
    <row r="29" spans="1:13" ht="12.75" hidden="1">
      <c r="A29" s="83"/>
      <c r="B29" s="90">
        <f>(B18-B24)^2/B24</f>
        <v>3.7241348713398184</v>
      </c>
      <c r="C29" s="90">
        <f>(C18-C24)^2/C24</f>
        <v>0.18341563606171718</v>
      </c>
      <c r="D29" s="91"/>
      <c r="E29" s="85"/>
      <c r="F29" s="88" t="s">
        <v>193</v>
      </c>
      <c r="G29" s="92">
        <f>G28-G20</f>
        <v>3.9820545741033735</v>
      </c>
      <c r="H29" s="93" t="s">
        <v>137</v>
      </c>
      <c r="I29" s="3"/>
      <c r="J29" s="3"/>
      <c r="K29" s="3"/>
      <c r="L29" s="3"/>
      <c r="M29" s="34"/>
    </row>
    <row r="30" spans="1:13" ht="12.75" hidden="1">
      <c r="A30" s="3" t="s">
        <v>294</v>
      </c>
      <c r="C30" s="61"/>
      <c r="D30" s="94"/>
      <c r="E30" s="3"/>
      <c r="F30" s="88"/>
      <c r="G30" s="95"/>
      <c r="H30" s="93"/>
      <c r="I30" s="3"/>
      <c r="J30" s="3"/>
      <c r="K30" s="3"/>
      <c r="L30" s="3"/>
      <c r="M30" s="34"/>
    </row>
    <row r="31" spans="1:13" ht="13.5" hidden="1" thickBot="1">
      <c r="A31" s="96" t="s">
        <v>296</v>
      </c>
      <c r="B31" s="97">
        <f>SUM(B28:C29)</f>
        <v>7.8235133947974465</v>
      </c>
      <c r="C31" s="98" t="s">
        <v>297</v>
      </c>
      <c r="D31" s="98"/>
      <c r="E31" s="98"/>
      <c r="F31" s="96"/>
      <c r="G31" s="98"/>
      <c r="H31" s="98"/>
      <c r="I31" s="98"/>
      <c r="J31" s="98"/>
      <c r="K31" s="98"/>
      <c r="L31" s="98"/>
      <c r="M31" s="99"/>
    </row>
    <row r="32" ht="12.75" hidden="1">
      <c r="F32" s="100"/>
    </row>
    <row r="33" spans="1:8" ht="12.75" hidden="1">
      <c r="A33" s="100" t="s">
        <v>166</v>
      </c>
      <c r="B33" s="7" t="s">
        <v>336</v>
      </c>
      <c r="C33" s="7" t="s">
        <v>337</v>
      </c>
      <c r="D33" s="7" t="s">
        <v>171</v>
      </c>
      <c r="F33" s="101" t="s">
        <v>173</v>
      </c>
      <c r="G33" s="101"/>
      <c r="H33" s="101"/>
    </row>
    <row r="34" spans="1:8" ht="12.75" hidden="1">
      <c r="A34" s="102" t="s">
        <v>338</v>
      </c>
      <c r="B34" s="44">
        <v>82</v>
      </c>
      <c r="C34" s="45">
        <f>D34-B34</f>
        <v>238</v>
      </c>
      <c r="D34" s="44">
        <v>320</v>
      </c>
      <c r="E34" s="103"/>
      <c r="F34" s="104">
        <f>H34*F36</f>
        <v>0.022845716150395802</v>
      </c>
      <c r="G34" s="105">
        <f>H34*G36</f>
        <v>0.10846327030836497</v>
      </c>
      <c r="H34" s="49">
        <f>(B34+C34)/D36</f>
        <v>0.13130898645876077</v>
      </c>
    </row>
    <row r="35" spans="1:8" ht="12.75" hidden="1">
      <c r="A35" s="102" t="s">
        <v>339</v>
      </c>
      <c r="B35" s="53">
        <v>342</v>
      </c>
      <c r="C35" s="54">
        <f>D35-B35</f>
        <v>1775</v>
      </c>
      <c r="D35" s="53">
        <v>2117</v>
      </c>
      <c r="E35" s="103"/>
      <c r="F35" s="105">
        <f>F36*H35</f>
        <v>0.15113869090746224</v>
      </c>
      <c r="G35" s="105">
        <f>G36*H35</f>
        <v>0.717552322633777</v>
      </c>
      <c r="H35" s="49">
        <f>(B35+C35)/D36</f>
        <v>0.8686910135412392</v>
      </c>
    </row>
    <row r="36" spans="1:8" ht="12.75" hidden="1">
      <c r="A36" s="102" t="s">
        <v>171</v>
      </c>
      <c r="B36" s="106">
        <f>SUM(B34:B35)</f>
        <v>424</v>
      </c>
      <c r="C36" s="107">
        <f>SUM(C34:C35)</f>
        <v>2013</v>
      </c>
      <c r="D36" s="56">
        <f>SUM(D34:D35)</f>
        <v>2437</v>
      </c>
      <c r="E36" s="108"/>
      <c r="F36" s="109">
        <f>(B34+B35)/D36</f>
        <v>0.17398440705785803</v>
      </c>
      <c r="G36" s="109">
        <f>(C34+C35)/D36</f>
        <v>0.826015592942142</v>
      </c>
      <c r="H36" s="110">
        <f>SUM(H34:H35)</f>
        <v>1</v>
      </c>
    </row>
    <row r="37" spans="2:12" ht="13.5" hidden="1" thickBot="1">
      <c r="B37" s="103"/>
      <c r="C37" s="103"/>
      <c r="D37" s="108"/>
      <c r="E37" s="111"/>
      <c r="F37" s="63" t="s">
        <v>335</v>
      </c>
      <c r="G37" s="71">
        <f>CHIINV(0.05,L37)</f>
        <v>3.8414588206941236</v>
      </c>
      <c r="H37" s="112"/>
      <c r="I37" s="113"/>
      <c r="J37" s="114"/>
      <c r="K37" s="115" t="s">
        <v>20</v>
      </c>
      <c r="L37" s="116">
        <f>(COUNT(B34:C34)-1)*(COUNT(B34:B35)-1)</f>
        <v>1</v>
      </c>
    </row>
    <row r="38" spans="2:7" ht="12.75" hidden="1">
      <c r="B38" s="108"/>
      <c r="C38" s="108"/>
      <c r="D38" s="108"/>
      <c r="E38" s="111"/>
      <c r="F38" s="63" t="s">
        <v>334</v>
      </c>
      <c r="G38" s="71">
        <f>CHIINV(0.01,L37)</f>
        <v>6.634896601021212</v>
      </c>
    </row>
    <row r="39" spans="1:7" ht="12.75" hidden="1">
      <c r="A39" s="117" t="s">
        <v>172</v>
      </c>
      <c r="B39" s="118" t="s">
        <v>336</v>
      </c>
      <c r="C39" s="118" t="s">
        <v>337</v>
      </c>
      <c r="D39" s="119" t="s">
        <v>171</v>
      </c>
      <c r="E39" s="108"/>
      <c r="F39" s="41" t="s">
        <v>190</v>
      </c>
      <c r="G39" s="3" t="s">
        <v>191</v>
      </c>
    </row>
    <row r="40" spans="1:7" ht="12.75" hidden="1">
      <c r="A40" s="120" t="s">
        <v>338</v>
      </c>
      <c r="B40" s="78">
        <f>D36*F34</f>
        <v>55.67501025851457</v>
      </c>
      <c r="C40" s="78">
        <f>D36*G34</f>
        <v>264.32498974148547</v>
      </c>
      <c r="D40" s="78">
        <f>SUM(B40:C40)</f>
        <v>320.00000000000006</v>
      </c>
      <c r="E40" s="108"/>
      <c r="F40" s="41" t="s">
        <v>192</v>
      </c>
      <c r="G40" s="3" t="s">
        <v>136</v>
      </c>
    </row>
    <row r="41" spans="1:6" ht="12.75" hidden="1">
      <c r="A41" s="120" t="s">
        <v>339</v>
      </c>
      <c r="B41" s="78">
        <f>D36*F35</f>
        <v>368.32498974148547</v>
      </c>
      <c r="C41" s="78">
        <f>D36*G35</f>
        <v>1748.6750102585145</v>
      </c>
      <c r="D41" s="78">
        <f>SUM(B41:C41)</f>
        <v>2117</v>
      </c>
      <c r="E41" s="108"/>
      <c r="F41" s="1" t="s">
        <v>182</v>
      </c>
    </row>
    <row r="42" spans="1:7" ht="12.75" hidden="1">
      <c r="A42" s="120" t="s">
        <v>171</v>
      </c>
      <c r="B42" s="78">
        <f>SUM(B40:B41)</f>
        <v>424.00000000000006</v>
      </c>
      <c r="C42" s="78">
        <f>SUM(C40:C41)</f>
        <v>2013</v>
      </c>
      <c r="D42" s="121">
        <f>SUM(D40:D41)</f>
        <v>2437</v>
      </c>
      <c r="E42" s="108"/>
      <c r="F42" s="120" t="s">
        <v>188</v>
      </c>
      <c r="G42" s="122">
        <f>D36</f>
        <v>2437</v>
      </c>
    </row>
    <row r="43" spans="2:8" ht="12.75" hidden="1">
      <c r="B43" s="108"/>
      <c r="C43" s="108"/>
      <c r="D43" s="108"/>
      <c r="E43" s="108"/>
      <c r="F43" s="120" t="s">
        <v>186</v>
      </c>
      <c r="G43" s="122">
        <f>((B34*C35)-(C34*B35))^2</f>
        <v>4115735716</v>
      </c>
      <c r="H43" s="123"/>
    </row>
    <row r="44" spans="1:8" ht="26.25" customHeight="1" hidden="1">
      <c r="A44" s="83"/>
      <c r="B44" s="565" t="s">
        <v>21</v>
      </c>
      <c r="C44" s="566"/>
      <c r="F44" s="120" t="s">
        <v>187</v>
      </c>
      <c r="G44" s="122">
        <f>B36*C36*D34*D35</f>
        <v>578203169280</v>
      </c>
      <c r="H44" s="123"/>
    </row>
    <row r="45" spans="1:8" ht="12.75" hidden="1">
      <c r="A45" s="83"/>
      <c r="B45" s="124">
        <f>(B34-B40)^2/B40</f>
        <v>12.4473274754957</v>
      </c>
      <c r="C45" s="124">
        <f>(C34-C40)^2/C40</f>
        <v>2.6217917782464926</v>
      </c>
      <c r="F45" s="117" t="s">
        <v>189</v>
      </c>
      <c r="G45" s="125">
        <f>G42*G43/G44</f>
        <v>17.34692660433146</v>
      </c>
      <c r="H45" s="123"/>
    </row>
    <row r="46" spans="1:8" ht="12.75" hidden="1">
      <c r="A46" s="83"/>
      <c r="B46" s="124">
        <f>(B35-B41)^2/B41</f>
        <v>1.8815043893049757</v>
      </c>
      <c r="C46" s="124">
        <f>(C35-C41)^2/C41</f>
        <v>0.3963029612843086</v>
      </c>
      <c r="F46" s="88" t="s">
        <v>193</v>
      </c>
      <c r="G46" s="126">
        <f>G45-G37</f>
        <v>13.505467783637338</v>
      </c>
      <c r="H46" s="123" t="s">
        <v>194</v>
      </c>
    </row>
    <row r="47" spans="1:8" ht="12.75" hidden="1">
      <c r="A47" s="3" t="s">
        <v>294</v>
      </c>
      <c r="C47" s="61"/>
      <c r="F47" s="88"/>
      <c r="G47" s="127"/>
      <c r="H47" s="123"/>
    </row>
    <row r="48" spans="1:11" ht="13.5" customHeight="1" hidden="1">
      <c r="A48" s="96" t="s">
        <v>296</v>
      </c>
      <c r="B48" s="97">
        <f>SUM(B45:C46)</f>
        <v>17.34692660433148</v>
      </c>
      <c r="C48" s="98" t="s">
        <v>297</v>
      </c>
      <c r="F48" s="88"/>
      <c r="G48" s="128">
        <v>1.5570072741999397E-05</v>
      </c>
      <c r="H48" s="129"/>
      <c r="K48" s="130"/>
    </row>
    <row r="49" spans="1:7" ht="13.5" hidden="1" thickBot="1">
      <c r="A49" s="131" t="s">
        <v>22</v>
      </c>
      <c r="B49" s="132">
        <f>CHIDIST(B48,1)</f>
        <v>3.114014546910991E-05</v>
      </c>
      <c r="G49" s="128">
        <v>3.114014566513832E-05</v>
      </c>
    </row>
    <row r="50" spans="1:8" ht="16.5" hidden="1" thickBot="1">
      <c r="A50" s="26" t="s">
        <v>292</v>
      </c>
      <c r="B50" s="27"/>
      <c r="C50" s="27"/>
      <c r="D50" s="27"/>
      <c r="E50" s="27"/>
      <c r="F50" s="27"/>
      <c r="G50" s="27"/>
      <c r="H50" s="28"/>
    </row>
    <row r="51" ht="12.75" hidden="1">
      <c r="A51" s="3" t="s">
        <v>204</v>
      </c>
    </row>
    <row r="52" ht="12.75" hidden="1">
      <c r="A52" s="3" t="s">
        <v>205</v>
      </c>
    </row>
    <row r="53" ht="12.75" hidden="1">
      <c r="A53" s="3" t="s">
        <v>206</v>
      </c>
    </row>
    <row r="54" ht="12.75" hidden="1">
      <c r="A54" s="3"/>
    </row>
    <row r="55" spans="1:8" ht="12.75" hidden="1">
      <c r="A55" s="35" t="s">
        <v>81</v>
      </c>
      <c r="B55" s="133"/>
      <c r="C55" s="133"/>
      <c r="D55" s="133"/>
      <c r="E55" s="133"/>
      <c r="F55" s="133"/>
      <c r="G55" s="133"/>
      <c r="H55" s="133"/>
    </row>
    <row r="56" spans="1:9" ht="12.75" hidden="1">
      <c r="A56" s="134" t="s">
        <v>598</v>
      </c>
      <c r="I56" s="135"/>
    </row>
    <row r="57" spans="1:9" ht="12.75" hidden="1">
      <c r="A57" s="136" t="s">
        <v>469</v>
      </c>
      <c r="H57" s="123"/>
      <c r="I57" s="137"/>
    </row>
    <row r="58" spans="1:9" ht="12.75" hidden="1">
      <c r="A58" s="136" t="s">
        <v>470</v>
      </c>
      <c r="G58" s="136"/>
      <c r="H58" s="123"/>
      <c r="I58" s="137"/>
    </row>
    <row r="59" spans="3:6" ht="12.75" hidden="1">
      <c r="C59" s="138" t="s">
        <v>195</v>
      </c>
      <c r="D59" s="138" t="s">
        <v>197</v>
      </c>
      <c r="E59" s="139" t="s">
        <v>199</v>
      </c>
      <c r="F59" s="140" t="s">
        <v>200</v>
      </c>
    </row>
    <row r="60" spans="3:6" ht="12.75" hidden="1">
      <c r="C60" s="141" t="s">
        <v>196</v>
      </c>
      <c r="D60" s="141" t="s">
        <v>443</v>
      </c>
      <c r="E60" s="142" t="s">
        <v>285</v>
      </c>
      <c r="F60" s="143" t="s">
        <v>285</v>
      </c>
    </row>
    <row r="61" spans="3:11" ht="12.75" hidden="1">
      <c r="C61" s="538">
        <v>39</v>
      </c>
      <c r="D61" s="538">
        <v>43</v>
      </c>
      <c r="E61" s="144">
        <f>C61^2</f>
        <v>1521</v>
      </c>
      <c r="F61" s="144">
        <f>D61^2</f>
        <v>1849</v>
      </c>
      <c r="G61" s="145"/>
      <c r="H61" s="146" t="s">
        <v>3</v>
      </c>
      <c r="I61" s="147">
        <f>AVERAGE(D61:D70)</f>
        <v>39.5</v>
      </c>
      <c r="J61" s="145" t="s">
        <v>2</v>
      </c>
      <c r="K61" s="145"/>
    </row>
    <row r="62" spans="3:11" ht="12.75" hidden="1">
      <c r="C62" s="538">
        <v>36</v>
      </c>
      <c r="D62" s="538">
        <v>45</v>
      </c>
      <c r="E62" s="77">
        <f aca="true" t="shared" si="0" ref="E62:F70">C62^2</f>
        <v>1296</v>
      </c>
      <c r="F62" s="77">
        <f t="shared" si="0"/>
        <v>2025</v>
      </c>
      <c r="G62" s="145"/>
      <c r="H62" s="146" t="s">
        <v>4</v>
      </c>
      <c r="I62" s="147">
        <f>GEOMEAN(D61:D70)</f>
        <v>39.3236070220967</v>
      </c>
      <c r="J62" s="145" t="s">
        <v>14</v>
      </c>
      <c r="K62" s="145"/>
    </row>
    <row r="63" spans="3:11" ht="12.75" hidden="1">
      <c r="C63" s="538">
        <v>35</v>
      </c>
      <c r="D63" s="538">
        <v>42</v>
      </c>
      <c r="E63" s="77">
        <f t="shared" si="0"/>
        <v>1225</v>
      </c>
      <c r="F63" s="77">
        <f t="shared" si="0"/>
        <v>1764</v>
      </c>
      <c r="G63" s="145"/>
      <c r="H63" s="146" t="s">
        <v>5</v>
      </c>
      <c r="I63" s="147">
        <f>HARMEAN(D61:D70)</f>
        <v>39.1440476491959</v>
      </c>
      <c r="J63" s="145" t="s">
        <v>15</v>
      </c>
      <c r="K63" s="145"/>
    </row>
    <row r="64" spans="3:11" ht="12.75" hidden="1">
      <c r="C64" s="538">
        <v>37</v>
      </c>
      <c r="D64" s="538">
        <v>35</v>
      </c>
      <c r="E64" s="77">
        <f t="shared" si="0"/>
        <v>1369</v>
      </c>
      <c r="F64" s="77">
        <f t="shared" si="0"/>
        <v>1225</v>
      </c>
      <c r="G64" s="145"/>
      <c r="H64" s="146" t="s">
        <v>6</v>
      </c>
      <c r="I64" s="147">
        <f>MEDIAN(D61:D70)</f>
        <v>39.5</v>
      </c>
      <c r="J64" s="145" t="s">
        <v>7</v>
      </c>
      <c r="K64" s="145"/>
    </row>
    <row r="65" spans="3:11" ht="12.75" hidden="1">
      <c r="C65" s="538">
        <v>40</v>
      </c>
      <c r="D65" s="538">
        <v>37</v>
      </c>
      <c r="E65" s="77">
        <f t="shared" si="0"/>
        <v>1600</v>
      </c>
      <c r="F65" s="77">
        <f t="shared" si="0"/>
        <v>1369</v>
      </c>
      <c r="G65" s="145"/>
      <c r="H65" s="146" t="s">
        <v>8</v>
      </c>
      <c r="I65" s="147">
        <f>MODE(D62:D71)</f>
        <v>38</v>
      </c>
      <c r="J65" s="145" t="s">
        <v>13</v>
      </c>
      <c r="K65" s="145"/>
    </row>
    <row r="66" spans="3:11" ht="12.75" hidden="1">
      <c r="C66" s="538">
        <v>39</v>
      </c>
      <c r="D66" s="538">
        <v>38</v>
      </c>
      <c r="E66" s="77">
        <f t="shared" si="0"/>
        <v>1521</v>
      </c>
      <c r="F66" s="77">
        <f t="shared" si="0"/>
        <v>1444</v>
      </c>
      <c r="G66" s="145"/>
      <c r="H66" s="146" t="s">
        <v>16</v>
      </c>
      <c r="I66" s="147">
        <f>VAR(D61:D70)</f>
        <v>15.166666666666666</v>
      </c>
      <c r="J66" s="145" t="s">
        <v>9</v>
      </c>
      <c r="K66" s="145"/>
    </row>
    <row r="67" spans="3:11" ht="12.75" hidden="1">
      <c r="C67" s="538">
        <v>40</v>
      </c>
      <c r="D67" s="538">
        <v>33</v>
      </c>
      <c r="E67" s="77">
        <f t="shared" si="0"/>
        <v>1600</v>
      </c>
      <c r="F67" s="77">
        <f t="shared" si="0"/>
        <v>1089</v>
      </c>
      <c r="G67" s="145"/>
      <c r="H67" s="146" t="s">
        <v>17</v>
      </c>
      <c r="I67" s="147">
        <f>STDEV(D61:D70)</f>
        <v>3.8944404818493075</v>
      </c>
      <c r="J67" s="145" t="s">
        <v>10</v>
      </c>
      <c r="K67" s="147"/>
    </row>
    <row r="68" spans="3:11" ht="12.75" hidden="1">
      <c r="C68" s="538">
        <v>38</v>
      </c>
      <c r="D68" s="538">
        <v>38</v>
      </c>
      <c r="E68" s="77">
        <f t="shared" si="0"/>
        <v>1444</v>
      </c>
      <c r="F68" s="77">
        <f t="shared" si="0"/>
        <v>1444</v>
      </c>
      <c r="G68" s="148"/>
      <c r="H68" s="146" t="s">
        <v>18</v>
      </c>
      <c r="I68" s="147">
        <f>MIN(D61:D70)</f>
        <v>33</v>
      </c>
      <c r="J68" s="145" t="s">
        <v>11</v>
      </c>
      <c r="K68" s="147"/>
    </row>
    <row r="69" spans="3:11" ht="12.75" hidden="1">
      <c r="C69" s="538">
        <v>35</v>
      </c>
      <c r="D69" s="538">
        <v>41</v>
      </c>
      <c r="E69" s="77">
        <f t="shared" si="0"/>
        <v>1225</v>
      </c>
      <c r="F69" s="77">
        <f t="shared" si="0"/>
        <v>1681</v>
      </c>
      <c r="G69" s="148"/>
      <c r="H69" s="146" t="s">
        <v>19</v>
      </c>
      <c r="I69" s="147">
        <f>MAX(D61:D70)</f>
        <v>45</v>
      </c>
      <c r="J69" s="145" t="s">
        <v>12</v>
      </c>
      <c r="K69" s="145"/>
    </row>
    <row r="70" spans="3:7" ht="12.75" hidden="1">
      <c r="C70" s="538">
        <v>39</v>
      </c>
      <c r="D70" s="538">
        <v>43</v>
      </c>
      <c r="E70" s="77">
        <f t="shared" si="0"/>
        <v>1521</v>
      </c>
      <c r="F70" s="77">
        <f t="shared" si="0"/>
        <v>1849</v>
      </c>
      <c r="G70" s="135"/>
    </row>
    <row r="71" spans="2:7" ht="12.75" hidden="1">
      <c r="B71" s="149" t="s">
        <v>201</v>
      </c>
      <c r="C71" s="150">
        <f>SUM(C61:C70)</f>
        <v>378</v>
      </c>
      <c r="D71" s="151">
        <f>SUM(D61:D70)</f>
        <v>395</v>
      </c>
      <c r="E71" s="79">
        <f>SUM(E61:E70)</f>
        <v>14322</v>
      </c>
      <c r="F71" s="79">
        <f>SUM(F61:F70)</f>
        <v>15739</v>
      </c>
      <c r="G71" s="135"/>
    </row>
    <row r="72" spans="2:7" ht="12.75" hidden="1">
      <c r="B72" s="149" t="s">
        <v>202</v>
      </c>
      <c r="C72" s="152">
        <f>COUNT(C61:C70)</f>
        <v>10</v>
      </c>
      <c r="D72" s="152">
        <f>COUNT(D61:D70)</f>
        <v>10</v>
      </c>
      <c r="G72" s="135"/>
    </row>
    <row r="73" spans="2:10" ht="12.75" hidden="1">
      <c r="B73" s="149" t="s">
        <v>203</v>
      </c>
      <c r="C73" s="567">
        <f>C72+D72</f>
        <v>20</v>
      </c>
      <c r="D73" s="568"/>
      <c r="F73" s="1" t="s">
        <v>414</v>
      </c>
      <c r="G73" s="135"/>
      <c r="J73" s="1" t="s">
        <v>0</v>
      </c>
    </row>
    <row r="74" spans="2:10" ht="12.75" hidden="1">
      <c r="B74" s="149" t="s">
        <v>198</v>
      </c>
      <c r="C74" s="152">
        <f>AVERAGE(C61:C70)</f>
        <v>37.8</v>
      </c>
      <c r="D74" s="152">
        <f>AVERAGE(D61:D70)</f>
        <v>39.5</v>
      </c>
      <c r="F74" s="1" t="s">
        <v>413</v>
      </c>
      <c r="G74" s="135"/>
      <c r="J74" s="1" t="s">
        <v>415</v>
      </c>
    </row>
    <row r="75" spans="2:7" ht="12.75" hidden="1">
      <c r="B75" s="149" t="s">
        <v>341</v>
      </c>
      <c r="C75" s="152">
        <f>C74^2</f>
        <v>1428.8399999999997</v>
      </c>
      <c r="D75" s="152">
        <f>D74^2</f>
        <v>1560.25</v>
      </c>
      <c r="G75" s="135"/>
    </row>
    <row r="76" spans="2:7" ht="15" hidden="1">
      <c r="B76" s="153" t="s">
        <v>471</v>
      </c>
      <c r="C76" s="154">
        <f>VAR(C61:C70)</f>
        <v>3.7333333333333334</v>
      </c>
      <c r="D76" s="154">
        <f>VAR(D61:D70)</f>
        <v>15.166666666666666</v>
      </c>
      <c r="E76" s="123" t="s">
        <v>286</v>
      </c>
      <c r="G76" s="3"/>
    </row>
    <row r="77" spans="2:9" ht="15" hidden="1">
      <c r="B77" s="155" t="s">
        <v>472</v>
      </c>
      <c r="C77" s="156">
        <f>C76*C72/(C72-1)</f>
        <v>4.148148148148149</v>
      </c>
      <c r="D77" s="156">
        <f>D76*D72/(D72-1)</f>
        <v>16.85185185185185</v>
      </c>
      <c r="E77" s="123" t="s">
        <v>1</v>
      </c>
      <c r="G77" s="123"/>
      <c r="H77" s="123"/>
      <c r="I77" s="123"/>
    </row>
    <row r="78" ht="12.75" hidden="1"/>
    <row r="79" ht="12.75" hidden="1">
      <c r="A79" s="5" t="s">
        <v>599</v>
      </c>
    </row>
    <row r="80" ht="12.75" hidden="1">
      <c r="A80" s="1" t="s">
        <v>383</v>
      </c>
    </row>
    <row r="81" spans="2:5" ht="13.5" hidden="1" thickBot="1">
      <c r="B81" s="157"/>
      <c r="C81" s="158"/>
      <c r="D81" s="159" t="s">
        <v>380</v>
      </c>
      <c r="E81" s="1" t="s">
        <v>379</v>
      </c>
    </row>
    <row r="82" spans="1:5" ht="13.5" hidden="1" thickBot="1">
      <c r="A82" s="160"/>
      <c r="B82" s="161" t="s">
        <v>210</v>
      </c>
      <c r="C82" s="162">
        <v>5.06</v>
      </c>
      <c r="E82" s="1">
        <f>C77/D77</f>
        <v>0.2461538461538462</v>
      </c>
    </row>
    <row r="83" spans="2:9" ht="12.75" hidden="1">
      <c r="B83" s="163" t="s">
        <v>59</v>
      </c>
      <c r="C83" s="123"/>
      <c r="D83" s="123"/>
      <c r="E83" s="123"/>
      <c r="F83" s="123"/>
      <c r="G83" s="123"/>
      <c r="H83" s="123"/>
      <c r="I83" s="123"/>
    </row>
    <row r="84" spans="2:9" ht="13.5" hidden="1" thickBot="1">
      <c r="B84" s="157"/>
      <c r="C84" s="158"/>
      <c r="D84" s="159" t="s">
        <v>381</v>
      </c>
      <c r="E84" s="164">
        <f>D77/C77</f>
        <v>4.062499999999999</v>
      </c>
      <c r="F84" s="123" t="s">
        <v>207</v>
      </c>
      <c r="I84" s="123"/>
    </row>
    <row r="85" spans="2:9" ht="12.75" hidden="1">
      <c r="B85" s="120" t="s">
        <v>209</v>
      </c>
      <c r="C85" s="126">
        <f>E84-C82</f>
        <v>-0.9975000000000005</v>
      </c>
      <c r="D85" s="123" t="s">
        <v>208</v>
      </c>
      <c r="E85" s="123"/>
      <c r="F85" s="123"/>
      <c r="G85" s="123"/>
      <c r="H85" s="123"/>
      <c r="I85" s="123"/>
    </row>
    <row r="86" ht="12.75" hidden="1"/>
    <row r="87" ht="12.75" hidden="1">
      <c r="A87" s="5" t="s">
        <v>600</v>
      </c>
    </row>
    <row r="88" ht="12.75" hidden="1">
      <c r="A88" s="1" t="s">
        <v>382</v>
      </c>
    </row>
    <row r="89" ht="12.75" hidden="1"/>
    <row r="90" ht="12.75" hidden="1">
      <c r="B90" s="5" t="s">
        <v>601</v>
      </c>
    </row>
    <row r="91" spans="3:13" ht="12.75" hidden="1">
      <c r="C91" s="165" t="s">
        <v>602</v>
      </c>
      <c r="J91" s="166" t="s">
        <v>288</v>
      </c>
      <c r="K91" s="167">
        <v>15255</v>
      </c>
      <c r="L91" s="168">
        <v>15272</v>
      </c>
      <c r="M91" s="169"/>
    </row>
    <row r="92" spans="2:13" ht="12.75" hidden="1">
      <c r="B92" s="1" t="s">
        <v>212</v>
      </c>
      <c r="J92" s="170" t="s">
        <v>60</v>
      </c>
      <c r="K92" s="171">
        <v>146.2</v>
      </c>
      <c r="L92" s="172">
        <v>146.4</v>
      </c>
      <c r="M92" s="169"/>
    </row>
    <row r="93" spans="10:13" ht="12.75" hidden="1">
      <c r="J93" s="170" t="s">
        <v>61</v>
      </c>
      <c r="K93" s="171">
        <v>15.7</v>
      </c>
      <c r="L93" s="172">
        <v>15.7</v>
      </c>
      <c r="M93" s="169"/>
    </row>
    <row r="94" spans="2:13" ht="12.75" hidden="1">
      <c r="B94" s="5" t="s">
        <v>603</v>
      </c>
      <c r="J94" s="170" t="s">
        <v>62</v>
      </c>
      <c r="K94" s="171">
        <f>SQRT(K93)</f>
        <v>3.96232255123179</v>
      </c>
      <c r="L94" s="172">
        <f>SQRT(L93)</f>
        <v>3.96232255123179</v>
      </c>
      <c r="M94" s="169"/>
    </row>
    <row r="95" spans="3:13" ht="12.75" hidden="1">
      <c r="C95" s="1" t="s">
        <v>213</v>
      </c>
      <c r="J95" s="173" t="s">
        <v>68</v>
      </c>
      <c r="K95" s="171">
        <f>(K91/(K91-1))*K94</f>
        <v>3.9625823075285798</v>
      </c>
      <c r="L95" s="172">
        <f>(L91/(L91-1))*L94</f>
        <v>3.9625820183623794</v>
      </c>
      <c r="M95" s="169"/>
    </row>
    <row r="96" spans="4:13" ht="12.75" hidden="1">
      <c r="D96" s="165" t="s">
        <v>604</v>
      </c>
      <c r="J96" s="173" t="s">
        <v>221</v>
      </c>
      <c r="K96" s="171">
        <f>L92-K92</f>
        <v>0.20000000000001705</v>
      </c>
      <c r="L96" s="172"/>
      <c r="M96" s="169"/>
    </row>
    <row r="97" spans="2:13" ht="12.75" hidden="1">
      <c r="B97" s="163" t="s">
        <v>211</v>
      </c>
      <c r="C97" s="123"/>
      <c r="D97" s="123"/>
      <c r="E97" s="123"/>
      <c r="F97" s="123"/>
      <c r="G97" s="123"/>
      <c r="J97" s="173" t="s">
        <v>222</v>
      </c>
      <c r="K97" s="171">
        <f>SQRT((K95/K91)+(L95/L91))</f>
        <v>0.02278647465886905</v>
      </c>
      <c r="L97" s="172"/>
      <c r="M97" s="169"/>
    </row>
    <row r="98" spans="3:13" ht="12.75" hidden="1">
      <c r="C98" s="174"/>
      <c r="D98" s="175"/>
      <c r="E98" s="175"/>
      <c r="F98" s="176" t="s">
        <v>219</v>
      </c>
      <c r="G98" s="177">
        <v>2.878</v>
      </c>
      <c r="J98" s="178" t="s">
        <v>64</v>
      </c>
      <c r="K98" s="179">
        <f>K91+L91-2</f>
        <v>30525</v>
      </c>
      <c r="L98" s="172"/>
      <c r="M98" s="169"/>
    </row>
    <row r="99" spans="3:17" ht="13.5" hidden="1" thickBot="1">
      <c r="C99" s="180"/>
      <c r="D99" s="181"/>
      <c r="E99" s="181"/>
      <c r="F99" s="182" t="s">
        <v>220</v>
      </c>
      <c r="G99" s="183">
        <v>2.101</v>
      </c>
      <c r="J99" s="173" t="s">
        <v>223</v>
      </c>
      <c r="K99" s="171">
        <f>K96/K97</f>
        <v>8.777136568695683</v>
      </c>
      <c r="L99" s="184" t="s">
        <v>66</v>
      </c>
      <c r="M99" s="169"/>
      <c r="N99" s="123"/>
      <c r="O99" s="185">
        <f>TDIST(K99,K98,2)</f>
        <v>1.7624779669558192E-18</v>
      </c>
      <c r="P99" s="169" t="s">
        <v>67</v>
      </c>
      <c r="Q99" s="169"/>
    </row>
    <row r="100" spans="3:14" ht="12.75" hidden="1">
      <c r="C100" s="120" t="s">
        <v>221</v>
      </c>
      <c r="D100" s="186">
        <f>D74-C74</f>
        <v>1.7000000000000028</v>
      </c>
      <c r="E100" s="123"/>
      <c r="F100" s="123"/>
      <c r="G100" s="123"/>
      <c r="H100" s="123"/>
      <c r="I100" s="123"/>
      <c r="J100" s="187" t="s">
        <v>63</v>
      </c>
      <c r="K100" s="188">
        <f>TINV(0.05,K98)</f>
        <v>1.960041703252339</v>
      </c>
      <c r="L100" s="189" t="s">
        <v>65</v>
      </c>
      <c r="M100" s="190"/>
      <c r="N100" s="148"/>
    </row>
    <row r="101" spans="3:13" ht="12.75" hidden="1">
      <c r="C101" s="120" t="s">
        <v>222</v>
      </c>
      <c r="D101" s="186">
        <f>SQRT((D77/D72)+(C77/C72))</f>
        <v>1.449137674618944</v>
      </c>
      <c r="E101" s="123"/>
      <c r="F101" s="123"/>
      <c r="G101" s="123"/>
      <c r="H101" s="123"/>
      <c r="I101" s="123"/>
      <c r="J101" s="191" t="s">
        <v>224</v>
      </c>
      <c r="K101" s="192">
        <f>K99-K100</f>
        <v>6.8170948654433445</v>
      </c>
      <c r="L101" s="193" t="s">
        <v>225</v>
      </c>
      <c r="M101" s="169"/>
    </row>
    <row r="102" spans="3:10" ht="12.75" hidden="1">
      <c r="C102" s="120" t="s">
        <v>223</v>
      </c>
      <c r="D102" s="186">
        <f>D100/D101</f>
        <v>1.173111450882004</v>
      </c>
      <c r="E102" s="123"/>
      <c r="F102" s="123"/>
      <c r="G102" s="123"/>
      <c r="H102" s="123"/>
      <c r="I102" s="123"/>
      <c r="J102" s="123"/>
    </row>
    <row r="103" spans="3:10" ht="12.75" hidden="1">
      <c r="C103" s="120" t="s">
        <v>224</v>
      </c>
      <c r="D103" s="194">
        <f>D102-G98</f>
        <v>-1.7048885491179961</v>
      </c>
      <c r="E103" s="123" t="s">
        <v>225</v>
      </c>
      <c r="F103" s="123"/>
      <c r="G103" s="123"/>
      <c r="H103" s="123"/>
      <c r="I103" s="123"/>
      <c r="J103" s="123"/>
    </row>
    <row r="104" ht="12.75" hidden="1"/>
    <row r="105" spans="3:5" ht="12.75" hidden="1">
      <c r="C105" s="5" t="s">
        <v>74</v>
      </c>
      <c r="D105" s="5"/>
      <c r="E105" s="5"/>
    </row>
    <row r="106" spans="3:5" ht="12.75" hidden="1">
      <c r="C106" s="5"/>
      <c r="D106" s="5" t="s">
        <v>214</v>
      </c>
      <c r="E106" s="5"/>
    </row>
    <row r="107" spans="3:5" ht="12.75" hidden="1">
      <c r="C107" s="5" t="s">
        <v>215</v>
      </c>
      <c r="D107" s="5" t="s">
        <v>216</v>
      </c>
      <c r="E107" s="5"/>
    </row>
    <row r="108" spans="3:5" ht="12.75" hidden="1">
      <c r="C108" s="5" t="s">
        <v>217</v>
      </c>
      <c r="D108" s="5" t="s">
        <v>218</v>
      </c>
      <c r="E108" s="5"/>
    </row>
    <row r="109" ht="12.75" hidden="1"/>
    <row r="110" ht="12.75" hidden="1">
      <c r="C110" s="195" t="s">
        <v>473</v>
      </c>
    </row>
    <row r="111" ht="12.75" hidden="1"/>
    <row r="112" spans="7:8" ht="12.75" hidden="1">
      <c r="G112" s="196" t="s">
        <v>326</v>
      </c>
      <c r="H112" s="196" t="s">
        <v>327</v>
      </c>
    </row>
    <row r="113" spans="6:8" ht="12.75" hidden="1">
      <c r="F113" s="197" t="s">
        <v>288</v>
      </c>
      <c r="G113" s="198">
        <v>56</v>
      </c>
      <c r="H113" s="198">
        <v>57</v>
      </c>
    </row>
    <row r="114" spans="6:8" ht="12.75" hidden="1">
      <c r="F114" s="197" t="s">
        <v>73</v>
      </c>
      <c r="G114" s="198">
        <v>1.4</v>
      </c>
      <c r="H114" s="198">
        <v>-3.6</v>
      </c>
    </row>
    <row r="115" spans="6:8" ht="12.75" hidden="1">
      <c r="F115" s="197" t="s">
        <v>71</v>
      </c>
      <c r="G115" s="198">
        <v>12.24</v>
      </c>
      <c r="H115" s="198">
        <v>12.2</v>
      </c>
    </row>
    <row r="116" spans="6:8" ht="12.75" hidden="1">
      <c r="F116" s="197" t="s">
        <v>72</v>
      </c>
      <c r="G116" s="156">
        <f>SQRT(G115)</f>
        <v>3.4985711369071804</v>
      </c>
      <c r="H116" s="156">
        <f>SQRT(H115)</f>
        <v>3.492849839314596</v>
      </c>
    </row>
    <row r="117" spans="6:8" ht="12.75" hidden="1">
      <c r="F117" s="197" t="s">
        <v>133</v>
      </c>
      <c r="G117" s="156">
        <f>(G113/(G113-1))*G116</f>
        <v>3.5621815212145833</v>
      </c>
      <c r="H117" s="156">
        <f>(H113/(H113-1))*H116</f>
        <v>3.5552221578737853</v>
      </c>
    </row>
    <row r="118" spans="6:8" ht="12.75" hidden="1">
      <c r="F118" s="199"/>
      <c r="G118" s="199"/>
      <c r="H118" s="199"/>
    </row>
    <row r="119" spans="6:8" ht="12.75" hidden="1">
      <c r="F119" s="200" t="s">
        <v>77</v>
      </c>
      <c r="G119" s="201">
        <f>ABS(H114-G114)</f>
        <v>5</v>
      </c>
      <c r="H119" s="199"/>
    </row>
    <row r="120" spans="6:8" ht="12.75" hidden="1">
      <c r="F120" s="200" t="s">
        <v>76</v>
      </c>
      <c r="G120" s="201">
        <f>SQRT((G117*(G113-1))+(H117*(H113-1))/(G113+H113-2))</f>
        <v>14.061067145133887</v>
      </c>
      <c r="H120" s="199"/>
    </row>
    <row r="121" spans="6:8" ht="12.75" hidden="1">
      <c r="F121" s="200" t="s">
        <v>69</v>
      </c>
      <c r="G121" s="201">
        <f>SQRT((1/G113)+(1/H113))</f>
        <v>0.18815154133374953</v>
      </c>
      <c r="H121" s="199"/>
    </row>
    <row r="122" spans="6:8" ht="12.75" hidden="1">
      <c r="F122" s="202" t="s">
        <v>78</v>
      </c>
      <c r="G122" s="203">
        <f>G113+H113-2</f>
        <v>111</v>
      </c>
      <c r="H122" s="199"/>
    </row>
    <row r="123" spans="6:13" ht="12.75" hidden="1">
      <c r="F123" s="200" t="s">
        <v>70</v>
      </c>
      <c r="G123" s="201">
        <f>G119/(G120*G121)</f>
        <v>1.889922266691459</v>
      </c>
      <c r="H123" s="204"/>
      <c r="I123" s="205"/>
      <c r="J123" s="206" t="s">
        <v>66</v>
      </c>
      <c r="K123" s="207">
        <f>TDIST(G123,G122,2)</f>
        <v>0.06137682434925501</v>
      </c>
      <c r="L123" s="208" t="s">
        <v>67</v>
      </c>
      <c r="M123" s="209"/>
    </row>
    <row r="124" spans="6:10" ht="12.75" hidden="1">
      <c r="F124" s="210" t="s">
        <v>79</v>
      </c>
      <c r="G124" s="211">
        <f>TINV(0.05,G122)</f>
        <v>1.981566757074901</v>
      </c>
      <c r="H124" s="212" t="s">
        <v>65</v>
      </c>
      <c r="I124" s="213"/>
      <c r="J124" s="214"/>
    </row>
    <row r="125" spans="6:10" ht="12.75" hidden="1">
      <c r="F125" s="200" t="s">
        <v>80</v>
      </c>
      <c r="G125" s="215">
        <f>G123-G124</f>
        <v>-0.09164449038344191</v>
      </c>
      <c r="H125" s="93" t="s">
        <v>75</v>
      </c>
      <c r="I125" s="123"/>
      <c r="J125" s="123"/>
    </row>
    <row r="126" ht="12.75" hidden="1"/>
    <row r="127" ht="12.75" hidden="1"/>
    <row r="128" spans="1:11" ht="12.75" hidden="1">
      <c r="A128" s="216" t="s">
        <v>40</v>
      </c>
      <c r="B128" s="133"/>
      <c r="C128" s="133"/>
      <c r="D128" s="133"/>
      <c r="E128" s="133"/>
      <c r="F128" s="133"/>
      <c r="G128" s="133"/>
      <c r="H128" s="133"/>
      <c r="I128" s="133"/>
      <c r="J128" s="133"/>
      <c r="K128" s="133"/>
    </row>
    <row r="129" ht="12.75" hidden="1">
      <c r="A129" s="1" t="s">
        <v>444</v>
      </c>
    </row>
    <row r="130" ht="12.75" hidden="1">
      <c r="A130" s="1" t="s">
        <v>24</v>
      </c>
    </row>
    <row r="131" ht="12.75" hidden="1">
      <c r="A131" s="1" t="s">
        <v>25</v>
      </c>
    </row>
    <row r="132" ht="12.75" hidden="1">
      <c r="A132" s="1" t="s">
        <v>445</v>
      </c>
    </row>
    <row r="133" ht="12.75" hidden="1">
      <c r="A133" s="1" t="s">
        <v>26</v>
      </c>
    </row>
    <row r="134" ht="12.75" hidden="1">
      <c r="A134" s="1" t="s">
        <v>82</v>
      </c>
    </row>
    <row r="135" ht="12.75" hidden="1">
      <c r="A135" s="1" t="s">
        <v>27</v>
      </c>
    </row>
    <row r="136" ht="12.75" hidden="1">
      <c r="A136" s="1" t="s">
        <v>28</v>
      </c>
    </row>
    <row r="137" ht="12.75" hidden="1">
      <c r="A137" s="1" t="s">
        <v>605</v>
      </c>
    </row>
    <row r="138" ht="12.75" hidden="1">
      <c r="A138" s="5" t="s">
        <v>29</v>
      </c>
    </row>
    <row r="139" ht="12.75" hidden="1">
      <c r="A139" s="1" t="s">
        <v>30</v>
      </c>
    </row>
    <row r="140" ht="12.75" hidden="1">
      <c r="A140" s="1" t="s">
        <v>31</v>
      </c>
    </row>
    <row r="141" spans="2:6" ht="30" customHeight="1" hidden="1">
      <c r="B141" s="569" t="s">
        <v>34</v>
      </c>
      <c r="C141" s="570"/>
      <c r="D141" s="570"/>
      <c r="E141" s="570"/>
      <c r="F141" s="571"/>
    </row>
    <row r="142" spans="2:6" ht="26.25" customHeight="1" hidden="1">
      <c r="B142" s="217"/>
      <c r="C142" s="218" t="s">
        <v>32</v>
      </c>
      <c r="D142" s="219" t="s">
        <v>33</v>
      </c>
      <c r="E142" s="219" t="s">
        <v>35</v>
      </c>
      <c r="F142" s="220"/>
    </row>
    <row r="143" spans="2:6" ht="12.75" hidden="1">
      <c r="B143" s="221"/>
      <c r="C143" s="222">
        <f>COUNT(C144:C149)</f>
        <v>5</v>
      </c>
      <c r="D143" s="222">
        <f>COUNT(D144:D149)</f>
        <v>5</v>
      </c>
      <c r="E143" s="141">
        <f>COUNT(E144:E149)</f>
        <v>6</v>
      </c>
      <c r="F143" s="223"/>
    </row>
    <row r="144" spans="2:6" ht="12.75" hidden="1">
      <c r="B144" s="221"/>
      <c r="C144" s="540">
        <v>0.9</v>
      </c>
      <c r="D144" s="224">
        <v>1</v>
      </c>
      <c r="E144" s="224">
        <v>1.1</v>
      </c>
      <c r="F144" s="223"/>
    </row>
    <row r="145" spans="2:6" ht="12.75" hidden="1">
      <c r="B145" s="221"/>
      <c r="C145" s="540">
        <v>0.9</v>
      </c>
      <c r="D145" s="224">
        <v>1</v>
      </c>
      <c r="E145" s="224">
        <v>1</v>
      </c>
      <c r="F145" s="223"/>
    </row>
    <row r="146" spans="2:6" ht="12.75" hidden="1">
      <c r="B146" s="221"/>
      <c r="C146" s="540">
        <v>0.9</v>
      </c>
      <c r="D146" s="224">
        <v>1</v>
      </c>
      <c r="E146" s="224">
        <v>1</v>
      </c>
      <c r="F146" s="223"/>
    </row>
    <row r="147" spans="2:6" ht="12.75" hidden="1">
      <c r="B147" s="221"/>
      <c r="C147" s="225">
        <v>0.8</v>
      </c>
      <c r="D147" s="224">
        <v>1</v>
      </c>
      <c r="E147" s="224">
        <v>1</v>
      </c>
      <c r="F147" s="223"/>
    </row>
    <row r="148" spans="2:6" ht="12.75" hidden="1">
      <c r="B148" s="221"/>
      <c r="C148" s="225">
        <v>0.8</v>
      </c>
      <c r="D148" s="226">
        <v>0.9</v>
      </c>
      <c r="E148" s="226">
        <v>0.9</v>
      </c>
      <c r="F148" s="223"/>
    </row>
    <row r="149" spans="2:6" ht="12.75" hidden="1">
      <c r="B149" s="221"/>
      <c r="C149" s="227"/>
      <c r="D149" s="227"/>
      <c r="E149" s="228">
        <v>0.9</v>
      </c>
      <c r="F149" s="229" t="s">
        <v>36</v>
      </c>
    </row>
    <row r="150" spans="2:10" ht="12.75" hidden="1">
      <c r="B150" s="230" t="s">
        <v>37</v>
      </c>
      <c r="C150" s="231">
        <f>AVERAGE(C144:C149)</f>
        <v>0.86</v>
      </c>
      <c r="D150" s="231">
        <f>AVERAGE(D144:D149)</f>
        <v>0.9800000000000001</v>
      </c>
      <c r="E150" s="231">
        <f>AVERAGE(E144:E149)</f>
        <v>0.9833333333333334</v>
      </c>
      <c r="F150" s="232">
        <f>AVERAGE(C144:E149)</f>
        <v>0.9437500000000002</v>
      </c>
      <c r="H150" s="233"/>
      <c r="I150" s="233"/>
      <c r="J150" s="233"/>
    </row>
    <row r="151" spans="2:11" ht="12.75" hidden="1">
      <c r="B151" s="230" t="s">
        <v>606</v>
      </c>
      <c r="C151" s="231">
        <f>STDEV(C144:C149)</f>
        <v>0.0547722557505166</v>
      </c>
      <c r="D151" s="231">
        <f>STDEV(D144:D149)</f>
        <v>0.04472135954999579</v>
      </c>
      <c r="E151" s="231">
        <f>STDEV(E144:E149)</f>
        <v>0.07527726527090811</v>
      </c>
      <c r="F151" s="232">
        <f>STDEV(C144:E149)</f>
        <v>0.08139410298049855</v>
      </c>
      <c r="H151" s="233"/>
      <c r="I151" s="233"/>
      <c r="J151" s="233"/>
      <c r="K151" s="234"/>
    </row>
    <row r="152" spans="2:6" ht="12.75" hidden="1">
      <c r="B152" s="230" t="s">
        <v>38</v>
      </c>
      <c r="C152" s="235">
        <f>COUNT(C144:C149)</f>
        <v>5</v>
      </c>
      <c r="D152" s="235">
        <f>COUNT(D144:D149)</f>
        <v>5</v>
      </c>
      <c r="E152" s="235">
        <f>COUNT(E144:E149)</f>
        <v>6</v>
      </c>
      <c r="F152" s="236">
        <f>COUNT(C144:E149)</f>
        <v>16</v>
      </c>
    </row>
    <row r="153" ht="12.75" hidden="1"/>
    <row r="154" ht="12.75" hidden="1">
      <c r="A154" s="1" t="s">
        <v>54</v>
      </c>
    </row>
    <row r="155" ht="12.75" hidden="1">
      <c r="A155" s="1" t="s">
        <v>45</v>
      </c>
    </row>
    <row r="156" ht="12.75" hidden="1">
      <c r="A156" s="1" t="s">
        <v>446</v>
      </c>
    </row>
    <row r="157" ht="12.75" hidden="1"/>
    <row r="158" ht="12.75" hidden="1">
      <c r="A158" s="32" t="s">
        <v>448</v>
      </c>
    </row>
    <row r="159" ht="12.75" hidden="1">
      <c r="A159" s="1" t="s">
        <v>447</v>
      </c>
    </row>
    <row r="160" spans="1:8" ht="12.75" hidden="1">
      <c r="A160" s="32" t="s">
        <v>53</v>
      </c>
      <c r="H160" s="237"/>
    </row>
    <row r="161" spans="1:8" ht="12.75" hidden="1">
      <c r="A161" s="32" t="s">
        <v>55</v>
      </c>
      <c r="H161" s="237"/>
    </row>
    <row r="162" spans="1:8" ht="12.75" hidden="1">
      <c r="A162" s="32" t="s">
        <v>56</v>
      </c>
      <c r="H162" s="237"/>
    </row>
    <row r="163" ht="12.75" hidden="1">
      <c r="A163" s="32" t="s">
        <v>474</v>
      </c>
    </row>
    <row r="164" spans="2:10" ht="27" customHeight="1" hidden="1">
      <c r="B164" s="238" t="s">
        <v>39</v>
      </c>
      <c r="C164" s="572" t="s">
        <v>51</v>
      </c>
      <c r="D164" s="572"/>
      <c r="E164" s="573" t="s">
        <v>50</v>
      </c>
      <c r="F164" s="573"/>
      <c r="G164" s="573" t="s">
        <v>475</v>
      </c>
      <c r="H164" s="573"/>
      <c r="I164" s="573" t="s">
        <v>57</v>
      </c>
      <c r="J164" s="573"/>
    </row>
    <row r="165" spans="2:10" ht="24" hidden="1">
      <c r="B165" s="239" t="s">
        <v>250</v>
      </c>
      <c r="C165" s="239" t="s">
        <v>449</v>
      </c>
      <c r="D165" s="240">
        <f>(F152-1)*F151^2</f>
        <v>0.09937500000000005</v>
      </c>
      <c r="E165" s="241" t="s">
        <v>47</v>
      </c>
      <c r="F165" s="242">
        <f>F152-1</f>
        <v>15</v>
      </c>
      <c r="G165" s="243" t="s">
        <v>607</v>
      </c>
      <c r="H165" s="244">
        <f>D165/F165</f>
        <v>0.006625000000000003</v>
      </c>
      <c r="I165" s="245"/>
      <c r="J165" s="246"/>
    </row>
    <row r="166" spans="2:10" ht="41.25" customHeight="1" hidden="1">
      <c r="B166" s="239" t="s">
        <v>46</v>
      </c>
      <c r="C166" s="239" t="s">
        <v>476</v>
      </c>
      <c r="D166" s="240">
        <f>SUM((C152-1)*(C151^2)+(D152-1)*(D151^2)+(E152-1)*(E151^2))</f>
        <v>0.04833333333333334</v>
      </c>
      <c r="E166" s="241" t="s">
        <v>48</v>
      </c>
      <c r="F166" s="242">
        <f>F152-COUNT(C143:E143)</f>
        <v>13</v>
      </c>
      <c r="G166" s="243" t="s">
        <v>608</v>
      </c>
      <c r="H166" s="244">
        <f>D166/F166</f>
        <v>0.0037179487179487183</v>
      </c>
      <c r="I166" s="245"/>
      <c r="J166" s="246"/>
    </row>
    <row r="167" spans="2:10" ht="46.5" customHeight="1" hidden="1">
      <c r="B167" s="239" t="s">
        <v>227</v>
      </c>
      <c r="C167" s="239" t="s">
        <v>450</v>
      </c>
      <c r="D167" s="240">
        <f>D165-D166</f>
        <v>0.05104166666666671</v>
      </c>
      <c r="E167" s="241" t="s">
        <v>49</v>
      </c>
      <c r="F167" s="242">
        <f>COUNT(C143:E143)-1</f>
        <v>2</v>
      </c>
      <c r="G167" s="243" t="s">
        <v>609</v>
      </c>
      <c r="H167" s="244">
        <f>D167/F167</f>
        <v>0.025520833333333354</v>
      </c>
      <c r="I167" s="247" t="s">
        <v>451</v>
      </c>
      <c r="J167" s="248">
        <f>H167/H166</f>
        <v>6.864224137931039</v>
      </c>
    </row>
    <row r="168" ht="12.75" hidden="1"/>
    <row r="169" ht="12.75" hidden="1"/>
    <row r="170" ht="12.75" hidden="1"/>
    <row r="171" spans="1:8" ht="13.5" hidden="1" thickBot="1">
      <c r="A171" s="249"/>
      <c r="B171" s="250"/>
      <c r="C171" s="250"/>
      <c r="D171" s="250"/>
      <c r="E171" s="250"/>
      <c r="F171" s="251" t="s">
        <v>477</v>
      </c>
      <c r="G171" s="252">
        <f>FDIST(J167,F167,F166)</f>
        <v>0.009232141197809825</v>
      </c>
      <c r="H171" s="1" t="s">
        <v>138</v>
      </c>
    </row>
    <row r="172" ht="12.75" hidden="1">
      <c r="B172" s="1" t="s">
        <v>58</v>
      </c>
    </row>
    <row r="173" ht="12.75" hidden="1">
      <c r="B173" s="5" t="s">
        <v>610</v>
      </c>
    </row>
    <row r="174" ht="12.75" hidden="1">
      <c r="B174" s="32" t="s">
        <v>452</v>
      </c>
    </row>
    <row r="175" ht="12.75" hidden="1">
      <c r="B175" s="253" t="s">
        <v>611</v>
      </c>
    </row>
    <row r="176" ht="12.75" hidden="1">
      <c r="B176" s="1" t="s">
        <v>453</v>
      </c>
    </row>
    <row r="177" ht="12.75" hidden="1">
      <c r="B177" s="32" t="s">
        <v>612</v>
      </c>
    </row>
    <row r="178" ht="12.75" hidden="1">
      <c r="B178" s="32" t="s">
        <v>157</v>
      </c>
    </row>
    <row r="179" ht="12.75" hidden="1"/>
    <row r="180" ht="12.75" customHeight="1" hidden="1"/>
    <row r="181" spans="1:7" ht="12.75" hidden="1">
      <c r="A181" s="136" t="s">
        <v>158</v>
      </c>
      <c r="B181" s="123"/>
      <c r="C181" s="123"/>
      <c r="D181" s="123"/>
      <c r="E181" s="123"/>
      <c r="F181" s="123"/>
      <c r="G181" s="123"/>
    </row>
    <row r="182" spans="1:7" ht="12.75" hidden="1">
      <c r="A182" s="123"/>
      <c r="B182" s="574" t="s">
        <v>159</v>
      </c>
      <c r="C182" s="575"/>
      <c r="D182" s="575"/>
      <c r="E182" s="575"/>
      <c r="F182" s="576"/>
      <c r="G182" s="123"/>
    </row>
    <row r="183" spans="1:7" ht="26.25" customHeight="1" hidden="1">
      <c r="A183" s="123"/>
      <c r="B183" s="204"/>
      <c r="C183" s="254" t="s">
        <v>160</v>
      </c>
      <c r="D183" s="255" t="s">
        <v>161</v>
      </c>
      <c r="E183" s="255" t="s">
        <v>162</v>
      </c>
      <c r="F183" s="256" t="s">
        <v>163</v>
      </c>
      <c r="G183" s="257"/>
    </row>
    <row r="184" spans="1:7" ht="12.75" hidden="1">
      <c r="A184" s="123"/>
      <c r="B184" s="258"/>
      <c r="C184" s="259">
        <f>COUNT(C185:C189)</f>
        <v>5</v>
      </c>
      <c r="D184" s="260">
        <f>COUNT(D185:D189)</f>
        <v>4</v>
      </c>
      <c r="E184" s="260">
        <f>COUNT(E185:E189)</f>
        <v>5</v>
      </c>
      <c r="F184" s="261">
        <f>COUNT(F185:F189)</f>
        <v>4</v>
      </c>
      <c r="G184" s="262"/>
    </row>
    <row r="185" spans="1:7" ht="12.75" hidden="1">
      <c r="A185" s="123"/>
      <c r="B185" s="258"/>
      <c r="C185" s="263">
        <v>7.1</v>
      </c>
      <c r="D185" s="152">
        <v>7.2</v>
      </c>
      <c r="E185" s="152">
        <v>5.6</v>
      </c>
      <c r="F185" s="264">
        <v>6.6</v>
      </c>
      <c r="G185" s="262"/>
    </row>
    <row r="186" spans="1:7" ht="12.75" hidden="1">
      <c r="A186" s="123"/>
      <c r="B186" s="258"/>
      <c r="C186" s="263">
        <v>8.5</v>
      </c>
      <c r="D186" s="152">
        <v>6.5</v>
      </c>
      <c r="E186" s="152">
        <v>7.1</v>
      </c>
      <c r="F186" s="264">
        <v>6.3</v>
      </c>
      <c r="G186" s="262"/>
    </row>
    <row r="187" spans="1:7" ht="12.75" hidden="1">
      <c r="A187" s="123"/>
      <c r="B187" s="258"/>
      <c r="C187" s="263">
        <v>6.2</v>
      </c>
      <c r="D187" s="152">
        <v>5.9</v>
      </c>
      <c r="E187" s="152">
        <v>6.3</v>
      </c>
      <c r="F187" s="264">
        <v>7.4</v>
      </c>
      <c r="G187" s="262"/>
    </row>
    <row r="188" spans="1:7" ht="12.75" hidden="1">
      <c r="A188" s="123"/>
      <c r="B188" s="258"/>
      <c r="C188" s="263">
        <v>7.3</v>
      </c>
      <c r="D188" s="152">
        <v>7.8</v>
      </c>
      <c r="E188" s="152">
        <v>6.7</v>
      </c>
      <c r="F188" s="264">
        <v>7.2</v>
      </c>
      <c r="G188" s="262"/>
    </row>
    <row r="189" spans="1:7" ht="13.5" hidden="1" thickBot="1">
      <c r="A189" s="123"/>
      <c r="B189" s="258"/>
      <c r="C189" s="265">
        <v>7.9</v>
      </c>
      <c r="D189" s="266"/>
      <c r="E189" s="267">
        <v>6.5</v>
      </c>
      <c r="F189" s="268"/>
      <c r="G189" s="269" t="s">
        <v>36</v>
      </c>
    </row>
    <row r="190" spans="1:7" ht="12.75" hidden="1">
      <c r="A190" s="123"/>
      <c r="B190" s="270" t="s">
        <v>37</v>
      </c>
      <c r="C190" s="271">
        <f>AVERAGE(C185:C189)</f>
        <v>7.4</v>
      </c>
      <c r="D190" s="271">
        <f>AVERAGE(D185:D189)</f>
        <v>6.8500000000000005</v>
      </c>
      <c r="E190" s="271">
        <f>AVERAGE(E185:E189)</f>
        <v>6.44</v>
      </c>
      <c r="F190" s="271">
        <f>AVERAGE(F185:F189)</f>
        <v>6.874999999999999</v>
      </c>
      <c r="G190" s="272">
        <f>AVERAGE(C185:F189)</f>
        <v>6.894444444444445</v>
      </c>
    </row>
    <row r="191" spans="1:7" ht="12.75" hidden="1">
      <c r="A191" s="123"/>
      <c r="B191" s="270" t="s">
        <v>478</v>
      </c>
      <c r="C191" s="273">
        <f>STDEV(C185:C189)</f>
        <v>0.8660254037844386</v>
      </c>
      <c r="D191" s="273">
        <f>STDEV(D185:D189)</f>
        <v>0.8266397845091462</v>
      </c>
      <c r="E191" s="273">
        <f>STDEV(E185:E189)</f>
        <v>0.5549774770204644</v>
      </c>
      <c r="F191" s="273">
        <f>STDEV(F185:F189)</f>
        <v>0.5123475382979803</v>
      </c>
      <c r="G191" s="272">
        <f>STDEV(C185:F189)</f>
        <v>0.7431825222903852</v>
      </c>
    </row>
    <row r="192" spans="1:7" ht="12.75" hidden="1">
      <c r="A192" s="123"/>
      <c r="B192" s="270" t="s">
        <v>38</v>
      </c>
      <c r="C192" s="152">
        <f>COUNT(C185:C189)</f>
        <v>5</v>
      </c>
      <c r="D192" s="152">
        <f>COUNT(D185:D189)</f>
        <v>4</v>
      </c>
      <c r="E192" s="152">
        <f>COUNT(E185:E189)</f>
        <v>5</v>
      </c>
      <c r="F192" s="152">
        <f>COUNT(F185:F189)</f>
        <v>4</v>
      </c>
      <c r="G192" s="274">
        <f>COUNT(C185:F189)</f>
        <v>18</v>
      </c>
    </row>
    <row r="193" ht="12.75" hidden="1"/>
    <row r="194" spans="2:10" ht="26.25" customHeight="1" hidden="1">
      <c r="B194" s="275" t="s">
        <v>39</v>
      </c>
      <c r="C194" s="577" t="s">
        <v>51</v>
      </c>
      <c r="D194" s="578"/>
      <c r="E194" s="579" t="s">
        <v>50</v>
      </c>
      <c r="F194" s="579"/>
      <c r="G194" s="579" t="s">
        <v>479</v>
      </c>
      <c r="H194" s="579"/>
      <c r="I194" s="579" t="s">
        <v>57</v>
      </c>
      <c r="J194" s="579"/>
    </row>
    <row r="195" spans="2:10" ht="24" hidden="1">
      <c r="B195" s="276" t="s">
        <v>250</v>
      </c>
      <c r="C195" s="276" t="s">
        <v>52</v>
      </c>
      <c r="D195" s="277">
        <f>(G192-1)*G191^2</f>
        <v>9.38944444444428</v>
      </c>
      <c r="E195" s="278" t="s">
        <v>47</v>
      </c>
      <c r="F195" s="279">
        <f>G192-1</f>
        <v>17</v>
      </c>
      <c r="G195" s="280" t="s">
        <v>480</v>
      </c>
      <c r="H195" s="281">
        <f>D195/F195</f>
        <v>0.5523202614378988</v>
      </c>
      <c r="I195" s="245"/>
      <c r="J195" s="246"/>
    </row>
    <row r="196" spans="2:10" ht="38.25" hidden="1">
      <c r="B196" s="276" t="s">
        <v>46</v>
      </c>
      <c r="C196" s="276" t="s">
        <v>481</v>
      </c>
      <c r="D196" s="277">
        <f>SUM((C192-1)*(C191^2)+(D192-1)*(D191^2)+(E192-1)*(E191^2)+(F192-1)*(F191^2))</f>
        <v>7.069499999999985</v>
      </c>
      <c r="E196" s="278" t="s">
        <v>48</v>
      </c>
      <c r="F196" s="279">
        <f>G192-COUNT(C184:F184)</f>
        <v>14</v>
      </c>
      <c r="G196" s="280" t="s">
        <v>482</v>
      </c>
      <c r="H196" s="281">
        <f>D196/F196</f>
        <v>0.5049642857142846</v>
      </c>
      <c r="I196" s="245"/>
      <c r="J196" s="246"/>
    </row>
    <row r="197" spans="2:10" ht="52.5" customHeight="1" hidden="1">
      <c r="B197" s="276" t="s">
        <v>227</v>
      </c>
      <c r="C197" s="276" t="s">
        <v>164</v>
      </c>
      <c r="D197" s="277">
        <f>D195-D196</f>
        <v>2.319944444444295</v>
      </c>
      <c r="E197" s="278" t="s">
        <v>49</v>
      </c>
      <c r="F197" s="279">
        <f>COUNT(C184:F184)-1</f>
        <v>3</v>
      </c>
      <c r="G197" s="280" t="s">
        <v>483</v>
      </c>
      <c r="H197" s="281">
        <f>D197/F197</f>
        <v>0.773314814814765</v>
      </c>
      <c r="I197" s="276" t="str">
        <f>$I$167</f>
        <v>F = Var entre grupos / Var resididual = </v>
      </c>
      <c r="J197" s="282">
        <f>H197/H196</f>
        <v>1.5314247694188745</v>
      </c>
    </row>
    <row r="198" ht="12.75" hidden="1"/>
    <row r="199" spans="1:8" ht="13.5" hidden="1" thickBot="1">
      <c r="A199" s="283"/>
      <c r="B199" s="284"/>
      <c r="C199" s="284"/>
      <c r="D199" s="284"/>
      <c r="E199" s="284"/>
      <c r="F199" s="285" t="s">
        <v>484</v>
      </c>
      <c r="G199" s="286">
        <f>FDIST(J197,F197,F196)</f>
        <v>0.25007423058765094</v>
      </c>
      <c r="H199" s="123" t="s">
        <v>165</v>
      </c>
    </row>
    <row r="200" ht="12.75" hidden="1"/>
    <row r="201" ht="12.75" hidden="1">
      <c r="E201" s="123"/>
    </row>
    <row r="202" spans="1:5" ht="16.5" hidden="1" thickBot="1">
      <c r="A202" s="26" t="s">
        <v>293</v>
      </c>
      <c r="B202" s="287"/>
      <c r="C202" s="287"/>
      <c r="D202" s="287"/>
      <c r="E202" s="28"/>
    </row>
    <row r="203" spans="1:5" s="108" customFormat="1" ht="12.75" hidden="1">
      <c r="A203" s="1" t="s">
        <v>385</v>
      </c>
      <c r="B203" s="32"/>
      <c r="C203" s="32"/>
      <c r="D203" s="32"/>
      <c r="E203" s="32"/>
    </row>
    <row r="204" spans="1:5" s="108" customFormat="1" ht="12.75" hidden="1">
      <c r="A204" s="1" t="s">
        <v>386</v>
      </c>
      <c r="B204" s="32"/>
      <c r="C204" s="32"/>
      <c r="D204" s="32"/>
      <c r="E204" s="32"/>
    </row>
    <row r="205" spans="1:5" s="108" customFormat="1" ht="12.75" hidden="1">
      <c r="A205" s="1" t="s">
        <v>387</v>
      </c>
      <c r="B205" s="32"/>
      <c r="C205" s="32"/>
      <c r="D205" s="32"/>
      <c r="E205" s="32"/>
    </row>
    <row r="206" spans="1:5" s="108" customFormat="1" ht="7.5" customHeight="1" hidden="1">
      <c r="A206" s="1"/>
      <c r="B206" s="32"/>
      <c r="C206" s="32"/>
      <c r="D206" s="32"/>
      <c r="E206" s="32"/>
    </row>
    <row r="207" spans="1:7" s="108" customFormat="1" ht="12.75" hidden="1">
      <c r="A207" s="216" t="s">
        <v>429</v>
      </c>
      <c r="B207" s="36"/>
      <c r="C207" s="36"/>
      <c r="D207" s="36"/>
      <c r="E207" s="36"/>
      <c r="F207" s="133"/>
      <c r="G207" s="133"/>
    </row>
    <row r="208" spans="1:5" s="108" customFormat="1" ht="12.75" hidden="1">
      <c r="A208" s="1" t="s">
        <v>134</v>
      </c>
      <c r="B208" s="32"/>
      <c r="C208" s="32"/>
      <c r="D208" s="32"/>
      <c r="E208" s="32"/>
    </row>
    <row r="209" spans="1:5" s="108" customFormat="1" ht="12.75" hidden="1">
      <c r="A209" s="1" t="s">
        <v>388</v>
      </c>
      <c r="B209" s="32"/>
      <c r="C209" s="32"/>
      <c r="D209" s="32"/>
      <c r="E209" s="32"/>
    </row>
    <row r="210" spans="1:5" s="108" customFormat="1" ht="12.75" hidden="1">
      <c r="A210" s="1" t="s">
        <v>613</v>
      </c>
      <c r="B210" s="32"/>
      <c r="C210" s="32"/>
      <c r="D210" s="32"/>
      <c r="E210" s="32"/>
    </row>
    <row r="211" spans="1:5" s="108" customFormat="1" ht="12.75" hidden="1">
      <c r="A211" s="1" t="s">
        <v>430</v>
      </c>
      <c r="B211" s="32"/>
      <c r="C211" s="32"/>
      <c r="D211" s="32"/>
      <c r="E211" s="32"/>
    </row>
    <row r="212" spans="1:5" s="108" customFormat="1" ht="12.75" hidden="1">
      <c r="A212" s="1" t="s">
        <v>389</v>
      </c>
      <c r="B212" s="32"/>
      <c r="C212" s="32"/>
      <c r="D212" s="32"/>
      <c r="E212" s="32"/>
    </row>
    <row r="213" spans="1:5" s="108" customFormat="1" ht="12.75" hidden="1">
      <c r="A213" s="1" t="s">
        <v>614</v>
      </c>
      <c r="B213" s="32"/>
      <c r="C213" s="32"/>
      <c r="D213" s="32"/>
      <c r="E213" s="32"/>
    </row>
    <row r="214" spans="1:5" s="108" customFormat="1" ht="12.75" hidden="1">
      <c r="A214" s="1" t="s">
        <v>615</v>
      </c>
      <c r="B214" s="32"/>
      <c r="C214" s="32"/>
      <c r="D214" s="32"/>
      <c r="E214" s="32"/>
    </row>
    <row r="215" spans="1:5" s="108" customFormat="1" ht="12.75" hidden="1">
      <c r="A215" s="1" t="s">
        <v>616</v>
      </c>
      <c r="B215" s="32"/>
      <c r="C215" s="32"/>
      <c r="D215" s="32"/>
      <c r="E215" s="32"/>
    </row>
    <row r="216" spans="1:5" s="108" customFormat="1" ht="12.75" hidden="1">
      <c r="A216" s="1" t="s">
        <v>390</v>
      </c>
      <c r="B216" s="32"/>
      <c r="C216" s="32"/>
      <c r="D216" s="32"/>
      <c r="E216" s="32"/>
    </row>
    <row r="217" spans="1:5" s="108" customFormat="1" ht="12.75" hidden="1">
      <c r="A217" s="1" t="s">
        <v>485</v>
      </c>
      <c r="B217" s="32"/>
      <c r="C217" s="32"/>
      <c r="D217" s="32"/>
      <c r="E217" s="32"/>
    </row>
    <row r="218" spans="2:6" s="108" customFormat="1" ht="12.75" hidden="1">
      <c r="B218" s="538" t="s">
        <v>391</v>
      </c>
      <c r="C218" s="288" t="s">
        <v>392</v>
      </c>
      <c r="D218" s="288" t="s">
        <v>393</v>
      </c>
      <c r="E218" s="288" t="s">
        <v>394</v>
      </c>
      <c r="F218" s="288" t="s">
        <v>416</v>
      </c>
    </row>
    <row r="219" spans="1:11" s="108" customFormat="1" ht="12.75" hidden="1">
      <c r="A219" s="1"/>
      <c r="B219" s="225">
        <v>10</v>
      </c>
      <c r="C219" s="225">
        <v>6</v>
      </c>
      <c r="D219" s="225">
        <f>B219^2</f>
        <v>100</v>
      </c>
      <c r="E219" s="225">
        <f>C219^2</f>
        <v>36</v>
      </c>
      <c r="F219" s="225">
        <f>C219*B219</f>
        <v>60</v>
      </c>
      <c r="G219" s="289"/>
      <c r="H219" s="290" t="s">
        <v>395</v>
      </c>
      <c r="I219" s="291"/>
      <c r="J219" s="291"/>
      <c r="K219" s="292"/>
    </row>
    <row r="220" spans="1:12" s="108" customFormat="1" ht="12.75" hidden="1">
      <c r="A220" s="1"/>
      <c r="B220" s="225">
        <v>12</v>
      </c>
      <c r="C220" s="225">
        <v>7</v>
      </c>
      <c r="D220" s="225">
        <f aca="true" t="shared" si="1" ref="D220:E226">B220^2</f>
        <v>144</v>
      </c>
      <c r="E220" s="225">
        <f t="shared" si="1"/>
        <v>49</v>
      </c>
      <c r="F220" s="225">
        <f aca="true" t="shared" si="2" ref="F220:F226">C220*B220</f>
        <v>84</v>
      </c>
      <c r="G220" s="289"/>
      <c r="H220" s="293" t="s">
        <v>396</v>
      </c>
      <c r="I220" s="294">
        <f>B228</f>
        <v>23.25</v>
      </c>
      <c r="J220" s="295" t="s">
        <v>397</v>
      </c>
      <c r="K220" s="296">
        <f>SQRT((D227/B230)-B228^2)</f>
        <v>10.353139620424328</v>
      </c>
      <c r="L220" s="297">
        <f>K220^2</f>
        <v>107.18749999999999</v>
      </c>
    </row>
    <row r="221" spans="1:11" s="108" customFormat="1" ht="12.75" hidden="1">
      <c r="A221" s="1"/>
      <c r="B221" s="225">
        <v>15</v>
      </c>
      <c r="C221" s="225">
        <v>9</v>
      </c>
      <c r="D221" s="225">
        <f t="shared" si="1"/>
        <v>225</v>
      </c>
      <c r="E221" s="225">
        <f t="shared" si="1"/>
        <v>81</v>
      </c>
      <c r="F221" s="225">
        <f t="shared" si="2"/>
        <v>135</v>
      </c>
      <c r="G221" s="289"/>
      <c r="I221" s="289"/>
      <c r="K221" s="289"/>
    </row>
    <row r="222" spans="1:11" s="108" customFormat="1" ht="12.75" hidden="1">
      <c r="A222" s="1"/>
      <c r="B222" s="225">
        <v>18</v>
      </c>
      <c r="C222" s="225">
        <v>9</v>
      </c>
      <c r="D222" s="225">
        <f t="shared" si="1"/>
        <v>324</v>
      </c>
      <c r="E222" s="225">
        <f t="shared" si="1"/>
        <v>81</v>
      </c>
      <c r="F222" s="225">
        <f t="shared" si="2"/>
        <v>162</v>
      </c>
      <c r="G222" s="289"/>
      <c r="H222" s="290" t="s">
        <v>399</v>
      </c>
      <c r="I222" s="298"/>
      <c r="J222" s="291"/>
      <c r="K222" s="299"/>
    </row>
    <row r="223" spans="1:12" s="108" customFormat="1" ht="12.75" hidden="1">
      <c r="A223" s="1"/>
      <c r="B223" s="225">
        <v>25</v>
      </c>
      <c r="C223" s="225">
        <v>12</v>
      </c>
      <c r="D223" s="225">
        <f t="shared" si="1"/>
        <v>625</v>
      </c>
      <c r="E223" s="225">
        <f t="shared" si="1"/>
        <v>144</v>
      </c>
      <c r="F223" s="225">
        <f t="shared" si="2"/>
        <v>300</v>
      </c>
      <c r="G223" s="289"/>
      <c r="H223" s="293" t="s">
        <v>396</v>
      </c>
      <c r="I223" s="294">
        <f>C228</f>
        <v>11</v>
      </c>
      <c r="J223" s="295" t="s">
        <v>397</v>
      </c>
      <c r="K223" s="296">
        <f>SQRT((E227/C230)-C228^2)</f>
        <v>3.640054944640259</v>
      </c>
      <c r="L223" s="297">
        <f>K223^2</f>
        <v>13.25</v>
      </c>
    </row>
    <row r="224" spans="1:7" s="108" customFormat="1" ht="12.75" hidden="1">
      <c r="A224" s="1"/>
      <c r="B224" s="225">
        <v>32</v>
      </c>
      <c r="C224" s="225">
        <v>13</v>
      </c>
      <c r="D224" s="225">
        <f t="shared" si="1"/>
        <v>1024</v>
      </c>
      <c r="E224" s="225">
        <f t="shared" si="1"/>
        <v>169</v>
      </c>
      <c r="F224" s="225">
        <f t="shared" si="2"/>
        <v>416</v>
      </c>
      <c r="G224" s="289"/>
    </row>
    <row r="225" spans="1:12" s="108" customFormat="1" ht="13.5" hidden="1" thickBot="1">
      <c r="A225" s="1"/>
      <c r="B225" s="225">
        <v>36</v>
      </c>
      <c r="C225" s="225">
        <v>15</v>
      </c>
      <c r="D225" s="225">
        <f t="shared" si="1"/>
        <v>1296</v>
      </c>
      <c r="E225" s="225">
        <f t="shared" si="1"/>
        <v>225</v>
      </c>
      <c r="F225" s="225">
        <f t="shared" si="2"/>
        <v>540</v>
      </c>
      <c r="G225" s="289"/>
      <c r="H225" s="300" t="s">
        <v>486</v>
      </c>
      <c r="I225" s="301"/>
      <c r="J225" s="302">
        <f>(F227/F230)-(B228*C228)</f>
        <v>37.125</v>
      </c>
      <c r="K225" s="303" t="s">
        <v>400</v>
      </c>
      <c r="L225" s="1" t="s">
        <v>347</v>
      </c>
    </row>
    <row r="226" spans="1:12" s="108" customFormat="1" ht="12.75" hidden="1">
      <c r="A226" s="1"/>
      <c r="B226" s="225">
        <v>38</v>
      </c>
      <c r="C226" s="225">
        <v>17</v>
      </c>
      <c r="D226" s="225">
        <f t="shared" si="1"/>
        <v>1444</v>
      </c>
      <c r="E226" s="225">
        <f t="shared" si="1"/>
        <v>289</v>
      </c>
      <c r="F226" s="225">
        <f t="shared" si="2"/>
        <v>646</v>
      </c>
      <c r="G226" s="289"/>
      <c r="L226" s="1" t="s">
        <v>617</v>
      </c>
    </row>
    <row r="227" spans="1:12" s="108" customFormat="1" ht="13.5" hidden="1" thickBot="1">
      <c r="A227" s="304" t="s">
        <v>201</v>
      </c>
      <c r="B227" s="288">
        <f>SUM(B219:B226)</f>
        <v>186</v>
      </c>
      <c r="C227" s="288">
        <f>SUM(C219:C226)</f>
        <v>88</v>
      </c>
      <c r="D227" s="288">
        <f>SUM(D219:D226)</f>
        <v>5182</v>
      </c>
      <c r="E227" s="288">
        <f>SUM(E219:E226)</f>
        <v>1074</v>
      </c>
      <c r="F227" s="305">
        <f>SUM(F219:F226)</f>
        <v>2343</v>
      </c>
      <c r="G227" s="289"/>
      <c r="H227" s="306"/>
      <c r="I227" s="307" t="s">
        <v>411</v>
      </c>
      <c r="J227" s="308">
        <f>COVAR(B219:B226,C219:C226)</f>
        <v>37.125</v>
      </c>
      <c r="K227" s="309" t="s">
        <v>400</v>
      </c>
      <c r="L227" s="1" t="s">
        <v>346</v>
      </c>
    </row>
    <row r="228" spans="1:12" s="108" customFormat="1" ht="14.25" hidden="1">
      <c r="A228" s="304" t="s">
        <v>60</v>
      </c>
      <c r="B228" s="225">
        <f>AVERAGE(B219:B226)</f>
        <v>23.25</v>
      </c>
      <c r="C228" s="225">
        <f>AVERAGE(C219:C226)</f>
        <v>11</v>
      </c>
      <c r="D228" s="288"/>
      <c r="E228" s="288"/>
      <c r="F228" s="288"/>
      <c r="G228" s="310"/>
      <c r="L228" s="1" t="s">
        <v>618</v>
      </c>
    </row>
    <row r="229" spans="1:12" s="108" customFormat="1" ht="12.75" hidden="1">
      <c r="A229" s="304" t="s">
        <v>619</v>
      </c>
      <c r="B229" s="311">
        <f>STDEVA(B219:B226)</f>
        <v>11.067971810589327</v>
      </c>
      <c r="C229" s="311">
        <f>STDEVA(C219:C226)</f>
        <v>3.8913824205360674</v>
      </c>
      <c r="D229" s="288"/>
      <c r="E229" s="288"/>
      <c r="F229" s="288"/>
      <c r="G229" s="310"/>
      <c r="L229" s="1"/>
    </row>
    <row r="230" spans="1:12" s="108" customFormat="1" ht="14.25" hidden="1">
      <c r="A230" s="304" t="s">
        <v>398</v>
      </c>
      <c r="B230" s="225">
        <f>COUNT(B219:B226)</f>
        <v>8</v>
      </c>
      <c r="C230" s="225">
        <f>COUNT(C219:C226)</f>
        <v>8</v>
      </c>
      <c r="D230" s="288"/>
      <c r="E230" s="288"/>
      <c r="F230" s="312">
        <f>COUNT(F219:F226)</f>
        <v>8</v>
      </c>
      <c r="L230" s="1" t="s">
        <v>620</v>
      </c>
    </row>
    <row r="231" spans="1:12" s="108" customFormat="1" ht="14.25" hidden="1">
      <c r="A231" s="1"/>
      <c r="B231" s="313">
        <f>_xlfn.STDEV.S(B219:B226)</f>
        <v>11.067971810589327</v>
      </c>
      <c r="C231" s="313">
        <f>_xlfn.STDEV.S(C219:C226)</f>
        <v>3.8913824205360674</v>
      </c>
      <c r="D231" s="32"/>
      <c r="E231" s="32"/>
      <c r="K231" s="289"/>
      <c r="L231" s="1" t="s">
        <v>621</v>
      </c>
    </row>
    <row r="232" spans="1:12" s="108" customFormat="1" ht="12.75" hidden="1">
      <c r="A232" s="1"/>
      <c r="B232" s="32"/>
      <c r="C232" s="32"/>
      <c r="D232" s="32"/>
      <c r="E232" s="32"/>
      <c r="G232" s="314"/>
      <c r="L232" s="169" t="s">
        <v>487</v>
      </c>
    </row>
    <row r="233" spans="1:12" ht="15.75" hidden="1">
      <c r="A233" s="216" t="s">
        <v>236</v>
      </c>
      <c r="B233" s="315"/>
      <c r="C233" s="133"/>
      <c r="L233" s="169" t="s">
        <v>488</v>
      </c>
    </row>
    <row r="234" spans="1:12" ht="12.75" hidden="1">
      <c r="A234" s="1" t="s">
        <v>237</v>
      </c>
      <c r="L234" s="169" t="s">
        <v>489</v>
      </c>
    </row>
    <row r="235" spans="1:12" ht="12.75" hidden="1">
      <c r="A235" s="1" t="s">
        <v>238</v>
      </c>
      <c r="L235" s="316" t="s">
        <v>490</v>
      </c>
    </row>
    <row r="236" spans="1:12" ht="12.75" hidden="1">
      <c r="A236" s="1" t="s">
        <v>340</v>
      </c>
      <c r="L236" s="316" t="s">
        <v>491</v>
      </c>
    </row>
    <row r="237" spans="1:12" ht="12.75" hidden="1">
      <c r="A237" s="1" t="s">
        <v>239</v>
      </c>
      <c r="L237" s="316" t="s">
        <v>492</v>
      </c>
    </row>
    <row r="238" ht="12.75" hidden="1">
      <c r="L238" s="317" t="s">
        <v>493</v>
      </c>
    </row>
    <row r="239" spans="1:12" ht="12.75" hidden="1">
      <c r="A239" s="1" t="s">
        <v>401</v>
      </c>
      <c r="L239" s="316" t="s">
        <v>410</v>
      </c>
    </row>
    <row r="240" ht="12.75" hidden="1"/>
    <row r="241" spans="2:7" ht="12.75" hidden="1">
      <c r="B241" s="102" t="s">
        <v>240</v>
      </c>
      <c r="C241" s="304">
        <v>9</v>
      </c>
      <c r="D241" s="304">
        <v>2</v>
      </c>
      <c r="E241" s="304">
        <v>2</v>
      </c>
      <c r="F241" s="304">
        <v>1</v>
      </c>
      <c r="G241" s="304">
        <v>6</v>
      </c>
    </row>
    <row r="242" spans="2:7" ht="12.75" hidden="1">
      <c r="B242" s="102" t="s">
        <v>241</v>
      </c>
      <c r="C242" s="304">
        <v>1</v>
      </c>
      <c r="D242" s="304">
        <v>7</v>
      </c>
      <c r="E242" s="304">
        <v>8</v>
      </c>
      <c r="F242" s="304">
        <v>10</v>
      </c>
      <c r="G242" s="304">
        <v>4</v>
      </c>
    </row>
    <row r="243" ht="12.75" hidden="1"/>
    <row r="244" spans="1:4" ht="12.75" hidden="1">
      <c r="A244" s="216" t="s">
        <v>287</v>
      </c>
      <c r="B244" s="133"/>
      <c r="C244" s="133"/>
      <c r="D244" s="133"/>
    </row>
    <row r="245" spans="1:9" s="108" customFormat="1" ht="12.75" hidden="1">
      <c r="A245" s="318"/>
      <c r="B245" s="319" t="s">
        <v>409</v>
      </c>
      <c r="C245" s="320"/>
      <c r="D245" s="320"/>
      <c r="E245" s="320"/>
      <c r="F245" s="320"/>
      <c r="G245" s="320"/>
      <c r="H245" s="320"/>
      <c r="I245" s="321"/>
    </row>
    <row r="246" ht="12.75" hidden="1">
      <c r="B246" s="1" t="s">
        <v>242</v>
      </c>
    </row>
    <row r="247" spans="2:3" ht="12.75" hidden="1">
      <c r="B247" s="1" t="s">
        <v>215</v>
      </c>
      <c r="C247" s="1" t="s">
        <v>243</v>
      </c>
    </row>
    <row r="248" spans="2:3" ht="12.75" hidden="1">
      <c r="B248" s="1" t="s">
        <v>215</v>
      </c>
      <c r="C248" s="1" t="s">
        <v>244</v>
      </c>
    </row>
    <row r="249" ht="12.75" hidden="1"/>
    <row r="250" spans="2:7" ht="12.75" hidden="1">
      <c r="B250" s="538" t="s">
        <v>245</v>
      </c>
      <c r="C250" s="538" t="s">
        <v>246</v>
      </c>
      <c r="D250" s="538" t="s">
        <v>247</v>
      </c>
      <c r="E250" s="150" t="s">
        <v>248</v>
      </c>
      <c r="F250" s="150" t="s">
        <v>249</v>
      </c>
      <c r="G250" s="150" t="s">
        <v>255</v>
      </c>
    </row>
    <row r="251" spans="2:7" ht="12.75" hidden="1">
      <c r="B251" s="540">
        <v>1</v>
      </c>
      <c r="C251" s="540">
        <v>9</v>
      </c>
      <c r="D251" s="540">
        <v>1</v>
      </c>
      <c r="E251" s="152">
        <f>C251*D251</f>
        <v>9</v>
      </c>
      <c r="F251" s="152">
        <f aca="true" t="shared" si="3" ref="F251:G255">C251^2</f>
        <v>81</v>
      </c>
      <c r="G251" s="152">
        <f t="shared" si="3"/>
        <v>1</v>
      </c>
    </row>
    <row r="252" spans="2:7" ht="12.75" hidden="1">
      <c r="B252" s="540">
        <v>2</v>
      </c>
      <c r="C252" s="540">
        <v>2</v>
      </c>
      <c r="D252" s="540">
        <v>7</v>
      </c>
      <c r="E252" s="152">
        <f>C252*D252</f>
        <v>14</v>
      </c>
      <c r="F252" s="152">
        <f t="shared" si="3"/>
        <v>4</v>
      </c>
      <c r="G252" s="152">
        <f t="shared" si="3"/>
        <v>49</v>
      </c>
    </row>
    <row r="253" spans="2:9" ht="15.75" hidden="1">
      <c r="B253" s="540">
        <v>3</v>
      </c>
      <c r="C253" s="540">
        <v>2</v>
      </c>
      <c r="D253" s="540">
        <v>8</v>
      </c>
      <c r="E253" s="152">
        <f>C253*D253</f>
        <v>16</v>
      </c>
      <c r="F253" s="152">
        <f t="shared" si="3"/>
        <v>4</v>
      </c>
      <c r="G253" s="152">
        <f t="shared" si="3"/>
        <v>64</v>
      </c>
      <c r="I253" s="322" t="s">
        <v>622</v>
      </c>
    </row>
    <row r="254" spans="2:11" ht="12.75" hidden="1">
      <c r="B254" s="540">
        <v>4</v>
      </c>
      <c r="C254" s="540">
        <v>1</v>
      </c>
      <c r="D254" s="540">
        <v>10</v>
      </c>
      <c r="E254" s="152">
        <f>C254*D254</f>
        <v>10</v>
      </c>
      <c r="F254" s="152">
        <f t="shared" si="3"/>
        <v>1</v>
      </c>
      <c r="G254" s="152">
        <f t="shared" si="3"/>
        <v>100</v>
      </c>
      <c r="J254" s="538" t="s">
        <v>83</v>
      </c>
      <c r="K254" s="304"/>
    </row>
    <row r="255" spans="2:15" ht="12.75" hidden="1">
      <c r="B255" s="540">
        <v>5</v>
      </c>
      <c r="C255" s="540">
        <v>6</v>
      </c>
      <c r="D255" s="540">
        <v>4</v>
      </c>
      <c r="E255" s="152">
        <f>C255*D255</f>
        <v>24</v>
      </c>
      <c r="F255" s="152">
        <f t="shared" si="3"/>
        <v>36</v>
      </c>
      <c r="G255" s="152">
        <f t="shared" si="3"/>
        <v>16</v>
      </c>
      <c r="J255" s="540">
        <v>0</v>
      </c>
      <c r="K255" s="304" t="s">
        <v>84</v>
      </c>
      <c r="N255" s="304" t="s">
        <v>140</v>
      </c>
      <c r="O255" s="304"/>
    </row>
    <row r="256" spans="2:15" ht="12.75" hidden="1">
      <c r="B256" s="150" t="s">
        <v>201</v>
      </c>
      <c r="C256" s="150">
        <f>SUM(C251:C255)</f>
        <v>20</v>
      </c>
      <c r="D256" s="150">
        <f>SUM(D251:D255)</f>
        <v>30</v>
      </c>
      <c r="E256" s="150">
        <f>SUM(E251:E255)</f>
        <v>73</v>
      </c>
      <c r="F256" s="150">
        <f>SUM(F251:F255)</f>
        <v>126</v>
      </c>
      <c r="G256" s="150">
        <f>SUM(G251:G255)</f>
        <v>230</v>
      </c>
      <c r="J256" s="540" t="s">
        <v>85</v>
      </c>
      <c r="K256" s="304" t="s">
        <v>88</v>
      </c>
      <c r="N256" s="304" t="s">
        <v>141</v>
      </c>
      <c r="O256" s="323" t="s">
        <v>142</v>
      </c>
    </row>
    <row r="257" spans="2:15" ht="12.75" hidden="1">
      <c r="B257" s="304" t="s">
        <v>60</v>
      </c>
      <c r="C257" s="225">
        <f>AVERAGE(C251:C255)</f>
        <v>4</v>
      </c>
      <c r="D257" s="225">
        <f>AVERAGE(D251:D255)</f>
        <v>6</v>
      </c>
      <c r="E257" s="310"/>
      <c r="F257" s="310"/>
      <c r="G257" s="310"/>
      <c r="J257" s="540"/>
      <c r="K257" s="304"/>
      <c r="N257" s="304"/>
      <c r="O257" s="323"/>
    </row>
    <row r="258" spans="2:15" ht="15" hidden="1">
      <c r="B258" s="304" t="s">
        <v>623</v>
      </c>
      <c r="C258" s="311">
        <f>STDEVA(C251:C255)</f>
        <v>3.391164991562634</v>
      </c>
      <c r="D258" s="311">
        <f>STDEVA(D251:D255)</f>
        <v>3.5355339059327378</v>
      </c>
      <c r="E258" s="324"/>
      <c r="F258" s="324"/>
      <c r="G258" s="324"/>
      <c r="J258" s="540"/>
      <c r="K258" s="304"/>
      <c r="N258" s="304"/>
      <c r="O258" s="323"/>
    </row>
    <row r="259" spans="2:15" ht="15" hidden="1">
      <c r="B259" s="304" t="s">
        <v>623</v>
      </c>
      <c r="C259" s="324"/>
      <c r="D259" s="324"/>
      <c r="E259" s="324"/>
      <c r="F259" s="324"/>
      <c r="G259" s="324"/>
      <c r="J259" s="540"/>
      <c r="K259" s="304"/>
      <c r="N259" s="304"/>
      <c r="O259" s="323"/>
    </row>
    <row r="260" spans="2:15" ht="12.75" hidden="1">
      <c r="B260" s="88"/>
      <c r="C260" s="325"/>
      <c r="D260" s="325"/>
      <c r="E260" s="325"/>
      <c r="F260" s="325"/>
      <c r="G260" s="325"/>
      <c r="J260" s="540" t="s">
        <v>86</v>
      </c>
      <c r="K260" s="304" t="s">
        <v>87</v>
      </c>
      <c r="N260" s="326">
        <v>0.02</v>
      </c>
      <c r="O260" s="304">
        <v>198</v>
      </c>
    </row>
    <row r="261" spans="1:15" ht="13.5" hidden="1" thickBot="1">
      <c r="A261" s="327" t="s">
        <v>178</v>
      </c>
      <c r="B261" s="328">
        <f>COUNT(B251:B255)</f>
        <v>5</v>
      </c>
      <c r="D261" s="1">
        <f>COVAR(C251:C255,D251:D255)</f>
        <v>-9.4</v>
      </c>
      <c r="J261" s="540" t="s">
        <v>90</v>
      </c>
      <c r="K261" s="304" t="s">
        <v>89</v>
      </c>
      <c r="N261" s="326">
        <v>0.021</v>
      </c>
      <c r="O261" s="304">
        <v>176</v>
      </c>
    </row>
    <row r="262" spans="1:15" ht="12.75" hidden="1">
      <c r="A262" s="7" t="s">
        <v>228</v>
      </c>
      <c r="B262" s="102" t="s">
        <v>252</v>
      </c>
      <c r="C262" s="329">
        <f>C256/B261</f>
        <v>4</v>
      </c>
      <c r="D262" s="102" t="s">
        <v>253</v>
      </c>
      <c r="E262" s="118">
        <f>C262^2</f>
        <v>16</v>
      </c>
      <c r="F262" s="330"/>
      <c r="J262" s="331">
        <v>1</v>
      </c>
      <c r="K262" s="323" t="s">
        <v>94</v>
      </c>
      <c r="N262" s="326">
        <v>0.035</v>
      </c>
      <c r="O262" s="304">
        <v>165</v>
      </c>
    </row>
    <row r="263" spans="2:15" ht="12.75" hidden="1">
      <c r="B263" s="102" t="s">
        <v>251</v>
      </c>
      <c r="C263" s="329">
        <f>D256/B261</f>
        <v>6</v>
      </c>
      <c r="D263" s="102" t="s">
        <v>254</v>
      </c>
      <c r="E263" s="118">
        <f>C263^2</f>
        <v>36</v>
      </c>
      <c r="F263" s="123"/>
      <c r="N263" s="326">
        <v>0.029</v>
      </c>
      <c r="O263" s="304">
        <v>210</v>
      </c>
    </row>
    <row r="264" spans="2:15" ht="12.75" hidden="1">
      <c r="B264" s="102" t="s">
        <v>404</v>
      </c>
      <c r="C264" s="332">
        <f>(F256/B261)-E262</f>
        <v>9.2</v>
      </c>
      <c r="D264" s="1" t="s">
        <v>139</v>
      </c>
      <c r="E264" s="123"/>
      <c r="F264" s="1" t="s">
        <v>402</v>
      </c>
      <c r="G264" s="333">
        <f>SQRT(C264)</f>
        <v>3.03315017762062</v>
      </c>
      <c r="N264" s="326">
        <v>0.032</v>
      </c>
      <c r="O264" s="304">
        <v>254</v>
      </c>
    </row>
    <row r="265" spans="2:15" ht="12.75" hidden="1">
      <c r="B265" s="102" t="s">
        <v>405</v>
      </c>
      <c r="C265" s="334">
        <f>(G256/B261)-E263</f>
        <v>10</v>
      </c>
      <c r="D265" s="1" t="s">
        <v>139</v>
      </c>
      <c r="E265" s="123"/>
      <c r="F265" s="1" t="s">
        <v>403</v>
      </c>
      <c r="G265" s="333">
        <f>SQRT(C265)</f>
        <v>3.1622776601683795</v>
      </c>
      <c r="N265" s="326">
        <v>0.035</v>
      </c>
      <c r="O265" s="304">
        <v>238</v>
      </c>
    </row>
    <row r="266" spans="2:15" ht="12.75" hidden="1">
      <c r="B266" s="102"/>
      <c r="C266" s="334"/>
      <c r="E266" s="123"/>
      <c r="F266" s="102" t="s">
        <v>406</v>
      </c>
      <c r="G266" s="335">
        <f>G264*G265</f>
        <v>9.591663046625438</v>
      </c>
      <c r="N266" s="336" t="s">
        <v>376</v>
      </c>
      <c r="O266" s="337">
        <f>CORREL(N260:N265,O260:O265)</f>
        <v>0.3476034974591015</v>
      </c>
    </row>
    <row r="267" spans="1:15" ht="12.75" hidden="1">
      <c r="A267" s="7" t="s">
        <v>226</v>
      </c>
      <c r="B267" s="1" t="s">
        <v>243</v>
      </c>
      <c r="F267" s="123"/>
      <c r="G267" s="338"/>
      <c r="H267" s="123"/>
      <c r="I267" s="123"/>
      <c r="J267" s="123"/>
      <c r="K267" s="123"/>
      <c r="L267" s="123"/>
      <c r="M267" s="123"/>
      <c r="N267" s="270" t="s">
        <v>143</v>
      </c>
      <c r="O267" s="304"/>
    </row>
    <row r="268" spans="2:14" ht="12.75" hidden="1">
      <c r="B268" s="339" t="s">
        <v>494</v>
      </c>
      <c r="C268" s="340">
        <f>(E256/B261)-(C262*C263)</f>
        <v>-9.4</v>
      </c>
      <c r="D268" s="316" t="s">
        <v>431</v>
      </c>
      <c r="F268" s="316" t="s">
        <v>407</v>
      </c>
      <c r="G268" s="341">
        <f>C268</f>
        <v>-9.4</v>
      </c>
      <c r="H268" s="342" t="s">
        <v>408</v>
      </c>
      <c r="I268" s="123"/>
      <c r="J268" s="123"/>
      <c r="K268" s="123"/>
      <c r="L268" s="123"/>
      <c r="M268" s="123"/>
      <c r="N268" s="123"/>
    </row>
    <row r="269" spans="1:14" ht="12.75" hidden="1">
      <c r="A269" s="7" t="s">
        <v>257</v>
      </c>
      <c r="B269" s="1" t="s">
        <v>242</v>
      </c>
      <c r="C269" s="5"/>
      <c r="F269" s="123"/>
      <c r="G269" s="123"/>
      <c r="H269" s="123"/>
      <c r="I269" s="123"/>
      <c r="J269" s="123"/>
      <c r="K269" s="123"/>
      <c r="L269" s="123"/>
      <c r="M269" s="123"/>
      <c r="N269" s="123"/>
    </row>
    <row r="270" spans="2:14" ht="12.75" hidden="1">
      <c r="B270" s="343" t="s">
        <v>624</v>
      </c>
      <c r="C270" s="344">
        <f>C268/SQRT(C264*C265)</f>
        <v>-0.9800177460682515</v>
      </c>
      <c r="G270" s="123"/>
      <c r="H270" s="123"/>
      <c r="I270" s="123"/>
      <c r="J270" s="123"/>
      <c r="K270" s="123"/>
      <c r="L270" s="123"/>
      <c r="M270" s="123"/>
      <c r="N270" s="123"/>
    </row>
    <row r="271" spans="2:14" ht="13.5" hidden="1" thickBot="1">
      <c r="B271" s="345" t="s">
        <v>495</v>
      </c>
      <c r="C271" s="346"/>
      <c r="D271" s="114"/>
      <c r="E271" s="114"/>
      <c r="F271" s="114"/>
      <c r="G271" s="347"/>
      <c r="H271" s="348"/>
      <c r="I271" s="91" t="s">
        <v>384</v>
      </c>
      <c r="J271" s="123"/>
      <c r="K271" s="123"/>
      <c r="L271" s="123"/>
      <c r="M271" s="123"/>
      <c r="N271" s="123"/>
    </row>
    <row r="272" spans="2:14" ht="13.5" hidden="1" thickBot="1">
      <c r="B272" s="349"/>
      <c r="C272" s="350"/>
      <c r="D272" s="351" t="s">
        <v>376</v>
      </c>
      <c r="E272" s="352">
        <f>CORREL(C251:C255,D251:D255)</f>
        <v>-0.9800177460682515</v>
      </c>
      <c r="I272" s="123"/>
      <c r="J272" s="129"/>
      <c r="K272" s="123"/>
      <c r="L272" s="123"/>
      <c r="M272" s="123"/>
      <c r="N272" s="123"/>
    </row>
    <row r="273" spans="2:14" s="108" customFormat="1" ht="12.75" hidden="1">
      <c r="B273" s="353"/>
      <c r="C273" s="353"/>
      <c r="D273" s="354"/>
      <c r="E273" s="355"/>
      <c r="I273" s="356"/>
      <c r="J273" s="332"/>
      <c r="K273" s="1"/>
      <c r="L273" s="356"/>
      <c r="M273" s="356"/>
      <c r="N273" s="356"/>
    </row>
    <row r="274" spans="1:12" ht="12.75" hidden="1">
      <c r="A274" s="357" t="s">
        <v>496</v>
      </c>
      <c r="B274" s="120"/>
      <c r="C274" s="136"/>
      <c r="G274" s="342"/>
      <c r="H274" s="342"/>
      <c r="I274" s="342"/>
      <c r="J274" s="332"/>
      <c r="L274" s="342"/>
    </row>
    <row r="275" spans="1:10" ht="12.75" hidden="1">
      <c r="A275" s="65"/>
      <c r="B275" s="65"/>
      <c r="C275" s="67" t="s">
        <v>353</v>
      </c>
      <c r="D275" s="358"/>
      <c r="E275" s="359" t="s">
        <v>256</v>
      </c>
      <c r="F275" s="360">
        <v>0.878</v>
      </c>
      <c r="J275" s="332"/>
    </row>
    <row r="276" spans="2:10" ht="12.75" hidden="1">
      <c r="B276" s="1" t="s">
        <v>258</v>
      </c>
      <c r="J276" s="332"/>
    </row>
    <row r="277" spans="2:10" ht="12.75" hidden="1">
      <c r="B277" s="1" t="s">
        <v>354</v>
      </c>
      <c r="J277" s="332"/>
    </row>
    <row r="278" spans="2:11" ht="12.75" hidden="1">
      <c r="B278" s="1" t="s">
        <v>95</v>
      </c>
      <c r="J278" s="332"/>
      <c r="K278" s="108"/>
    </row>
    <row r="279" spans="2:11" ht="12.75" hidden="1">
      <c r="B279" s="120" t="s">
        <v>260</v>
      </c>
      <c r="C279" s="361">
        <f>SQRT(C270^2)-F275</f>
        <v>0.10201774606825154</v>
      </c>
      <c r="D279" s="93" t="s">
        <v>259</v>
      </c>
      <c r="K279" s="362"/>
    </row>
    <row r="280" spans="2:4" ht="12.75" hidden="1">
      <c r="B280" s="120"/>
      <c r="C280" s="127"/>
      <c r="D280" s="93"/>
    </row>
    <row r="281" spans="1:4" s="108" customFormat="1" ht="12.75" hidden="1">
      <c r="A281" s="363" t="s">
        <v>352</v>
      </c>
      <c r="B281" s="364"/>
      <c r="C281" s="127"/>
      <c r="D281" s="365"/>
    </row>
    <row r="282" spans="1:4" s="108" customFormat="1" ht="12.75" hidden="1">
      <c r="A282" s="366" t="s">
        <v>497</v>
      </c>
      <c r="B282" s="364"/>
      <c r="C282" s="127"/>
      <c r="D282" s="365"/>
    </row>
    <row r="283" spans="1:4" s="108" customFormat="1" ht="12.75" hidden="1">
      <c r="A283" s="366" t="s">
        <v>348</v>
      </c>
      <c r="C283" s="127"/>
      <c r="D283" s="365"/>
    </row>
    <row r="284" spans="1:11" s="108" customFormat="1" ht="12.75" hidden="1">
      <c r="A284" s="367"/>
      <c r="B284" s="320"/>
      <c r="C284" s="368" t="s">
        <v>498</v>
      </c>
      <c r="D284" s="369">
        <f>SQRT((B261-2)/(1-C270^2))</f>
        <v>8.7077078398495</v>
      </c>
      <c r="E284" s="367" t="s">
        <v>96</v>
      </c>
      <c r="F284" s="320"/>
      <c r="G284" s="320"/>
      <c r="H284" s="320"/>
      <c r="I284" s="320"/>
      <c r="J284" s="320"/>
      <c r="K284" s="321">
        <v>2.3534</v>
      </c>
    </row>
    <row r="285" spans="2:11" s="108" customFormat="1" ht="12.75" hidden="1">
      <c r="B285" s="366" t="s">
        <v>349</v>
      </c>
      <c r="C285" s="370"/>
      <c r="D285" s="371"/>
      <c r="E285" s="372">
        <f>D284-K284</f>
        <v>6.354307839849499</v>
      </c>
      <c r="F285" s="373" t="s">
        <v>259</v>
      </c>
      <c r="G285" s="366"/>
      <c r="H285" s="366"/>
      <c r="I285" s="366"/>
      <c r="J285" s="366"/>
      <c r="K285" s="366"/>
    </row>
    <row r="286" spans="1:11" s="108" customFormat="1" ht="12.75" hidden="1">
      <c r="A286" s="290"/>
      <c r="B286" s="291"/>
      <c r="C286" s="374"/>
      <c r="D286" s="291"/>
      <c r="E286" s="375" t="s">
        <v>350</v>
      </c>
      <c r="F286" s="376" t="s">
        <v>625</v>
      </c>
      <c r="G286" s="320"/>
      <c r="H286" s="321"/>
      <c r="I286" s="320"/>
      <c r="J286" s="320"/>
      <c r="K286" s="321"/>
    </row>
    <row r="287" spans="1:9" s="108" customFormat="1" ht="13.5" hidden="1" thickBot="1">
      <c r="A287" s="377"/>
      <c r="B287" s="378"/>
      <c r="C287" s="378"/>
      <c r="D287" s="379" t="s">
        <v>378</v>
      </c>
      <c r="E287" s="380" t="s">
        <v>499</v>
      </c>
      <c r="F287" s="381">
        <f>TDIST(D284,B261-2,2)</f>
        <v>0.0031879732764970195</v>
      </c>
      <c r="G287" s="108" t="s">
        <v>351</v>
      </c>
      <c r="I287" s="314"/>
    </row>
    <row r="288" spans="3:6" s="108" customFormat="1" ht="12.75" hidden="1">
      <c r="C288" s="127"/>
      <c r="D288" s="365"/>
      <c r="E288" s="314"/>
      <c r="F288" s="93"/>
    </row>
    <row r="289" spans="1:6" s="108" customFormat="1" ht="12.75" hidden="1">
      <c r="A289" s="382" t="s">
        <v>500</v>
      </c>
      <c r="C289" s="127"/>
      <c r="D289" s="365"/>
      <c r="E289" s="314"/>
      <c r="F289" s="93"/>
    </row>
    <row r="290" spans="3:11" s="108" customFormat="1" ht="12.75" hidden="1">
      <c r="C290" s="127"/>
      <c r="D290" s="365"/>
      <c r="E290" s="314"/>
      <c r="F290" s="93"/>
      <c r="H290" s="383" t="s">
        <v>179</v>
      </c>
      <c r="I290" s="384" t="s">
        <v>355</v>
      </c>
      <c r="J290" s="321"/>
      <c r="K290" s="385">
        <f>0.5*LN((1+C270)/(1-C270))</f>
        <v>-2.298008255027212</v>
      </c>
    </row>
    <row r="291" spans="3:7" s="108" customFormat="1" ht="12.75" hidden="1">
      <c r="C291" s="386"/>
      <c r="D291" s="383" t="s">
        <v>369</v>
      </c>
      <c r="E291" s="387" t="s">
        <v>356</v>
      </c>
      <c r="F291" s="360"/>
      <c r="G291" s="388">
        <f>1/SQRT(COUNT(B251:B255)-3)</f>
        <v>0.7071067811865475</v>
      </c>
    </row>
    <row r="292" spans="2:12" s="108" customFormat="1" ht="12.75" hidden="1">
      <c r="B292" s="108" t="s">
        <v>357</v>
      </c>
      <c r="C292" s="127"/>
      <c r="D292" s="365"/>
      <c r="E292" s="389" t="s">
        <v>377</v>
      </c>
      <c r="F292" s="390"/>
      <c r="G292" s="145"/>
      <c r="K292" s="314"/>
      <c r="L292" s="314"/>
    </row>
    <row r="293" spans="2:8" s="108" customFormat="1" ht="12.75" hidden="1">
      <c r="B293" s="1" t="s">
        <v>358</v>
      </c>
      <c r="C293" s="227" t="s">
        <v>366</v>
      </c>
      <c r="D293" s="227" t="s">
        <v>359</v>
      </c>
      <c r="E293" s="391" t="s">
        <v>360</v>
      </c>
      <c r="F293" s="392" t="s">
        <v>365</v>
      </c>
      <c r="G293" s="1"/>
      <c r="H293" s="1"/>
    </row>
    <row r="294" spans="2:19" s="108" customFormat="1" ht="12.75" hidden="1">
      <c r="B294" s="304" t="s">
        <v>361</v>
      </c>
      <c r="C294" s="393">
        <f>K290</f>
        <v>-2.298008255027212</v>
      </c>
      <c r="D294" s="540" t="s">
        <v>362</v>
      </c>
      <c r="E294" s="394">
        <f>-NORMSINV(2.5/100)</f>
        <v>1.9599639845400538</v>
      </c>
      <c r="F294" s="395">
        <f>G291</f>
        <v>0.7071067811865475</v>
      </c>
      <c r="G294" s="396">
        <f>C294+(E294*F294)</f>
        <v>-0.9121044306775346</v>
      </c>
      <c r="H294" s="5" t="s">
        <v>368</v>
      </c>
      <c r="N294" s="397" t="s">
        <v>372</v>
      </c>
      <c r="O294" s="398"/>
      <c r="P294" s="398"/>
      <c r="Q294" s="399" t="s">
        <v>370</v>
      </c>
      <c r="R294" s="398">
        <f>EXP(1)</f>
        <v>2.718281828459045</v>
      </c>
      <c r="S294" s="400"/>
    </row>
    <row r="295" spans="2:19" s="108" customFormat="1" ht="12.75" hidden="1">
      <c r="B295" s="304" t="s">
        <v>363</v>
      </c>
      <c r="C295" s="401">
        <f>K290</f>
        <v>-2.298008255027212</v>
      </c>
      <c r="D295" s="540" t="s">
        <v>364</v>
      </c>
      <c r="E295" s="394">
        <f>-NORMSINV(2.5/100)</f>
        <v>1.9599639845400538</v>
      </c>
      <c r="F295" s="395">
        <f>G291</f>
        <v>0.7071067811865475</v>
      </c>
      <c r="G295" s="396">
        <f>C295-(E295*F295)</f>
        <v>-3.6839120793768894</v>
      </c>
      <c r="H295" s="5" t="s">
        <v>367</v>
      </c>
      <c r="N295" s="402" t="s">
        <v>501</v>
      </c>
      <c r="O295" s="403">
        <f aca="true" t="shared" si="4" ref="O295:O300">S295</f>
        <v>-0.9899080430105096</v>
      </c>
      <c r="P295" s="404"/>
      <c r="Q295" s="403">
        <f>K290*2</f>
        <v>-4.596016510054424</v>
      </c>
      <c r="R295" s="403">
        <f>R294^Q295</f>
        <v>0.010091956989490367</v>
      </c>
      <c r="S295" s="405">
        <f>R295-1</f>
        <v>-0.9899080430105096</v>
      </c>
    </row>
    <row r="296" spans="1:19" s="32" customFormat="1" ht="13.5" hidden="1" thickBot="1">
      <c r="A296" s="32" t="s">
        <v>626</v>
      </c>
      <c r="H296" s="384" t="s">
        <v>502</v>
      </c>
      <c r="I296" s="406"/>
      <c r="J296" s="406"/>
      <c r="K296" s="407">
        <f>O295/O296</f>
        <v>-0.9800177460682515</v>
      </c>
      <c r="N296" s="408" t="s">
        <v>503</v>
      </c>
      <c r="O296" s="409">
        <f t="shared" si="4"/>
        <v>1.0100919569894904</v>
      </c>
      <c r="P296" s="410"/>
      <c r="Q296" s="409">
        <f>Q295</f>
        <v>-4.596016510054424</v>
      </c>
      <c r="R296" s="409">
        <f>R295</f>
        <v>0.010091956989490367</v>
      </c>
      <c r="S296" s="411">
        <f>R295+1</f>
        <v>1.0100919569894904</v>
      </c>
    </row>
    <row r="297" spans="2:19" s="32" customFormat="1" ht="13.5" hidden="1" thickBot="1">
      <c r="B297" s="412" t="s">
        <v>373</v>
      </c>
      <c r="D297" s="413"/>
      <c r="J297" s="386" t="s">
        <v>154</v>
      </c>
      <c r="K297" s="407">
        <f>O297/O298</f>
        <v>-0.7221407820293886</v>
      </c>
      <c r="N297" s="414" t="s">
        <v>504</v>
      </c>
      <c r="O297" s="415">
        <f t="shared" si="4"/>
        <v>-0.8386547598953094</v>
      </c>
      <c r="P297" s="371"/>
      <c r="Q297" s="415">
        <f>G294*2</f>
        <v>-1.824208861355069</v>
      </c>
      <c r="R297" s="415">
        <f>R294^Q297</f>
        <v>0.1613452401046907</v>
      </c>
      <c r="S297" s="416">
        <f>R297-1</f>
        <v>-0.8386547598953094</v>
      </c>
    </row>
    <row r="298" spans="5:19" s="32" customFormat="1" ht="13.5" hidden="1" thickBot="1">
      <c r="E298" s="413"/>
      <c r="J298" s="386" t="s">
        <v>155</v>
      </c>
      <c r="K298" s="407">
        <f>O299/O300</f>
        <v>-0.998738316096892</v>
      </c>
      <c r="N298" s="414" t="s">
        <v>505</v>
      </c>
      <c r="O298" s="417">
        <f t="shared" si="4"/>
        <v>1.1613452401046906</v>
      </c>
      <c r="P298" s="418"/>
      <c r="Q298" s="417">
        <f>Q297</f>
        <v>-1.824208861355069</v>
      </c>
      <c r="R298" s="417">
        <f>R297</f>
        <v>0.1613452401046907</v>
      </c>
      <c r="S298" s="419">
        <f>R297+1</f>
        <v>1.1613452401046906</v>
      </c>
    </row>
    <row r="299" spans="2:19" s="32" customFormat="1" ht="13.5" hidden="1" thickBot="1">
      <c r="B299" s="412"/>
      <c r="C299" s="249" t="s">
        <v>627</v>
      </c>
      <c r="D299" s="420">
        <f>K296</f>
        <v>-0.9800177460682515</v>
      </c>
      <c r="E299" s="421" t="s">
        <v>374</v>
      </c>
      <c r="F299" s="422">
        <f>K297</f>
        <v>-0.7221407820293886</v>
      </c>
      <c r="G299" s="423" t="s">
        <v>375</v>
      </c>
      <c r="H299" s="424">
        <f>K298</f>
        <v>-0.998738316096892</v>
      </c>
      <c r="I299" s="425" t="s">
        <v>371</v>
      </c>
      <c r="N299" s="426" t="s">
        <v>506</v>
      </c>
      <c r="O299" s="403">
        <f t="shared" si="4"/>
        <v>-0.9993687598356689</v>
      </c>
      <c r="P299" s="404"/>
      <c r="Q299" s="403">
        <f>G295*2</f>
        <v>-7.367824158753779</v>
      </c>
      <c r="R299" s="403">
        <f>R294^Q299</f>
        <v>0.0006312401643310862</v>
      </c>
      <c r="S299" s="405">
        <f>R299-1</f>
        <v>-0.9993687598356689</v>
      </c>
    </row>
    <row r="300" spans="5:19" s="32" customFormat="1" ht="12.75" hidden="1">
      <c r="E300" s="413"/>
      <c r="N300" s="426" t="s">
        <v>507</v>
      </c>
      <c r="O300" s="409">
        <f t="shared" si="4"/>
        <v>1.0006312401643311</v>
      </c>
      <c r="P300" s="410"/>
      <c r="Q300" s="409">
        <f>Q299</f>
        <v>-7.367824158753779</v>
      </c>
      <c r="R300" s="409">
        <f>R299</f>
        <v>0.0006312401643310862</v>
      </c>
      <c r="S300" s="411">
        <f>R299+1</f>
        <v>1.0006312401643311</v>
      </c>
    </row>
    <row r="301" spans="1:19" s="32" customFormat="1" ht="12.75" hidden="1">
      <c r="A301" s="427" t="s">
        <v>101</v>
      </c>
      <c r="B301" s="412"/>
      <c r="D301" s="428"/>
      <c r="F301" s="429"/>
      <c r="G301" s="310"/>
      <c r="H301" s="430"/>
      <c r="N301" s="431"/>
      <c r="O301" s="403"/>
      <c r="P301" s="404"/>
      <c r="Q301" s="403"/>
      <c r="R301" s="403"/>
      <c r="S301" s="403"/>
    </row>
    <row r="302" spans="1:19" s="32" customFormat="1" ht="12.75" hidden="1">
      <c r="A302" s="365" t="s">
        <v>102</v>
      </c>
      <c r="B302" s="412"/>
      <c r="D302" s="428"/>
      <c r="F302" s="429"/>
      <c r="G302" s="310"/>
      <c r="H302" s="430"/>
      <c r="N302" s="431"/>
      <c r="O302" s="403"/>
      <c r="P302" s="404"/>
      <c r="Q302" s="403"/>
      <c r="R302" s="403"/>
      <c r="S302" s="403"/>
    </row>
    <row r="303" spans="1:19" s="32" customFormat="1" ht="12.75" hidden="1">
      <c r="A303" s="365" t="s">
        <v>103</v>
      </c>
      <c r="B303" s="412"/>
      <c r="D303" s="428"/>
      <c r="F303" s="429"/>
      <c r="G303" s="310"/>
      <c r="H303" s="430"/>
      <c r="N303" s="431"/>
      <c r="O303" s="403"/>
      <c r="P303" s="404"/>
      <c r="Q303" s="403"/>
      <c r="R303" s="403"/>
      <c r="S303" s="403"/>
    </row>
    <row r="304" spans="1:19" s="32" customFormat="1" ht="12.75" hidden="1">
      <c r="A304" s="365" t="s">
        <v>104</v>
      </c>
      <c r="B304" s="412"/>
      <c r="D304" s="428"/>
      <c r="F304" s="429"/>
      <c r="G304" s="310"/>
      <c r="H304" s="430"/>
      <c r="N304" s="431"/>
      <c r="O304" s="403"/>
      <c r="P304" s="404"/>
      <c r="Q304" s="403"/>
      <c r="R304" s="403"/>
      <c r="S304" s="403"/>
    </row>
    <row r="305" spans="1:19" s="32" customFormat="1" ht="12.75" hidden="1">
      <c r="A305" s="365" t="s">
        <v>105</v>
      </c>
      <c r="B305" s="412"/>
      <c r="D305" s="428"/>
      <c r="F305" s="429"/>
      <c r="G305" s="310"/>
      <c r="H305" s="430"/>
      <c r="N305" s="431"/>
      <c r="O305" s="403"/>
      <c r="P305" s="404"/>
      <c r="Q305" s="403"/>
      <c r="R305" s="403"/>
      <c r="S305" s="403"/>
    </row>
    <row r="306" spans="1:19" s="32" customFormat="1" ht="12.75" hidden="1">
      <c r="A306" s="365" t="s">
        <v>106</v>
      </c>
      <c r="B306" s="412"/>
      <c r="D306" s="428"/>
      <c r="F306" s="429"/>
      <c r="G306" s="310"/>
      <c r="H306" s="430"/>
      <c r="J306" s="32">
        <v>76.94</v>
      </c>
      <c r="N306" s="431"/>
      <c r="O306" s="403"/>
      <c r="P306" s="404"/>
      <c r="Q306" s="403"/>
      <c r="R306" s="403"/>
      <c r="S306" s="403"/>
    </row>
    <row r="307" spans="1:19" s="32" customFormat="1" ht="12.75" hidden="1">
      <c r="A307" s="365" t="s">
        <v>107</v>
      </c>
      <c r="B307" s="412"/>
      <c r="D307" s="428"/>
      <c r="F307" s="429"/>
      <c r="G307" s="310"/>
      <c r="H307" s="430"/>
      <c r="J307" s="32">
        <f>3*1827</f>
        <v>5481</v>
      </c>
      <c r="L307" s="32">
        <f>J306/J307</f>
        <v>0.014037584382411969</v>
      </c>
      <c r="M307" s="32">
        <f>SQRT(L307)</f>
        <v>0.11848031221435892</v>
      </c>
      <c r="N307" s="431"/>
      <c r="O307" s="403"/>
      <c r="P307" s="404"/>
      <c r="Q307" s="403"/>
      <c r="R307" s="403"/>
      <c r="S307" s="403"/>
    </row>
    <row r="308" spans="1:19" s="32" customFormat="1" ht="12.75" hidden="1">
      <c r="A308" s="365"/>
      <c r="B308" s="412"/>
      <c r="D308" s="428"/>
      <c r="F308" s="429"/>
      <c r="G308" s="310"/>
      <c r="H308" s="430"/>
      <c r="I308" s="32">
        <f>1/24</f>
        <v>0.041666666666666664</v>
      </c>
      <c r="J308" s="32">
        <f>4.2%*24</f>
        <v>1.008</v>
      </c>
      <c r="N308" s="431"/>
      <c r="O308" s="403"/>
      <c r="P308" s="404"/>
      <c r="Q308" s="403"/>
      <c r="R308" s="403"/>
      <c r="S308" s="403"/>
    </row>
    <row r="309" spans="1:19" s="32" customFormat="1" ht="15.75">
      <c r="A309" s="466" t="s">
        <v>628</v>
      </c>
      <c r="B309" s="467"/>
      <c r="C309" s="468"/>
      <c r="D309" s="469"/>
      <c r="E309" s="468"/>
      <c r="F309" s="470"/>
      <c r="G309" s="433"/>
      <c r="H309" s="430"/>
      <c r="N309" s="431"/>
      <c r="O309" s="403"/>
      <c r="P309" s="404"/>
      <c r="Q309" s="403"/>
      <c r="R309" s="403"/>
      <c r="S309" s="403"/>
    </row>
    <row r="310" spans="1:19" s="32" customFormat="1" ht="12.75" hidden="1">
      <c r="A310" s="32" t="s">
        <v>508</v>
      </c>
      <c r="B310" s="412"/>
      <c r="D310" s="428"/>
      <c r="F310" s="429"/>
      <c r="G310" s="310"/>
      <c r="H310" s="430"/>
      <c r="N310" s="431"/>
      <c r="O310" s="403"/>
      <c r="P310" s="404"/>
      <c r="Q310" s="403"/>
      <c r="R310" s="403"/>
      <c r="S310" s="403"/>
    </row>
    <row r="311" spans="1:19" s="32" customFormat="1" ht="12.75">
      <c r="A311" s="32" t="s">
        <v>150</v>
      </c>
      <c r="B311" s="412"/>
      <c r="D311" s="428"/>
      <c r="F311" s="429"/>
      <c r="G311" s="310"/>
      <c r="H311" s="430"/>
      <c r="N311" s="431"/>
      <c r="O311" s="403"/>
      <c r="P311" s="404"/>
      <c r="Q311" s="403"/>
      <c r="R311" s="403"/>
      <c r="S311" s="403"/>
    </row>
    <row r="312" spans="1:19" s="32" customFormat="1" ht="12.75">
      <c r="A312" s="32" t="s">
        <v>108</v>
      </c>
      <c r="B312" s="412"/>
      <c r="D312" s="428"/>
      <c r="F312" s="429"/>
      <c r="G312" s="310"/>
      <c r="H312" s="430"/>
      <c r="N312" s="431"/>
      <c r="O312" s="403"/>
      <c r="P312" s="404"/>
      <c r="Q312" s="403"/>
      <c r="R312" s="403"/>
      <c r="S312" s="403"/>
    </row>
    <row r="313" spans="1:19" s="32" customFormat="1" ht="12.75">
      <c r="A313" s="32" t="s">
        <v>461</v>
      </c>
      <c r="B313" s="412"/>
      <c r="D313" s="428"/>
      <c r="F313" s="429"/>
      <c r="G313" s="310"/>
      <c r="H313" s="430"/>
      <c r="N313" s="431"/>
      <c r="O313" s="403"/>
      <c r="P313" s="404"/>
      <c r="Q313" s="403"/>
      <c r="R313" s="403"/>
      <c r="S313" s="403"/>
    </row>
    <row r="314" spans="1:19" s="32" customFormat="1" ht="12.75">
      <c r="A314" s="32" t="s">
        <v>454</v>
      </c>
      <c r="B314" s="412"/>
      <c r="D314" s="428"/>
      <c r="F314" s="429"/>
      <c r="G314" s="310"/>
      <c r="H314" s="430"/>
      <c r="N314" s="431"/>
      <c r="O314" s="403"/>
      <c r="P314" s="404"/>
      <c r="Q314" s="403"/>
      <c r="R314" s="403"/>
      <c r="S314" s="403"/>
    </row>
    <row r="315" spans="1:19" s="32" customFormat="1" ht="12.75">
      <c r="A315" s="32" t="s">
        <v>417</v>
      </c>
      <c r="B315" s="412"/>
      <c r="D315" s="428"/>
      <c r="F315" s="429"/>
      <c r="G315" s="310"/>
      <c r="H315" s="430"/>
      <c r="N315" s="431"/>
      <c r="O315" s="403"/>
      <c r="P315" s="404"/>
      <c r="Q315" s="403"/>
      <c r="R315" s="403"/>
      <c r="S315" s="403"/>
    </row>
    <row r="316" spans="1:19" s="32" customFormat="1" ht="12.75">
      <c r="A316" s="32" t="s">
        <v>418</v>
      </c>
      <c r="B316" s="412"/>
      <c r="D316" s="428"/>
      <c r="F316" s="429"/>
      <c r="G316" s="310"/>
      <c r="H316" s="430"/>
      <c r="N316" s="431"/>
      <c r="O316" s="403"/>
      <c r="P316" s="404"/>
      <c r="Q316" s="403"/>
      <c r="R316" s="403"/>
      <c r="S316" s="403"/>
    </row>
    <row r="317" spans="1:19" s="32" customFormat="1" ht="12.75">
      <c r="A317" s="32" t="s">
        <v>135</v>
      </c>
      <c r="B317" s="412"/>
      <c r="D317" s="428"/>
      <c r="F317" s="429"/>
      <c r="G317" s="310"/>
      <c r="H317" s="430"/>
      <c r="N317" s="431"/>
      <c r="O317" s="403"/>
      <c r="P317" s="404"/>
      <c r="Q317" s="403"/>
      <c r="R317" s="403"/>
      <c r="S317" s="403"/>
    </row>
    <row r="318" spans="1:19" s="32" customFormat="1" ht="12.75">
      <c r="A318" s="32" t="s">
        <v>419</v>
      </c>
      <c r="B318" s="412"/>
      <c r="D318" s="428"/>
      <c r="F318" s="429"/>
      <c r="G318" s="434"/>
      <c r="H318" s="430"/>
      <c r="N318" s="431"/>
      <c r="O318" s="403"/>
      <c r="P318" s="404"/>
      <c r="Q318" s="403"/>
      <c r="R318" s="403"/>
      <c r="S318" s="403"/>
    </row>
    <row r="319" spans="2:19" s="32" customFormat="1" ht="21" customHeight="1" thickBot="1">
      <c r="B319" s="412"/>
      <c r="D319" s="428"/>
      <c r="F319" s="452" t="s">
        <v>439</v>
      </c>
      <c r="G319" s="434"/>
      <c r="H319" s="430"/>
      <c r="N319" s="431"/>
      <c r="O319" s="403"/>
      <c r="P319" s="404"/>
      <c r="Q319" s="403"/>
      <c r="R319" s="403"/>
      <c r="S319" s="403"/>
    </row>
    <row r="320" spans="1:19" s="32" customFormat="1" ht="33" customHeight="1" thickBot="1">
      <c r="A320" s="580"/>
      <c r="B320" s="581" t="s">
        <v>125</v>
      </c>
      <c r="C320" s="581" t="s">
        <v>126</v>
      </c>
      <c r="D320" s="428"/>
      <c r="F320" s="596" t="s">
        <v>631</v>
      </c>
      <c r="G320" s="434"/>
      <c r="H320" s="542"/>
      <c r="I320" s="598" t="s">
        <v>422</v>
      </c>
      <c r="N320" s="431"/>
      <c r="O320" s="403"/>
      <c r="P320" s="404"/>
      <c r="Q320" s="403"/>
      <c r="R320" s="403"/>
      <c r="S320" s="403"/>
    </row>
    <row r="321" spans="1:19" s="32" customFormat="1" ht="28.5" customHeight="1" thickBot="1">
      <c r="A321" s="582" t="s">
        <v>109</v>
      </c>
      <c r="B321" s="583" t="s">
        <v>127</v>
      </c>
      <c r="C321" s="583" t="s">
        <v>128</v>
      </c>
      <c r="D321" s="587" t="s">
        <v>130</v>
      </c>
      <c r="E321" s="590" t="s">
        <v>129</v>
      </c>
      <c r="F321" s="597"/>
      <c r="G321" s="434"/>
      <c r="I321" s="599" t="s">
        <v>462</v>
      </c>
      <c r="J321" s="584" t="s">
        <v>421</v>
      </c>
      <c r="N321" s="431"/>
      <c r="O321" s="403"/>
      <c r="P321" s="404"/>
      <c r="Q321" s="403"/>
      <c r="R321" s="403"/>
      <c r="S321" s="403"/>
    </row>
    <row r="322" spans="1:19" s="32" customFormat="1" ht="12.75">
      <c r="A322" s="310" t="s">
        <v>110</v>
      </c>
      <c r="B322" s="585">
        <v>67</v>
      </c>
      <c r="C322" s="585">
        <v>18</v>
      </c>
      <c r="D322" s="588">
        <v>3</v>
      </c>
      <c r="E322" s="591">
        <v>1.5</v>
      </c>
      <c r="F322" s="310">
        <f>(D322-$D$338)*(E322-$E$338)</f>
        <v>32.5</v>
      </c>
      <c r="G322" s="434"/>
      <c r="I322" s="310">
        <f aca="true" t="shared" si="5" ref="I322:I336">D322-E322</f>
        <v>1.5</v>
      </c>
      <c r="J322" s="32">
        <f>I322^2</f>
        <v>2.25</v>
      </c>
      <c r="L322" s="412" t="s">
        <v>423</v>
      </c>
      <c r="M322" s="32">
        <f>6*J337</f>
        <v>1716</v>
      </c>
      <c r="N322" s="431"/>
      <c r="O322" s="403"/>
      <c r="P322" s="404"/>
      <c r="Q322" s="403"/>
      <c r="R322" s="403"/>
      <c r="S322" s="403"/>
    </row>
    <row r="323" spans="1:19" s="32" customFormat="1" ht="12.75">
      <c r="A323" s="310" t="s">
        <v>111</v>
      </c>
      <c r="B323" s="585">
        <v>83</v>
      </c>
      <c r="C323" s="585">
        <v>18</v>
      </c>
      <c r="D323" s="588">
        <v>9</v>
      </c>
      <c r="E323" s="591">
        <v>1.5</v>
      </c>
      <c r="F323" s="310">
        <f aca="true" t="shared" si="6" ref="F323:F336">(D323-$D$338)*(E323-$E$338)</f>
        <v>-6.5</v>
      </c>
      <c r="G323" s="434"/>
      <c r="I323" s="310">
        <f t="shared" si="5"/>
        <v>7.5</v>
      </c>
      <c r="J323" s="32">
        <f aca="true" t="shared" si="7" ref="J323:J336">I323^2</f>
        <v>56.25</v>
      </c>
      <c r="L323" s="412" t="s">
        <v>424</v>
      </c>
      <c r="M323" s="32">
        <f>J338*(J338^2-1)</f>
        <v>3360</v>
      </c>
      <c r="N323" s="431"/>
      <c r="O323" s="403"/>
      <c r="P323" s="404"/>
      <c r="Q323" s="403"/>
      <c r="R323" s="403"/>
      <c r="S323" s="403"/>
    </row>
    <row r="324" spans="1:19" s="32" customFormat="1" ht="12.75">
      <c r="A324" s="310" t="s">
        <v>112</v>
      </c>
      <c r="B324" s="585">
        <v>78</v>
      </c>
      <c r="C324" s="585">
        <v>29</v>
      </c>
      <c r="D324" s="588">
        <v>6</v>
      </c>
      <c r="E324" s="591">
        <v>3</v>
      </c>
      <c r="F324" s="310">
        <f t="shared" si="6"/>
        <v>10</v>
      </c>
      <c r="G324" s="434"/>
      <c r="I324" s="310">
        <f t="shared" si="5"/>
        <v>3</v>
      </c>
      <c r="J324" s="32">
        <f t="shared" si="7"/>
        <v>9</v>
      </c>
      <c r="L324" s="600" t="s">
        <v>422</v>
      </c>
      <c r="M324" s="601">
        <f>1-(M322/M323)</f>
        <v>0.4892857142857143</v>
      </c>
      <c r="N324" s="431"/>
      <c r="O324" s="403"/>
      <c r="P324" s="404"/>
      <c r="Q324" s="403"/>
      <c r="R324" s="403"/>
      <c r="S324" s="403"/>
    </row>
    <row r="325" spans="1:19" s="32" customFormat="1" ht="12.75">
      <c r="A325" s="310" t="s">
        <v>113</v>
      </c>
      <c r="B325" s="585">
        <v>76</v>
      </c>
      <c r="C325" s="585">
        <v>30</v>
      </c>
      <c r="D325" s="588">
        <v>5</v>
      </c>
      <c r="E325" s="591">
        <v>4</v>
      </c>
      <c r="F325" s="310">
        <f t="shared" si="6"/>
        <v>12</v>
      </c>
      <c r="G325" s="434"/>
      <c r="I325" s="310">
        <f t="shared" si="5"/>
        <v>1</v>
      </c>
      <c r="J325" s="32">
        <f t="shared" si="7"/>
        <v>1</v>
      </c>
      <c r="N325" s="431"/>
      <c r="O325" s="403"/>
      <c r="P325" s="404"/>
      <c r="Q325" s="403"/>
      <c r="R325" s="403"/>
      <c r="S325" s="403"/>
    </row>
    <row r="326" spans="1:19" s="32" customFormat="1" ht="12.75">
      <c r="A326" s="310" t="s">
        <v>114</v>
      </c>
      <c r="B326" s="585">
        <v>80</v>
      </c>
      <c r="C326" s="585">
        <v>34</v>
      </c>
      <c r="D326" s="588">
        <v>8</v>
      </c>
      <c r="E326" s="591">
        <v>5</v>
      </c>
      <c r="F326" s="310">
        <f t="shared" si="6"/>
        <v>0</v>
      </c>
      <c r="G326" s="434"/>
      <c r="I326" s="310">
        <f t="shared" si="5"/>
        <v>3</v>
      </c>
      <c r="J326" s="32">
        <f t="shared" si="7"/>
        <v>9</v>
      </c>
      <c r="N326" s="431"/>
      <c r="O326" s="403"/>
      <c r="P326" s="404"/>
      <c r="Q326" s="403"/>
      <c r="R326" s="403"/>
      <c r="S326" s="403"/>
    </row>
    <row r="327" spans="1:19" s="32" customFormat="1" ht="12.75">
      <c r="A327" s="310" t="s">
        <v>115</v>
      </c>
      <c r="B327" s="585">
        <v>79</v>
      </c>
      <c r="C327" s="585">
        <v>36</v>
      </c>
      <c r="D327" s="588">
        <v>7</v>
      </c>
      <c r="E327" s="591">
        <v>6</v>
      </c>
      <c r="F327" s="310">
        <f t="shared" si="6"/>
        <v>2</v>
      </c>
      <c r="G327" s="434"/>
      <c r="I327" s="310">
        <f t="shared" si="5"/>
        <v>1</v>
      </c>
      <c r="J327" s="32">
        <f t="shared" si="7"/>
        <v>1</v>
      </c>
      <c r="N327" s="431"/>
      <c r="O327" s="403"/>
      <c r="P327" s="404"/>
      <c r="Q327" s="403"/>
      <c r="R327" s="403"/>
      <c r="S327" s="403"/>
    </row>
    <row r="328" spans="1:19" s="32" customFormat="1" ht="12.75">
      <c r="A328" s="310" t="s">
        <v>116</v>
      </c>
      <c r="B328" s="586">
        <v>65</v>
      </c>
      <c r="C328" s="585">
        <v>38</v>
      </c>
      <c r="D328" s="589">
        <v>1.5</v>
      </c>
      <c r="E328" s="591">
        <v>7</v>
      </c>
      <c r="F328" s="310">
        <f t="shared" si="6"/>
        <v>6.5</v>
      </c>
      <c r="G328" s="434"/>
      <c r="I328" s="310">
        <f t="shared" si="5"/>
        <v>-5.5</v>
      </c>
      <c r="J328" s="32">
        <f t="shared" si="7"/>
        <v>30.25</v>
      </c>
      <c r="N328" s="431"/>
      <c r="O328" s="403"/>
      <c r="P328" s="404"/>
      <c r="Q328" s="403"/>
      <c r="R328" s="403"/>
      <c r="S328" s="403"/>
    </row>
    <row r="329" spans="1:19" s="32" customFormat="1" ht="12.75">
      <c r="A329" s="310" t="s">
        <v>117</v>
      </c>
      <c r="B329" s="585">
        <v>109</v>
      </c>
      <c r="C329" s="585">
        <v>39</v>
      </c>
      <c r="D329" s="588">
        <v>15</v>
      </c>
      <c r="E329" s="591">
        <v>8</v>
      </c>
      <c r="F329" s="310">
        <f t="shared" si="6"/>
        <v>0</v>
      </c>
      <c r="G329" s="434"/>
      <c r="I329" s="310">
        <f t="shared" si="5"/>
        <v>7</v>
      </c>
      <c r="J329" s="32">
        <f t="shared" si="7"/>
        <v>49</v>
      </c>
      <c r="N329" s="431"/>
      <c r="O329" s="403"/>
      <c r="P329" s="404"/>
      <c r="Q329" s="403"/>
      <c r="R329" s="403"/>
      <c r="S329" s="403"/>
    </row>
    <row r="330" spans="1:19" s="32" customFormat="1" ht="12.75">
      <c r="A330" s="310" t="s">
        <v>118</v>
      </c>
      <c r="B330" s="585">
        <v>88</v>
      </c>
      <c r="C330" s="585">
        <v>40</v>
      </c>
      <c r="D330" s="588">
        <v>10</v>
      </c>
      <c r="E330" s="591">
        <v>9</v>
      </c>
      <c r="F330" s="310">
        <f t="shared" si="6"/>
        <v>2</v>
      </c>
      <c r="G330" s="434"/>
      <c r="I330" s="310">
        <f t="shared" si="5"/>
        <v>1</v>
      </c>
      <c r="J330" s="32">
        <f t="shared" si="7"/>
        <v>1</v>
      </c>
      <c r="N330" s="431"/>
      <c r="O330" s="403"/>
      <c r="P330" s="404"/>
      <c r="Q330" s="403"/>
      <c r="R330" s="403"/>
      <c r="S330" s="403"/>
    </row>
    <row r="331" spans="1:19" s="32" customFormat="1" ht="12.75">
      <c r="A331" s="310" t="s">
        <v>119</v>
      </c>
      <c r="B331" s="586">
        <v>65</v>
      </c>
      <c r="C331" s="585">
        <v>43</v>
      </c>
      <c r="D331" s="589">
        <v>1.5</v>
      </c>
      <c r="E331" s="591">
        <v>10</v>
      </c>
      <c r="F331" s="310">
        <f t="shared" si="6"/>
        <v>-13</v>
      </c>
      <c r="G331" s="434"/>
      <c r="I331" s="310">
        <f t="shared" si="5"/>
        <v>-8.5</v>
      </c>
      <c r="J331" s="32">
        <f t="shared" si="7"/>
        <v>72.25</v>
      </c>
      <c r="N331" s="431"/>
      <c r="O331" s="403"/>
      <c r="P331" s="404"/>
      <c r="Q331" s="403"/>
      <c r="R331" s="403"/>
      <c r="S331" s="403"/>
    </row>
    <row r="332" spans="1:19" s="32" customFormat="1" ht="12.75">
      <c r="A332" s="310" t="s">
        <v>120</v>
      </c>
      <c r="B332" s="585">
        <v>71</v>
      </c>
      <c r="C332" s="585">
        <v>52</v>
      </c>
      <c r="D332" s="588">
        <v>4</v>
      </c>
      <c r="E332" s="591">
        <v>11</v>
      </c>
      <c r="F332" s="310">
        <f t="shared" si="6"/>
        <v>-12</v>
      </c>
      <c r="G332" s="434"/>
      <c r="I332" s="310">
        <f t="shared" si="5"/>
        <v>-7</v>
      </c>
      <c r="J332" s="32">
        <f t="shared" si="7"/>
        <v>49</v>
      </c>
      <c r="N332" s="431"/>
      <c r="O332" s="403"/>
      <c r="P332" s="404"/>
      <c r="Q332" s="403"/>
      <c r="R332" s="403"/>
      <c r="S332" s="403"/>
    </row>
    <row r="333" spans="1:19" s="32" customFormat="1" ht="12.75">
      <c r="A333" s="310" t="s">
        <v>121</v>
      </c>
      <c r="B333" s="585">
        <v>95</v>
      </c>
      <c r="C333" s="585">
        <v>54</v>
      </c>
      <c r="D333" s="588">
        <v>12</v>
      </c>
      <c r="E333" s="591">
        <v>12</v>
      </c>
      <c r="F333" s="310">
        <f t="shared" si="6"/>
        <v>16</v>
      </c>
      <c r="G333" s="434"/>
      <c r="I333" s="310">
        <f t="shared" si="5"/>
        <v>0</v>
      </c>
      <c r="J333" s="32">
        <f t="shared" si="7"/>
        <v>0</v>
      </c>
      <c r="N333" s="431"/>
      <c r="O333" s="403"/>
      <c r="P333" s="404"/>
      <c r="Q333" s="403"/>
      <c r="R333" s="403"/>
      <c r="S333" s="403"/>
    </row>
    <row r="334" spans="1:19" s="32" customFormat="1" ht="12.75">
      <c r="A334" s="310" t="s">
        <v>122</v>
      </c>
      <c r="B334" s="585">
        <v>89</v>
      </c>
      <c r="C334" s="585">
        <v>57</v>
      </c>
      <c r="D334" s="588">
        <v>11</v>
      </c>
      <c r="E334" s="591">
        <v>13</v>
      </c>
      <c r="F334" s="310">
        <f t="shared" si="6"/>
        <v>15</v>
      </c>
      <c r="G334" s="434"/>
      <c r="I334" s="310">
        <f t="shared" si="5"/>
        <v>-2</v>
      </c>
      <c r="J334" s="32">
        <f t="shared" si="7"/>
        <v>4</v>
      </c>
      <c r="N334" s="431"/>
      <c r="O334" s="403"/>
      <c r="P334" s="404"/>
      <c r="Q334" s="403"/>
      <c r="R334" s="403"/>
      <c r="S334" s="403"/>
    </row>
    <row r="335" spans="1:19" s="32" customFormat="1" ht="12.75">
      <c r="A335" s="310" t="s">
        <v>123</v>
      </c>
      <c r="B335" s="585">
        <v>100</v>
      </c>
      <c r="C335" s="585">
        <v>59</v>
      </c>
      <c r="D335" s="588">
        <v>13</v>
      </c>
      <c r="E335" s="591">
        <v>14</v>
      </c>
      <c r="F335" s="310">
        <f t="shared" si="6"/>
        <v>30</v>
      </c>
      <c r="G335" s="434"/>
      <c r="I335" s="310">
        <f t="shared" si="5"/>
        <v>-1</v>
      </c>
      <c r="J335" s="32">
        <f t="shared" si="7"/>
        <v>1</v>
      </c>
      <c r="N335" s="431"/>
      <c r="O335" s="403"/>
      <c r="P335" s="404"/>
      <c r="Q335" s="403"/>
      <c r="R335" s="403"/>
      <c r="S335" s="403"/>
    </row>
    <row r="336" spans="1:19" s="32" customFormat="1" ht="22.5">
      <c r="A336" s="310" t="s">
        <v>124</v>
      </c>
      <c r="B336" s="585">
        <v>106</v>
      </c>
      <c r="C336" s="585">
        <v>62</v>
      </c>
      <c r="D336" s="588">
        <v>14</v>
      </c>
      <c r="E336" s="591">
        <v>15</v>
      </c>
      <c r="F336" s="310">
        <f t="shared" si="6"/>
        <v>42</v>
      </c>
      <c r="G336" s="436" t="s">
        <v>148</v>
      </c>
      <c r="I336" s="310">
        <f t="shared" si="5"/>
        <v>-1</v>
      </c>
      <c r="J336" s="32">
        <f t="shared" si="7"/>
        <v>1</v>
      </c>
      <c r="N336" s="431"/>
      <c r="O336" s="403"/>
      <c r="P336" s="404"/>
      <c r="Q336" s="403"/>
      <c r="R336" s="403"/>
      <c r="S336" s="403"/>
    </row>
    <row r="337" spans="2:19" s="32" customFormat="1" ht="24.75" customHeight="1">
      <c r="B337" s="412"/>
      <c r="D337" s="592" t="s">
        <v>131</v>
      </c>
      <c r="E337" s="592" t="s">
        <v>132</v>
      </c>
      <c r="F337" s="592" t="s">
        <v>146</v>
      </c>
      <c r="G337" s="435"/>
      <c r="I337" s="430" t="s">
        <v>425</v>
      </c>
      <c r="J337" s="32">
        <f>SUM(J322:J336)</f>
        <v>286</v>
      </c>
      <c r="N337" s="431"/>
      <c r="O337" s="403"/>
      <c r="P337" s="404"/>
      <c r="Q337" s="403"/>
      <c r="R337" s="403"/>
      <c r="S337" s="403"/>
    </row>
    <row r="338" spans="2:19" s="32" customFormat="1" ht="22.5">
      <c r="B338" s="412"/>
      <c r="D338" s="593">
        <f>AVERAGE(D322:D336)</f>
        <v>8</v>
      </c>
      <c r="E338" s="593">
        <f>AVERAGE(E322:E336)</f>
        <v>8</v>
      </c>
      <c r="F338" s="594">
        <f>SUM(F322:F336)</f>
        <v>136.5</v>
      </c>
      <c r="G338" s="436" t="s">
        <v>149</v>
      </c>
      <c r="I338" s="430" t="s">
        <v>288</v>
      </c>
      <c r="J338" s="32">
        <f>COUNT(B322:B336)</f>
        <v>15</v>
      </c>
      <c r="N338" s="431"/>
      <c r="O338" s="403"/>
      <c r="P338" s="404"/>
      <c r="Q338" s="403"/>
      <c r="R338" s="403"/>
      <c r="S338" s="403"/>
    </row>
    <row r="339" spans="2:19" s="32" customFormat="1" ht="21.75" customHeight="1">
      <c r="B339" s="412"/>
      <c r="D339" s="592" t="s">
        <v>144</v>
      </c>
      <c r="E339" s="592" t="s">
        <v>145</v>
      </c>
      <c r="F339" s="592" t="s">
        <v>147</v>
      </c>
      <c r="G339" s="310"/>
      <c r="H339" s="430"/>
      <c r="N339" s="431"/>
      <c r="O339" s="403"/>
      <c r="P339" s="404"/>
      <c r="Q339" s="403"/>
      <c r="R339" s="403"/>
      <c r="S339" s="403"/>
    </row>
    <row r="340" spans="2:19" s="32" customFormat="1" ht="12.75">
      <c r="B340" s="412"/>
      <c r="D340" s="595">
        <f>STDEV(D322:D336)</f>
        <v>4.468141192295261</v>
      </c>
      <c r="E340" s="595">
        <f>STDEV(E322:E336)</f>
        <v>4.468141192295261</v>
      </c>
      <c r="F340" s="594">
        <f>SQRT((14*D340^2)*(14*E340^2))</f>
        <v>279.5</v>
      </c>
      <c r="G340" s="310"/>
      <c r="H340" s="430"/>
      <c r="N340" s="431"/>
      <c r="O340" s="403"/>
      <c r="P340" s="404"/>
      <c r="Q340" s="403"/>
      <c r="R340" s="403"/>
      <c r="S340" s="403"/>
    </row>
    <row r="341" spans="2:19" s="32" customFormat="1" ht="13.5" thickBot="1">
      <c r="B341" s="412"/>
      <c r="D341" s="428"/>
      <c r="F341" s="437"/>
      <c r="G341" s="454"/>
      <c r="H341" s="455" t="s">
        <v>516</v>
      </c>
      <c r="I341" s="456" t="s">
        <v>517</v>
      </c>
      <c r="J341" s="457">
        <f>CORREL(B322:B336,C322:C336)</f>
        <v>0.509674384428598</v>
      </c>
      <c r="N341" s="431"/>
      <c r="O341" s="403"/>
      <c r="P341" s="404"/>
      <c r="Q341" s="403"/>
      <c r="R341" s="403"/>
      <c r="S341" s="403"/>
    </row>
    <row r="342" spans="1:19" s="32" customFormat="1" ht="13.5" thickBot="1">
      <c r="A342" s="438"/>
      <c r="B342" s="439" t="s">
        <v>629</v>
      </c>
      <c r="C342" s="451">
        <f>F338/F340</f>
        <v>0.4883720930232558</v>
      </c>
      <c r="D342" s="440" t="s">
        <v>153</v>
      </c>
      <c r="F342" s="429"/>
      <c r="G342" s="310"/>
      <c r="H342" s="430"/>
      <c r="N342" s="431"/>
      <c r="O342" s="403"/>
      <c r="P342" s="404"/>
      <c r="Q342" s="403"/>
      <c r="R342" s="403"/>
      <c r="S342" s="403"/>
    </row>
    <row r="343" spans="1:19" s="32" customFormat="1" ht="12.75">
      <c r="A343" s="32" t="s">
        <v>630</v>
      </c>
      <c r="B343" s="412"/>
      <c r="D343" s="428"/>
      <c r="F343" s="429"/>
      <c r="G343" s="310"/>
      <c r="H343" s="430"/>
      <c r="N343" s="431"/>
      <c r="O343" s="403"/>
      <c r="P343" s="404"/>
      <c r="Q343" s="403"/>
      <c r="R343" s="403"/>
      <c r="S343" s="403"/>
    </row>
    <row r="344" spans="1:19" s="32" customFormat="1" ht="12.75">
      <c r="A344" s="32" t="s">
        <v>455</v>
      </c>
      <c r="B344" s="412"/>
      <c r="D344" s="428"/>
      <c r="F344" s="429"/>
      <c r="G344" s="310"/>
      <c r="H344" s="430"/>
      <c r="N344" s="431"/>
      <c r="O344" s="403"/>
      <c r="P344" s="404"/>
      <c r="Q344" s="403"/>
      <c r="R344" s="403"/>
      <c r="S344" s="403"/>
    </row>
    <row r="345" spans="1:19" s="32" customFormat="1" ht="12.75">
      <c r="A345" s="32" t="s">
        <v>151</v>
      </c>
      <c r="B345" s="412"/>
      <c r="D345" s="428"/>
      <c r="F345" s="429"/>
      <c r="G345" s="310"/>
      <c r="H345" s="430"/>
      <c r="N345" s="431"/>
      <c r="O345" s="403"/>
      <c r="P345" s="404"/>
      <c r="Q345" s="403"/>
      <c r="R345" s="403"/>
      <c r="S345" s="403"/>
    </row>
    <row r="346" spans="1:19" s="32" customFormat="1" ht="12.75">
      <c r="A346" s="32" t="s">
        <v>463</v>
      </c>
      <c r="B346" s="412"/>
      <c r="D346" s="428"/>
      <c r="F346" s="429"/>
      <c r="G346" s="310"/>
      <c r="H346" s="430"/>
      <c r="N346" s="431"/>
      <c r="O346" s="403"/>
      <c r="P346" s="404"/>
      <c r="Q346" s="403"/>
      <c r="R346" s="403"/>
      <c r="S346" s="403"/>
    </row>
    <row r="347" spans="1:19" s="32" customFormat="1" ht="12.75">
      <c r="A347" s="32" t="s">
        <v>420</v>
      </c>
      <c r="B347" s="412"/>
      <c r="D347" s="428"/>
      <c r="F347" s="429"/>
      <c r="G347" s="310"/>
      <c r="H347" s="430"/>
      <c r="N347" s="431"/>
      <c r="O347" s="403"/>
      <c r="P347" s="404"/>
      <c r="Q347" s="403"/>
      <c r="R347" s="403"/>
      <c r="S347" s="403"/>
    </row>
    <row r="348" spans="1:19" s="32" customFormat="1" ht="12.75">
      <c r="A348" s="32" t="s">
        <v>152</v>
      </c>
      <c r="B348" s="412"/>
      <c r="D348" s="428"/>
      <c r="F348" s="429"/>
      <c r="G348" s="310"/>
      <c r="H348" s="430"/>
      <c r="N348" s="431"/>
      <c r="O348" s="403"/>
      <c r="P348" s="404"/>
      <c r="Q348" s="403"/>
      <c r="R348" s="403"/>
      <c r="S348" s="403"/>
    </row>
    <row r="349" spans="1:19" s="32" customFormat="1" ht="12.75">
      <c r="A349" s="32" t="s">
        <v>464</v>
      </c>
      <c r="B349" s="412"/>
      <c r="D349" s="428"/>
      <c r="F349" s="429"/>
      <c r="G349" s="310"/>
      <c r="H349" s="430"/>
      <c r="N349" s="431"/>
      <c r="O349" s="403"/>
      <c r="P349" s="404"/>
      <c r="Q349" s="403"/>
      <c r="R349" s="403"/>
      <c r="S349" s="403"/>
    </row>
    <row r="350" spans="2:19" s="32" customFormat="1" ht="12.75">
      <c r="B350" s="412"/>
      <c r="D350" s="428"/>
      <c r="F350" s="429"/>
      <c r="G350" s="108"/>
      <c r="H350" s="430"/>
      <c r="N350" s="431"/>
      <c r="O350" s="403"/>
      <c r="P350" s="404"/>
      <c r="Q350" s="403"/>
      <c r="R350" s="403"/>
      <c r="S350" s="403"/>
    </row>
    <row r="351" spans="1:6" s="108" customFormat="1" ht="12.75">
      <c r="A351" s="491" t="s">
        <v>633</v>
      </c>
      <c r="C351" s="127"/>
      <c r="D351" s="365"/>
      <c r="E351" s="314"/>
      <c r="F351" s="93"/>
    </row>
    <row r="352" spans="3:11" s="108" customFormat="1" ht="12.75" hidden="1">
      <c r="C352" s="127"/>
      <c r="D352" s="365"/>
      <c r="E352" s="314"/>
      <c r="F352" s="93"/>
      <c r="H352" s="383" t="s">
        <v>41</v>
      </c>
      <c r="I352" s="384" t="s">
        <v>426</v>
      </c>
      <c r="J352" s="321"/>
      <c r="K352" s="441">
        <f>0.5*LN((1+C342)/(1-C342))</f>
        <v>0.5339203150006779</v>
      </c>
    </row>
    <row r="353" spans="3:19" s="108" customFormat="1" ht="18" customHeight="1" hidden="1">
      <c r="C353" s="386"/>
      <c r="D353" s="442" t="s">
        <v>456</v>
      </c>
      <c r="E353" s="443" t="s">
        <v>427</v>
      </c>
      <c r="F353" s="444"/>
      <c r="G353" s="445">
        <f>1/SQRT(COUNT(B322:B336)-3)</f>
        <v>0.2886751345948129</v>
      </c>
      <c r="M353" s="32"/>
      <c r="N353" s="602" t="s">
        <v>372</v>
      </c>
      <c r="O353" s="404"/>
      <c r="P353" s="404"/>
      <c r="Q353" s="603" t="s">
        <v>370</v>
      </c>
      <c r="R353" s="404">
        <f>EXP(1)</f>
        <v>2.718281828459045</v>
      </c>
      <c r="S353" s="404"/>
    </row>
    <row r="354" spans="2:19" s="108" customFormat="1" ht="12.75" hidden="1">
      <c r="B354" s="108" t="s">
        <v>42</v>
      </c>
      <c r="C354" s="127"/>
      <c r="D354" s="365"/>
      <c r="E354" s="389" t="s">
        <v>377</v>
      </c>
      <c r="F354" s="390"/>
      <c r="G354" s="1"/>
      <c r="K354" s="314"/>
      <c r="L354" s="314"/>
      <c r="M354" s="32"/>
      <c r="N354" s="603" t="s">
        <v>509</v>
      </c>
      <c r="O354" s="403">
        <f>S354</f>
        <v>1.9090909090909087</v>
      </c>
      <c r="P354" s="404"/>
      <c r="Q354" s="403">
        <f>K352*2</f>
        <v>1.0678406300013559</v>
      </c>
      <c r="R354" s="403">
        <f>R353^Q354</f>
        <v>2.9090909090909087</v>
      </c>
      <c r="S354" s="403">
        <f>R354-1</f>
        <v>1.9090909090909087</v>
      </c>
    </row>
    <row r="355" spans="2:19" s="108" customFormat="1" ht="12.75" hidden="1">
      <c r="B355" s="1" t="s">
        <v>358</v>
      </c>
      <c r="C355" s="227" t="s">
        <v>43</v>
      </c>
      <c r="D355" s="227" t="s">
        <v>359</v>
      </c>
      <c r="E355" s="391" t="s">
        <v>360</v>
      </c>
      <c r="F355" s="392" t="s">
        <v>44</v>
      </c>
      <c r="G355" s="446">
        <f>C356+(E356*F356)</f>
        <v>1.0997131820387638</v>
      </c>
      <c r="M355" s="32"/>
      <c r="N355" s="603" t="s">
        <v>511</v>
      </c>
      <c r="O355" s="403">
        <f>S355</f>
        <v>3.9090909090909087</v>
      </c>
      <c r="P355" s="404"/>
      <c r="Q355" s="403">
        <f>Q354</f>
        <v>1.0678406300013559</v>
      </c>
      <c r="R355" s="403">
        <f>R354</f>
        <v>2.9090909090909087</v>
      </c>
      <c r="S355" s="403">
        <f>R354+1</f>
        <v>3.9090909090909087</v>
      </c>
    </row>
    <row r="356" spans="2:19" s="108" customFormat="1" ht="12.75" hidden="1">
      <c r="B356" s="304" t="s">
        <v>361</v>
      </c>
      <c r="C356" s="90">
        <f>K352</f>
        <v>0.5339203150006779</v>
      </c>
      <c r="D356" s="540" t="s">
        <v>362</v>
      </c>
      <c r="E356" s="394">
        <f>-NORMSINV(2.5/100)</f>
        <v>1.9599639845400538</v>
      </c>
      <c r="F356" s="395">
        <f>G353</f>
        <v>0.2886751345948129</v>
      </c>
      <c r="G356" s="446">
        <f>C357-(E357*F357)</f>
        <v>-0.03187255203740791</v>
      </c>
      <c r="H356" s="453" t="s">
        <v>367</v>
      </c>
      <c r="M356" s="32"/>
      <c r="N356" s="604" t="s">
        <v>512</v>
      </c>
      <c r="O356" s="415">
        <f>S356</f>
        <v>8.019837912083382</v>
      </c>
      <c r="P356" s="371"/>
      <c r="Q356" s="415">
        <f>G355*2</f>
        <v>2.1994263640775276</v>
      </c>
      <c r="R356" s="415">
        <f>R353^Q356</f>
        <v>9.019837912083382</v>
      </c>
      <c r="S356" s="415">
        <f>R356-1</f>
        <v>8.019837912083382</v>
      </c>
    </row>
    <row r="357" spans="2:19" s="108" customFormat="1" ht="13.5" hidden="1" thickBot="1">
      <c r="B357" s="304" t="s">
        <v>363</v>
      </c>
      <c r="C357" s="395">
        <f>K352</f>
        <v>0.5339203150006779</v>
      </c>
      <c r="D357" s="540" t="s">
        <v>364</v>
      </c>
      <c r="E357" s="394">
        <f>-NORMSINV(2.5/100)</f>
        <v>1.9599639845400538</v>
      </c>
      <c r="F357" s="395">
        <f>G353</f>
        <v>0.2886751345948129</v>
      </c>
      <c r="G357" s="32"/>
      <c r="H357" s="453" t="s">
        <v>368</v>
      </c>
      <c r="M357" s="32"/>
      <c r="N357" s="604" t="s">
        <v>513</v>
      </c>
      <c r="O357" s="415">
        <f>S357</f>
        <v>10.019837912083382</v>
      </c>
      <c r="P357" s="371"/>
      <c r="Q357" s="415">
        <f>Q356</f>
        <v>2.1994263640775276</v>
      </c>
      <c r="R357" s="415">
        <f>R356</f>
        <v>9.019837912083382</v>
      </c>
      <c r="S357" s="415">
        <f>R356+1</f>
        <v>10.019837912083382</v>
      </c>
    </row>
    <row r="358" spans="1:19" s="32" customFormat="1" ht="13.5" hidden="1" thickBot="1">
      <c r="A358" s="32" t="s">
        <v>626</v>
      </c>
      <c r="H358" s="384" t="s">
        <v>510</v>
      </c>
      <c r="I358" s="406"/>
      <c r="J358" s="406"/>
      <c r="K358" s="407">
        <f>O354/O355</f>
        <v>0.4883720930232558</v>
      </c>
      <c r="N358" s="431" t="s">
        <v>514</v>
      </c>
      <c r="O358" s="403">
        <f>S358</f>
        <v>-0.061755876342499794</v>
      </c>
      <c r="P358" s="404"/>
      <c r="Q358" s="403">
        <f>G356*2</f>
        <v>-0.06374510407481582</v>
      </c>
      <c r="R358" s="403">
        <f>R353^Q358</f>
        <v>0.9382441236575002</v>
      </c>
      <c r="S358" s="403">
        <f>R358-1</f>
        <v>-0.061755876342499794</v>
      </c>
    </row>
    <row r="359" spans="2:19" s="32" customFormat="1" ht="13.5" hidden="1" thickBot="1">
      <c r="B359" s="412" t="s">
        <v>373</v>
      </c>
      <c r="D359" s="413"/>
      <c r="J359" s="386" t="s">
        <v>98</v>
      </c>
      <c r="K359" s="407">
        <f>O356/O357</f>
        <v>0.8003959727144779</v>
      </c>
      <c r="N359" s="431" t="s">
        <v>515</v>
      </c>
      <c r="O359" s="403">
        <f>S359</f>
        <v>1.9382441236575003</v>
      </c>
      <c r="P359" s="404"/>
      <c r="Q359" s="403">
        <f>Q358</f>
        <v>-0.06374510407481582</v>
      </c>
      <c r="R359" s="403">
        <f>R358</f>
        <v>0.9382441236575002</v>
      </c>
      <c r="S359" s="403">
        <f>R358+1</f>
        <v>1.9382441236575003</v>
      </c>
    </row>
    <row r="360" spans="5:11" s="32" customFormat="1" ht="13.5" hidden="1" thickBot="1">
      <c r="E360" s="413"/>
      <c r="G360" s="310"/>
      <c r="J360" s="386" t="s">
        <v>97</v>
      </c>
      <c r="K360" s="407">
        <f>O358/O357</f>
        <v>-0.006163360813254829</v>
      </c>
    </row>
    <row r="361" spans="2:9" s="32" customFormat="1" ht="17.25" customHeight="1">
      <c r="B361" s="605"/>
      <c r="C361" s="606" t="s">
        <v>632</v>
      </c>
      <c r="D361" s="607">
        <f>K358</f>
        <v>0.4883720930232558</v>
      </c>
      <c r="E361" s="606" t="s">
        <v>374</v>
      </c>
      <c r="F361" s="611">
        <f>K360</f>
        <v>-0.006163360813254829</v>
      </c>
      <c r="G361" s="608" t="s">
        <v>375</v>
      </c>
      <c r="H361" s="609">
        <f>K359</f>
        <v>0.8003959727144779</v>
      </c>
      <c r="I361" s="610" t="s">
        <v>371</v>
      </c>
    </row>
    <row r="362" spans="1:8" s="32" customFormat="1" ht="12.75">
      <c r="A362" s="365" t="s">
        <v>156</v>
      </c>
      <c r="B362" s="412"/>
      <c r="D362" s="428"/>
      <c r="F362" s="429"/>
      <c r="G362" s="310"/>
      <c r="H362" s="430"/>
    </row>
    <row r="363" spans="1:19" s="32" customFormat="1" ht="12.75">
      <c r="A363" s="365" t="s">
        <v>465</v>
      </c>
      <c r="B363" s="412"/>
      <c r="D363" s="428"/>
      <c r="F363" s="429"/>
      <c r="H363" s="430"/>
      <c r="N363" s="431"/>
      <c r="O363" s="403"/>
      <c r="P363" s="404"/>
      <c r="Q363" s="403"/>
      <c r="R363" s="403"/>
      <c r="S363" s="403"/>
    </row>
    <row r="364" spans="5:14" s="32" customFormat="1" ht="12.75">
      <c r="E364" s="413"/>
      <c r="G364" s="1"/>
      <c r="N364" s="413"/>
    </row>
    <row r="365" spans="1:3" ht="12.75" hidden="1">
      <c r="A365" s="216" t="s">
        <v>261</v>
      </c>
      <c r="B365" s="133"/>
      <c r="C365" s="133"/>
    </row>
    <row r="366" ht="12.75" hidden="1">
      <c r="A366" s="1" t="s">
        <v>262</v>
      </c>
    </row>
    <row r="367" ht="12.75" hidden="1">
      <c r="A367" s="1" t="s">
        <v>342</v>
      </c>
    </row>
    <row r="368" spans="2:7" ht="12.75" hidden="1">
      <c r="B368" s="102" t="s">
        <v>180</v>
      </c>
      <c r="C368" s="1" t="s">
        <v>265</v>
      </c>
      <c r="G368" s="163" t="s">
        <v>273</v>
      </c>
    </row>
    <row r="369" spans="2:8" ht="12.75" hidden="1">
      <c r="B369" s="102" t="s">
        <v>181</v>
      </c>
      <c r="C369" s="1" t="s">
        <v>263</v>
      </c>
      <c r="G369" s="150" t="s">
        <v>275</v>
      </c>
      <c r="H369" s="7"/>
    </row>
    <row r="370" spans="1:9" ht="12.75" hidden="1">
      <c r="A370" s="123" t="s">
        <v>264</v>
      </c>
      <c r="G370" s="152">
        <v>0</v>
      </c>
      <c r="H370" s="150" t="s">
        <v>274</v>
      </c>
      <c r="I370" s="150" t="s">
        <v>282</v>
      </c>
    </row>
    <row r="371" spans="2:9" ht="12.75" hidden="1">
      <c r="B371" s="1" t="s">
        <v>265</v>
      </c>
      <c r="G371" s="152">
        <v>1</v>
      </c>
      <c r="H371" s="152">
        <f aca="true" t="shared" si="8" ref="H371:H376">(-1.02*G370)+10.8</f>
        <v>10.8</v>
      </c>
      <c r="I371" s="447">
        <f>(G371-G370)/(H371-H372)</f>
        <v>0.9803921568627455</v>
      </c>
    </row>
    <row r="372" spans="2:8" ht="12.75" hidden="1">
      <c r="B372" s="120" t="s">
        <v>266</v>
      </c>
      <c r="C372" s="118" t="s">
        <v>269</v>
      </c>
      <c r="G372" s="152">
        <v>2</v>
      </c>
      <c r="H372" s="152">
        <f t="shared" si="8"/>
        <v>9.780000000000001</v>
      </c>
    </row>
    <row r="373" spans="2:9" ht="12.75" hidden="1">
      <c r="B373" s="120" t="s">
        <v>267</v>
      </c>
      <c r="C373" s="123" t="s">
        <v>270</v>
      </c>
      <c r="G373" s="152">
        <v>3</v>
      </c>
      <c r="H373" s="152">
        <f t="shared" si="8"/>
        <v>8.760000000000002</v>
      </c>
      <c r="I373" s="448" t="s">
        <v>284</v>
      </c>
    </row>
    <row r="374" spans="2:9" ht="12.75" hidden="1">
      <c r="B374" s="120" t="s">
        <v>268</v>
      </c>
      <c r="C374" s="118" t="s">
        <v>271</v>
      </c>
      <c r="G374" s="152">
        <v>4</v>
      </c>
      <c r="H374" s="152">
        <f t="shared" si="8"/>
        <v>7.74</v>
      </c>
      <c r="I374" s="449" t="s">
        <v>283</v>
      </c>
    </row>
    <row r="375" spans="2:9" ht="12.75" hidden="1">
      <c r="B375" s="120" t="s">
        <v>272</v>
      </c>
      <c r="C375" s="136" t="s">
        <v>273</v>
      </c>
      <c r="G375" s="152">
        <v>5</v>
      </c>
      <c r="H375" s="152">
        <f t="shared" si="8"/>
        <v>6.720000000000001</v>
      </c>
      <c r="I375" s="447">
        <f>DEGREES(ATAN(I371))</f>
        <v>44.43273359014208</v>
      </c>
    </row>
    <row r="376" ht="12.75" hidden="1">
      <c r="H376" s="152">
        <f t="shared" si="8"/>
        <v>5.700000000000001</v>
      </c>
    </row>
    <row r="377" ht="12.75" hidden="1">
      <c r="G377" s="136" t="s">
        <v>280</v>
      </c>
    </row>
    <row r="378" spans="2:7" ht="12.75" hidden="1">
      <c r="B378" s="1" t="s">
        <v>276</v>
      </c>
      <c r="G378" s="150" t="s">
        <v>274</v>
      </c>
    </row>
    <row r="379" spans="2:9" ht="12.75" hidden="1">
      <c r="B379" s="120" t="s">
        <v>268</v>
      </c>
      <c r="C379" s="118" t="s">
        <v>271</v>
      </c>
      <c r="G379" s="152">
        <v>0</v>
      </c>
      <c r="H379" s="150" t="s">
        <v>275</v>
      </c>
      <c r="I379" s="150" t="s">
        <v>282</v>
      </c>
    </row>
    <row r="380" spans="2:9" ht="12.75" hidden="1">
      <c r="B380" s="120" t="s">
        <v>277</v>
      </c>
      <c r="C380" s="123" t="s">
        <v>278</v>
      </c>
      <c r="G380" s="152">
        <v>1</v>
      </c>
      <c r="H380" s="152">
        <f aca="true" t="shared" si="9" ref="H380:H385">(-0.94*G379)-7.76</f>
        <v>-7.76</v>
      </c>
      <c r="I380" s="156">
        <f>(G380-G379)/(H380-H381)</f>
        <v>1.0638297872340432</v>
      </c>
    </row>
    <row r="381" spans="2:8" ht="12.75" hidden="1">
      <c r="B381" s="120" t="s">
        <v>266</v>
      </c>
      <c r="C381" s="118" t="s">
        <v>279</v>
      </c>
      <c r="G381" s="152">
        <v>2</v>
      </c>
      <c r="H381" s="152">
        <f t="shared" si="9"/>
        <v>-8.7</v>
      </c>
    </row>
    <row r="382" spans="2:9" ht="12.75" hidden="1">
      <c r="B382" s="120" t="s">
        <v>281</v>
      </c>
      <c r="C382" s="136" t="s">
        <v>280</v>
      </c>
      <c r="G382" s="152">
        <v>3</v>
      </c>
      <c r="H382" s="152">
        <f t="shared" si="9"/>
        <v>-9.64</v>
      </c>
      <c r="I382" s="448" t="s">
        <v>284</v>
      </c>
    </row>
    <row r="383" spans="7:9" ht="12.75" hidden="1">
      <c r="G383" s="152">
        <v>4</v>
      </c>
      <c r="H383" s="152">
        <f t="shared" si="9"/>
        <v>-10.58</v>
      </c>
      <c r="I383" s="449" t="s">
        <v>283</v>
      </c>
    </row>
    <row r="384" spans="7:9" ht="12.75" hidden="1">
      <c r="G384" s="152">
        <v>5</v>
      </c>
      <c r="H384" s="152">
        <f t="shared" si="9"/>
        <v>-11.52</v>
      </c>
      <c r="I384" s="156">
        <f>DEGREES(ATAN(I380))</f>
        <v>46.7714697400341</v>
      </c>
    </row>
    <row r="385" ht="12.75" hidden="1">
      <c r="H385" s="152">
        <f t="shared" si="9"/>
        <v>-12.459999999999999</v>
      </c>
    </row>
    <row r="386" spans="1:6" ht="12.75" hidden="1">
      <c r="A386" s="450" t="s">
        <v>100</v>
      </c>
      <c r="B386" s="145"/>
      <c r="C386" s="145"/>
      <c r="D386" s="145"/>
      <c r="E386" s="145"/>
      <c r="F386" s="145"/>
    </row>
    <row r="387" spans="1:6" ht="12.75" hidden="1">
      <c r="A387" s="450" t="s">
        <v>99</v>
      </c>
      <c r="B387" s="145"/>
      <c r="C387" s="145"/>
      <c r="D387" s="145"/>
      <c r="E387" s="145"/>
      <c r="F387" s="145"/>
    </row>
    <row r="388" ht="12.75" hidden="1">
      <c r="A388" s="108"/>
    </row>
    <row r="389" ht="12.75" hidden="1"/>
    <row r="390" ht="12.75" hidden="1"/>
    <row r="391" spans="1:6" ht="15.75" hidden="1">
      <c r="A391" s="432" t="s">
        <v>298</v>
      </c>
      <c r="B391" s="432"/>
      <c r="C391" s="432"/>
      <c r="D391" s="133"/>
      <c r="E391" s="133"/>
      <c r="F391" s="133"/>
    </row>
    <row r="392" ht="12.75" hidden="1"/>
    <row r="393" ht="12.75" hidden="1">
      <c r="A393" s="1" t="s">
        <v>303</v>
      </c>
    </row>
    <row r="394" spans="2:4" ht="12.75" hidden="1">
      <c r="B394" s="540" t="s">
        <v>299</v>
      </c>
      <c r="C394" s="540" t="s">
        <v>300</v>
      </c>
      <c r="D394" s="540" t="s">
        <v>301</v>
      </c>
    </row>
    <row r="395" spans="2:4" ht="12.75" hidden="1">
      <c r="B395" s="540">
        <v>5</v>
      </c>
      <c r="C395" s="540">
        <v>5</v>
      </c>
      <c r="D395" s="540">
        <v>5</v>
      </c>
    </row>
    <row r="396" spans="2:4" ht="12.75" hidden="1">
      <c r="B396" s="540">
        <v>5</v>
      </c>
      <c r="C396" s="540">
        <v>5</v>
      </c>
      <c r="D396" s="540">
        <v>5</v>
      </c>
    </row>
    <row r="397" spans="2:4" ht="12.75" hidden="1">
      <c r="B397" s="540">
        <v>5</v>
      </c>
      <c r="C397" s="540">
        <v>5</v>
      </c>
      <c r="D397" s="540">
        <v>5</v>
      </c>
    </row>
    <row r="398" ht="12.75" hidden="1">
      <c r="A398" s="1" t="s">
        <v>320</v>
      </c>
    </row>
    <row r="399" ht="12.75" hidden="1">
      <c r="A399" s="1" t="s">
        <v>302</v>
      </c>
    </row>
    <row r="400" ht="12.75" hidden="1"/>
    <row r="401" ht="12.75" hidden="1">
      <c r="A401" s="1" t="s">
        <v>304</v>
      </c>
    </row>
    <row r="402" ht="12.75" hidden="1">
      <c r="A402" s="1" t="s">
        <v>321</v>
      </c>
    </row>
    <row r="403" ht="12.75" hidden="1">
      <c r="A403" s="1" t="s">
        <v>318</v>
      </c>
    </row>
    <row r="404" ht="12.75" hidden="1">
      <c r="A404" s="1" t="s">
        <v>319</v>
      </c>
    </row>
    <row r="405" spans="2:4" ht="12.75" hidden="1">
      <c r="B405" s="540" t="s">
        <v>299</v>
      </c>
      <c r="C405" s="540" t="s">
        <v>300</v>
      </c>
      <c r="D405" s="540" t="s">
        <v>301</v>
      </c>
    </row>
    <row r="406" spans="2:4" ht="12.75" hidden="1">
      <c r="B406" s="540" t="s">
        <v>305</v>
      </c>
      <c r="C406" s="540" t="s">
        <v>306</v>
      </c>
      <c r="D406" s="540" t="s">
        <v>317</v>
      </c>
    </row>
    <row r="407" spans="2:4" ht="12.75" hidden="1">
      <c r="B407" s="540" t="s">
        <v>305</v>
      </c>
      <c r="C407" s="540" t="s">
        <v>306</v>
      </c>
      <c r="D407" s="540" t="s">
        <v>317</v>
      </c>
    </row>
    <row r="408" spans="2:4" ht="12.75" hidden="1">
      <c r="B408" s="540" t="s">
        <v>305</v>
      </c>
      <c r="C408" s="540" t="s">
        <v>306</v>
      </c>
      <c r="D408" s="540" t="s">
        <v>317</v>
      </c>
    </row>
    <row r="409" ht="12.75" hidden="1"/>
    <row r="410" ht="12.75" hidden="1">
      <c r="A410" s="1" t="s">
        <v>307</v>
      </c>
    </row>
    <row r="411" ht="12.75" hidden="1">
      <c r="A411" s="1" t="s">
        <v>322</v>
      </c>
    </row>
    <row r="412" spans="2:4" ht="12.75" hidden="1">
      <c r="B412" s="540" t="s">
        <v>299</v>
      </c>
      <c r="C412" s="540" t="s">
        <v>300</v>
      </c>
      <c r="D412" s="540" t="s">
        <v>301</v>
      </c>
    </row>
    <row r="413" spans="2:4" ht="12.75" hidden="1">
      <c r="B413" s="540" t="s">
        <v>308</v>
      </c>
      <c r="C413" s="540" t="s">
        <v>311</v>
      </c>
      <c r="D413" s="540" t="s">
        <v>314</v>
      </c>
    </row>
    <row r="414" spans="2:4" ht="12.75" hidden="1">
      <c r="B414" s="540" t="s">
        <v>309</v>
      </c>
      <c r="C414" s="540" t="s">
        <v>312</v>
      </c>
      <c r="D414" s="540" t="s">
        <v>315</v>
      </c>
    </row>
    <row r="415" spans="2:4" ht="12.75" hidden="1">
      <c r="B415" s="540" t="s">
        <v>310</v>
      </c>
      <c r="C415" s="540" t="s">
        <v>313</v>
      </c>
      <c r="D415" s="540" t="s">
        <v>316</v>
      </c>
    </row>
    <row r="416" ht="12.75" hidden="1">
      <c r="A416" s="1" t="s">
        <v>323</v>
      </c>
    </row>
    <row r="417" ht="12.75" hidden="1">
      <c r="A417" s="1" t="s">
        <v>324</v>
      </c>
    </row>
    <row r="418" ht="12.75" hidden="1">
      <c r="A418" s="1" t="s">
        <v>325</v>
      </c>
    </row>
    <row r="419" ht="12.75" hidden="1">
      <c r="A419" s="1" t="s">
        <v>328</v>
      </c>
    </row>
    <row r="420" ht="12.75" hidden="1"/>
    <row r="421" ht="12.75" hidden="1">
      <c r="A421" s="1" t="s">
        <v>329</v>
      </c>
    </row>
    <row r="422" ht="12.75" hidden="1">
      <c r="A422" s="1" t="s">
        <v>330</v>
      </c>
    </row>
    <row r="423" ht="12.75" hidden="1">
      <c r="A423" s="1" t="s">
        <v>331</v>
      </c>
    </row>
    <row r="424" ht="12.75" hidden="1">
      <c r="A424" s="1" t="s">
        <v>332</v>
      </c>
    </row>
    <row r="425" ht="12.75" hidden="1">
      <c r="A425" s="1" t="s">
        <v>333</v>
      </c>
    </row>
    <row r="426" ht="12.75" hidden="1"/>
  </sheetData>
  <sheetProtection/>
  <mergeCells count="27">
    <mergeCell ref="F320:F321"/>
    <mergeCell ref="G164:H164"/>
    <mergeCell ref="I164:J164"/>
    <mergeCell ref="B182:F182"/>
    <mergeCell ref="C194:D194"/>
    <mergeCell ref="E194:F194"/>
    <mergeCell ref="G194:H194"/>
    <mergeCell ref="I194:J194"/>
    <mergeCell ref="B27:C27"/>
    <mergeCell ref="B44:C44"/>
    <mergeCell ref="C73:D73"/>
    <mergeCell ref="B141:F141"/>
    <mergeCell ref="C164:D164"/>
    <mergeCell ref="E164:F164"/>
    <mergeCell ref="A6:C6"/>
    <mergeCell ref="D6:F6"/>
    <mergeCell ref="A7:C7"/>
    <mergeCell ref="D7:F9"/>
    <mergeCell ref="A8:C8"/>
    <mergeCell ref="A9:C9"/>
    <mergeCell ref="A2:F2"/>
    <mergeCell ref="A3:C3"/>
    <mergeCell ref="D3:F3"/>
    <mergeCell ref="A4:C4"/>
    <mergeCell ref="D4:F4"/>
    <mergeCell ref="A5:C5"/>
    <mergeCell ref="D5:F5"/>
  </mergeCells>
  <printOptions/>
  <pageMargins left="0.7" right="0.7" top="0.75" bottom="0.75" header="0.3" footer="0.3"/>
  <pageSetup horizontalDpi="300" verticalDpi="300" orientation="portrait" paperSize="9" r:id="rId2"/>
  <ignoredErrors>
    <ignoredError sqref="Q355:S35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gasanchez</dc:creator>
  <cp:keywords/>
  <dc:description/>
  <cp:lastModifiedBy>Galo</cp:lastModifiedBy>
  <dcterms:created xsi:type="dcterms:W3CDTF">2009-06-12T05:30:57Z</dcterms:created>
  <dcterms:modified xsi:type="dcterms:W3CDTF">2019-12-07T12:23:22Z</dcterms:modified>
  <cp:category/>
  <cp:version/>
  <cp:contentType/>
  <cp:contentStatus/>
</cp:coreProperties>
</file>