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C:\20181023-Galo\0-Datos\010-Temas publc\20180915-Rean PA Int-Conv\1-Inf Reanal +Tabl\"/>
    </mc:Choice>
  </mc:AlternateContent>
  <xr:revisionPtr revIDLastSave="0" documentId="13_ncr:1_{E0EDA24F-E3A1-4B7E-AAF6-2AEA3EBDFDE2}" xr6:coauthVersionLast="38" xr6:coauthVersionMax="38" xr10:uidLastSave="{00000000-0000-0000-0000-000000000000}"/>
  <bookViews>
    <workbookView xWindow="0" yWindow="0" windowWidth="20490" windowHeight="7545" tabRatio="655" xr2:uid="{00000000-000D-0000-FFFF-FFFF00000000}"/>
  </bookViews>
  <sheets>
    <sheet name="Dif PAS Int-Con, r RAR" sheetId="10" r:id="rId1"/>
    <sheet name="Dif PAS Desp-Ant, r Inc-año" sheetId="11" r:id="rId2"/>
    <sheet name="PAS Alcanz, r Inc-año" sheetId="12"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10" l="1"/>
  <c r="I4" i="10"/>
  <c r="G366" i="12" l="1"/>
  <c r="F366" i="12"/>
  <c r="G364" i="12"/>
  <c r="G365" i="12" s="1"/>
  <c r="F364" i="12"/>
  <c r="F365" i="12" s="1"/>
  <c r="G363" i="12"/>
  <c r="I358" i="12" s="1"/>
  <c r="M358" i="12" s="1"/>
  <c r="F363" i="12"/>
  <c r="H357" i="12" s="1"/>
  <c r="I359" i="12"/>
  <c r="M359" i="12" s="1"/>
  <c r="I355" i="12"/>
  <c r="I349" i="12"/>
  <c r="F349" i="12"/>
  <c r="G333" i="11"/>
  <c r="F333" i="11"/>
  <c r="G331" i="11"/>
  <c r="G332" i="11" s="1"/>
  <c r="F331" i="11"/>
  <c r="F332" i="11" s="1"/>
  <c r="G330" i="11"/>
  <c r="I324" i="11" s="1"/>
  <c r="M324" i="11" s="1"/>
  <c r="F330" i="11"/>
  <c r="H324" i="11" s="1"/>
  <c r="L324" i="11" s="1"/>
  <c r="I316" i="11"/>
  <c r="F316" i="11"/>
  <c r="G227" i="10"/>
  <c r="F227" i="10"/>
  <c r="G225" i="10"/>
  <c r="G226" i="10" s="1"/>
  <c r="F225" i="10"/>
  <c r="F226" i="10" s="1"/>
  <c r="G224" i="10"/>
  <c r="I221" i="10" s="1"/>
  <c r="F224" i="10"/>
  <c r="H220" i="10" s="1"/>
  <c r="L220" i="10" s="1"/>
  <c r="I213" i="10"/>
  <c r="F213" i="10"/>
  <c r="I356" i="12" l="1"/>
  <c r="M356" i="12" s="1"/>
  <c r="I357" i="12"/>
  <c r="M357" i="12" s="1"/>
  <c r="I360" i="12"/>
  <c r="M360" i="12" s="1"/>
  <c r="I363" i="12"/>
  <c r="M355" i="12"/>
  <c r="G367" i="12"/>
  <c r="L357" i="12"/>
  <c r="J357" i="12"/>
  <c r="H356" i="12"/>
  <c r="L356" i="12" s="1"/>
  <c r="H359" i="12"/>
  <c r="J359" i="12" s="1"/>
  <c r="H360" i="12"/>
  <c r="L360" i="12" s="1"/>
  <c r="H355" i="12"/>
  <c r="J355" i="12" s="1"/>
  <c r="H358" i="12"/>
  <c r="J356" i="12"/>
  <c r="F367" i="12"/>
  <c r="I325" i="11"/>
  <c r="M325" i="11" s="1"/>
  <c r="G334" i="11"/>
  <c r="H327" i="11"/>
  <c r="H322" i="11"/>
  <c r="I323" i="11"/>
  <c r="M323" i="11" s="1"/>
  <c r="J324" i="11"/>
  <c r="H326" i="11"/>
  <c r="I327" i="11"/>
  <c r="M327" i="11" s="1"/>
  <c r="F334" i="11"/>
  <c r="H323" i="11"/>
  <c r="I322" i="11"/>
  <c r="H325" i="11"/>
  <c r="I326" i="11"/>
  <c r="M326" i="11" s="1"/>
  <c r="I220" i="10"/>
  <c r="M220" i="10" s="1"/>
  <c r="H221" i="10"/>
  <c r="L221" i="10" s="1"/>
  <c r="H219" i="10"/>
  <c r="H224" i="10" s="1"/>
  <c r="H225" i="10"/>
  <c r="H226" i="10" s="1"/>
  <c r="M221" i="10"/>
  <c r="J221" i="10"/>
  <c r="I219" i="10"/>
  <c r="J220" i="10"/>
  <c r="G228" i="10"/>
  <c r="F228" i="10"/>
  <c r="L219" i="10" l="1"/>
  <c r="L224" i="10" s="1"/>
  <c r="I364" i="12"/>
  <c r="I365" i="12" s="1"/>
  <c r="M363" i="12"/>
  <c r="H363" i="12"/>
  <c r="J360" i="12"/>
  <c r="J358" i="12"/>
  <c r="J363" i="12" s="1"/>
  <c r="L358" i="12"/>
  <c r="L359" i="12"/>
  <c r="H364" i="12"/>
  <c r="H365" i="12" s="1"/>
  <c r="L355" i="12"/>
  <c r="J325" i="11"/>
  <c r="L325" i="11"/>
  <c r="L326" i="11"/>
  <c r="J326" i="11"/>
  <c r="I330" i="11"/>
  <c r="I331" i="11"/>
  <c r="I332" i="11" s="1"/>
  <c r="M322" i="11"/>
  <c r="M330" i="11" s="1"/>
  <c r="J327" i="11"/>
  <c r="L327" i="11"/>
  <c r="J323" i="11"/>
  <c r="L323" i="11"/>
  <c r="H330" i="11"/>
  <c r="L322" i="11"/>
  <c r="H331" i="11"/>
  <c r="H332" i="11" s="1"/>
  <c r="J322" i="11"/>
  <c r="I224" i="10"/>
  <c r="I225" i="10"/>
  <c r="I226" i="10" s="1"/>
  <c r="M219" i="10"/>
  <c r="M224" i="10" s="1"/>
  <c r="J219" i="10"/>
  <c r="J224" i="10" s="1"/>
  <c r="N224" i="10" l="1"/>
  <c r="B216" i="10" s="1"/>
  <c r="L363" i="12"/>
  <c r="N363" i="12" s="1"/>
  <c r="B352" i="12" s="1"/>
  <c r="B349" i="12"/>
  <c r="B351" i="12" s="1"/>
  <c r="J330" i="11"/>
  <c r="L330" i="11"/>
  <c r="N330" i="11" s="1"/>
  <c r="B213" i="10"/>
  <c r="B215" i="10" s="1"/>
  <c r="B350" i="12" l="1"/>
  <c r="B353" i="12"/>
  <c r="C353" i="12" s="1"/>
  <c r="B319" i="11"/>
  <c r="B316" i="11"/>
  <c r="B318" i="11" s="1"/>
  <c r="B214" i="10"/>
  <c r="B217" i="10"/>
  <c r="C217" i="10" s="1"/>
  <c r="J350" i="12" l="1"/>
  <c r="G371" i="12"/>
  <c r="I371" i="12" s="1"/>
  <c r="C360" i="12"/>
  <c r="D360" i="12" s="1"/>
  <c r="C357" i="12"/>
  <c r="D357" i="12" s="1"/>
  <c r="C358" i="12"/>
  <c r="D358" i="12" s="1"/>
  <c r="C355" i="12"/>
  <c r="C356" i="12"/>
  <c r="D356" i="12" s="1"/>
  <c r="C359" i="12"/>
  <c r="D359" i="12" s="1"/>
  <c r="B320" i="11"/>
  <c r="C320" i="11" s="1"/>
  <c r="B317" i="11"/>
  <c r="C327" i="11" s="1"/>
  <c r="D327" i="11" s="1"/>
  <c r="J214" i="10"/>
  <c r="G232" i="10"/>
  <c r="I232" i="10" s="1"/>
  <c r="C220" i="10"/>
  <c r="D220" i="10" s="1"/>
  <c r="C219" i="10"/>
  <c r="C221" i="10"/>
  <c r="D221" i="10" s="1"/>
  <c r="C366" i="12" l="1"/>
  <c r="C364" i="12"/>
  <c r="C365" i="12" s="1"/>
  <c r="D355" i="12"/>
  <c r="C363" i="12"/>
  <c r="C367" i="12" s="1"/>
  <c r="C322" i="11"/>
  <c r="D322" i="11" s="1"/>
  <c r="C325" i="11"/>
  <c r="D325" i="11" s="1"/>
  <c r="C323" i="11"/>
  <c r="D323" i="11" s="1"/>
  <c r="G338" i="11"/>
  <c r="I338" i="11" s="1"/>
  <c r="J317" i="11"/>
  <c r="C326" i="11"/>
  <c r="D326" i="11" s="1"/>
  <c r="C324" i="11"/>
  <c r="D324" i="11" s="1"/>
  <c r="C227" i="10"/>
  <c r="C225" i="10"/>
  <c r="C226" i="10" s="1"/>
  <c r="D219" i="10"/>
  <c r="C224" i="10"/>
  <c r="D363" i="12" l="1"/>
  <c r="D366" i="12"/>
  <c r="D364" i="12"/>
  <c r="D365" i="12" s="1"/>
  <c r="N373" i="12"/>
  <c r="Q373" i="12" s="1"/>
  <c r="E373" i="12" s="1"/>
  <c r="G370" i="12"/>
  <c r="I370" i="12" s="1"/>
  <c r="D330" i="11"/>
  <c r="D333" i="11"/>
  <c r="D331" i="11"/>
  <c r="D332" i="11" s="1"/>
  <c r="C330" i="11"/>
  <c r="C331" i="11"/>
  <c r="C332" i="11" s="1"/>
  <c r="C333" i="11"/>
  <c r="C228" i="10"/>
  <c r="D224" i="10"/>
  <c r="D227" i="10"/>
  <c r="D225" i="10"/>
  <c r="D226" i="10" s="1"/>
  <c r="N234" i="10"/>
  <c r="Q234" i="10" s="1"/>
  <c r="E234" i="10" s="1"/>
  <c r="G231" i="10"/>
  <c r="I231" i="10" s="1"/>
  <c r="C334" i="11" l="1"/>
  <c r="I373" i="12"/>
  <c r="N350" i="12" s="1"/>
  <c r="G373" i="12"/>
  <c r="L350" i="12" s="1"/>
  <c r="D367" i="12"/>
  <c r="N340" i="11"/>
  <c r="Q340" i="11" s="1"/>
  <c r="E340" i="11" s="1"/>
  <c r="G337" i="11"/>
  <c r="I337" i="11" s="1"/>
  <c r="D334" i="11"/>
  <c r="I234" i="10"/>
  <c r="N214" i="10" s="1"/>
  <c r="G234" i="10"/>
  <c r="L214" i="10" s="1"/>
  <c r="D228" i="10"/>
  <c r="G340" i="11" l="1"/>
  <c r="L317" i="11" s="1"/>
  <c r="I340" i="11"/>
  <c r="N317" i="11" s="1"/>
  <c r="G271" i="11" l="1"/>
  <c r="F271" i="11"/>
  <c r="G269" i="11"/>
  <c r="G270" i="11" s="1"/>
  <c r="F269" i="11"/>
  <c r="F270" i="11" s="1"/>
  <c r="G268" i="11"/>
  <c r="I262" i="11" s="1"/>
  <c r="F268" i="11"/>
  <c r="H265" i="11" s="1"/>
  <c r="H263" i="11"/>
  <c r="L263" i="11" s="1"/>
  <c r="H261" i="11"/>
  <c r="H251" i="11"/>
  <c r="L251" i="11" s="1"/>
  <c r="H249" i="11"/>
  <c r="L249" i="11" s="1"/>
  <c r="I242" i="11"/>
  <c r="F242" i="11"/>
  <c r="H256" i="11" l="1"/>
  <c r="L256" i="11" s="1"/>
  <c r="H258" i="11"/>
  <c r="L258" i="11" s="1"/>
  <c r="H253" i="11"/>
  <c r="L253" i="11" s="1"/>
  <c r="H259" i="11"/>
  <c r="L259" i="11" s="1"/>
  <c r="H248" i="11"/>
  <c r="L248" i="11" s="1"/>
  <c r="H255" i="11"/>
  <c r="L255" i="11" s="1"/>
  <c r="H260" i="11"/>
  <c r="L260" i="11" s="1"/>
  <c r="H252" i="11"/>
  <c r="L252" i="11" s="1"/>
  <c r="H257" i="11"/>
  <c r="L257" i="11" s="1"/>
  <c r="H264" i="11"/>
  <c r="L264" i="11" s="1"/>
  <c r="H250" i="11"/>
  <c r="L250" i="11" s="1"/>
  <c r="H254" i="11"/>
  <c r="L254" i="11" s="1"/>
  <c r="H262" i="11"/>
  <c r="L262" i="11" s="1"/>
  <c r="I257" i="11"/>
  <c r="M257" i="11" s="1"/>
  <c r="M262" i="11"/>
  <c r="I265" i="11"/>
  <c r="M265" i="11" s="1"/>
  <c r="I250" i="11"/>
  <c r="L261" i="11"/>
  <c r="I253" i="11"/>
  <c r="M253" i="11" s="1"/>
  <c r="I261" i="11"/>
  <c r="M261" i="11" s="1"/>
  <c r="I258" i="11"/>
  <c r="I256" i="11"/>
  <c r="I252" i="11"/>
  <c r="M252" i="11" s="1"/>
  <c r="I248" i="11"/>
  <c r="M248" i="11" s="1"/>
  <c r="I264" i="11"/>
  <c r="M264" i="11" s="1"/>
  <c r="I263" i="11"/>
  <c r="M263" i="11" s="1"/>
  <c r="G272" i="11"/>
  <c r="I260" i="11"/>
  <c r="M260" i="11" s="1"/>
  <c r="I259" i="11"/>
  <c r="M259" i="11" s="1"/>
  <c r="I254" i="11"/>
  <c r="I249" i="11"/>
  <c r="I251" i="11"/>
  <c r="I255" i="11"/>
  <c r="L265" i="11"/>
  <c r="F272" i="11"/>
  <c r="J262" i="11" l="1"/>
  <c r="J257" i="11"/>
  <c r="H269" i="11"/>
  <c r="H270" i="11" s="1"/>
  <c r="H268" i="11"/>
  <c r="L268" i="11"/>
  <c r="J261" i="11"/>
  <c r="J265" i="11"/>
  <c r="J263" i="11"/>
  <c r="J259" i="11"/>
  <c r="M254" i="11"/>
  <c r="J254" i="11"/>
  <c r="M256" i="11"/>
  <c r="J256" i="11"/>
  <c r="M255" i="11"/>
  <c r="J255" i="11"/>
  <c r="M251" i="11"/>
  <c r="J251" i="11"/>
  <c r="M258" i="11"/>
  <c r="J258" i="11"/>
  <c r="J253" i="11"/>
  <c r="J248" i="11"/>
  <c r="I268" i="11"/>
  <c r="I269" i="11"/>
  <c r="I270" i="11" s="1"/>
  <c r="M249" i="11"/>
  <c r="J249" i="11"/>
  <c r="J260" i="11"/>
  <c r="M250" i="11"/>
  <c r="J250" i="11"/>
  <c r="J264" i="11"/>
  <c r="J252" i="11"/>
  <c r="M268" i="11" l="1"/>
  <c r="N268" i="11" s="1"/>
  <c r="J268" i="11"/>
  <c r="B242" i="11" l="1"/>
  <c r="B244" i="11" s="1"/>
  <c r="B245" i="11"/>
  <c r="B246" i="11" l="1"/>
  <c r="C246" i="11" s="1"/>
  <c r="B243" i="11"/>
  <c r="C264" i="11" l="1"/>
  <c r="D264" i="11" s="1"/>
  <c r="C255" i="11"/>
  <c r="D255" i="11" s="1"/>
  <c r="C252" i="11"/>
  <c r="D252" i="11" s="1"/>
  <c r="C254" i="11"/>
  <c r="D254" i="11" s="1"/>
  <c r="C258" i="11"/>
  <c r="D258" i="11" s="1"/>
  <c r="C265" i="11"/>
  <c r="D265" i="11" s="1"/>
  <c r="J243" i="11"/>
  <c r="G276" i="11"/>
  <c r="I276" i="11" s="1"/>
  <c r="C262" i="11"/>
  <c r="D262" i="11" s="1"/>
  <c r="C256" i="11"/>
  <c r="D256" i="11" s="1"/>
  <c r="C253" i="11"/>
  <c r="D253" i="11" s="1"/>
  <c r="C260" i="11"/>
  <c r="D260" i="11" s="1"/>
  <c r="C259" i="11"/>
  <c r="D259" i="11" s="1"/>
  <c r="C248" i="11"/>
  <c r="D248" i="11" s="1"/>
  <c r="C249" i="11"/>
  <c r="D249" i="11" s="1"/>
  <c r="C250" i="11"/>
  <c r="D250" i="11" s="1"/>
  <c r="C251" i="11"/>
  <c r="D251" i="11" s="1"/>
  <c r="C257" i="11"/>
  <c r="D257" i="11" s="1"/>
  <c r="C261" i="11"/>
  <c r="D261" i="11" s="1"/>
  <c r="C263" i="11"/>
  <c r="D263" i="11" s="1"/>
  <c r="I185" i="10"/>
  <c r="F185" i="10"/>
  <c r="I153" i="10"/>
  <c r="F153" i="10"/>
  <c r="I117" i="10"/>
  <c r="F117" i="10"/>
  <c r="I81" i="10"/>
  <c r="F81" i="10"/>
  <c r="I45" i="10"/>
  <c r="F45" i="10"/>
  <c r="I192" i="11"/>
  <c r="F192" i="11"/>
  <c r="C269" i="11" l="1"/>
  <c r="C270" i="11" s="1"/>
  <c r="C268" i="11"/>
  <c r="D268" i="11"/>
  <c r="D271" i="11"/>
  <c r="D269" i="11"/>
  <c r="D270" i="11" s="1"/>
  <c r="C271" i="11"/>
  <c r="G337" i="12"/>
  <c r="F337" i="12"/>
  <c r="G335" i="12"/>
  <c r="G336" i="12" s="1"/>
  <c r="F335" i="12"/>
  <c r="F336" i="12" s="1"/>
  <c r="G334" i="12"/>
  <c r="I328" i="12" s="1"/>
  <c r="M328" i="12" s="1"/>
  <c r="F334" i="12"/>
  <c r="I316" i="12"/>
  <c r="F316" i="12"/>
  <c r="G304" i="12"/>
  <c r="F304" i="12"/>
  <c r="G302" i="12"/>
  <c r="G303" i="12" s="1"/>
  <c r="F302" i="12"/>
  <c r="F303" i="12" s="1"/>
  <c r="G301" i="12"/>
  <c r="I295" i="12" s="1"/>
  <c r="F301" i="12"/>
  <c r="I275" i="12"/>
  <c r="F275" i="12"/>
  <c r="G231" i="12"/>
  <c r="F231" i="12"/>
  <c r="G229" i="12"/>
  <c r="G230" i="12" s="1"/>
  <c r="F229" i="12"/>
  <c r="G228" i="12"/>
  <c r="I219" i="12" s="1"/>
  <c r="M219" i="12" s="1"/>
  <c r="F228" i="12"/>
  <c r="H221" i="12" s="1"/>
  <c r="L221" i="12" s="1"/>
  <c r="I194" i="12"/>
  <c r="F194" i="12"/>
  <c r="G182" i="12"/>
  <c r="F182" i="12"/>
  <c r="G180" i="12"/>
  <c r="G181" i="12" s="1"/>
  <c r="F180" i="12"/>
  <c r="F181" i="12" s="1"/>
  <c r="G179" i="12"/>
  <c r="I174" i="12" s="1"/>
  <c r="M174" i="12" s="1"/>
  <c r="F179" i="12"/>
  <c r="H176" i="12" s="1"/>
  <c r="I145" i="12"/>
  <c r="F145" i="12"/>
  <c r="G133" i="12"/>
  <c r="F133" i="12"/>
  <c r="G131" i="12"/>
  <c r="G132" i="12" s="1"/>
  <c r="F131" i="12"/>
  <c r="F132" i="12" s="1"/>
  <c r="G130" i="12"/>
  <c r="I124" i="12" s="1"/>
  <c r="M124" i="12" s="1"/>
  <c r="F130" i="12"/>
  <c r="H123" i="12" s="1"/>
  <c r="I96" i="12"/>
  <c r="F96" i="12"/>
  <c r="G51" i="12"/>
  <c r="F51" i="12"/>
  <c r="G49" i="12"/>
  <c r="G50" i="12" s="1"/>
  <c r="F49" i="12"/>
  <c r="F50" i="12" s="1"/>
  <c r="G48" i="12"/>
  <c r="I38" i="12" s="1"/>
  <c r="M38" i="12" s="1"/>
  <c r="F48" i="12"/>
  <c r="H43" i="12" s="1"/>
  <c r="I4" i="12"/>
  <c r="F4" i="12"/>
  <c r="D272" i="11" l="1"/>
  <c r="N278" i="11"/>
  <c r="Q278" i="11" s="1"/>
  <c r="E278" i="11" s="1"/>
  <c r="G275" i="11"/>
  <c r="I275" i="11" s="1"/>
  <c r="C272" i="11"/>
  <c r="F338" i="12"/>
  <c r="I18" i="12"/>
  <c r="M18" i="12" s="1"/>
  <c r="H170" i="12"/>
  <c r="L170" i="12" s="1"/>
  <c r="I209" i="12"/>
  <c r="M209" i="12" s="1"/>
  <c r="I152" i="12"/>
  <c r="M152" i="12" s="1"/>
  <c r="I156" i="12"/>
  <c r="M156" i="12" s="1"/>
  <c r="I168" i="12"/>
  <c r="M168" i="12" s="1"/>
  <c r="I166" i="12"/>
  <c r="M166" i="12" s="1"/>
  <c r="I158" i="12"/>
  <c r="M158" i="12" s="1"/>
  <c r="I21" i="12"/>
  <c r="M21" i="12" s="1"/>
  <c r="I162" i="12"/>
  <c r="M162" i="12" s="1"/>
  <c r="H120" i="12"/>
  <c r="L120" i="12" s="1"/>
  <c r="H212" i="12"/>
  <c r="L212" i="12" s="1"/>
  <c r="I27" i="12"/>
  <c r="M27" i="12" s="1"/>
  <c r="H201" i="12"/>
  <c r="L201" i="12" s="1"/>
  <c r="H215" i="12"/>
  <c r="I11" i="12"/>
  <c r="M11" i="12" s="1"/>
  <c r="I34" i="12"/>
  <c r="M34" i="12" s="1"/>
  <c r="H157" i="12"/>
  <c r="L157" i="12" s="1"/>
  <c r="H168" i="12"/>
  <c r="L168" i="12" s="1"/>
  <c r="H205" i="12"/>
  <c r="L205" i="12" s="1"/>
  <c r="I215" i="12"/>
  <c r="M215" i="12" s="1"/>
  <c r="I105" i="12"/>
  <c r="M105" i="12" s="1"/>
  <c r="H219" i="12"/>
  <c r="L219" i="12" s="1"/>
  <c r="H223" i="12"/>
  <c r="L223" i="12" s="1"/>
  <c r="H30" i="12"/>
  <c r="L30" i="12" s="1"/>
  <c r="H38" i="12"/>
  <c r="L38" i="12" s="1"/>
  <c r="I112" i="12"/>
  <c r="M112" i="12" s="1"/>
  <c r="I163" i="12"/>
  <c r="M163" i="12" s="1"/>
  <c r="I169" i="12"/>
  <c r="M169" i="12" s="1"/>
  <c r="H202" i="12"/>
  <c r="L202" i="12" s="1"/>
  <c r="H210" i="12"/>
  <c r="L210" i="12" s="1"/>
  <c r="H213" i="12"/>
  <c r="L213" i="12" s="1"/>
  <c r="I16" i="12"/>
  <c r="M16" i="12" s="1"/>
  <c r="H22" i="12"/>
  <c r="L22" i="12" s="1"/>
  <c r="I32" i="12"/>
  <c r="M32" i="12" s="1"/>
  <c r="I154" i="12"/>
  <c r="M154" i="12" s="1"/>
  <c r="I160" i="12"/>
  <c r="M160" i="12" s="1"/>
  <c r="I164" i="12"/>
  <c r="M164" i="12" s="1"/>
  <c r="I173" i="12"/>
  <c r="M173" i="12" s="1"/>
  <c r="I176" i="12"/>
  <c r="M176" i="12" s="1"/>
  <c r="H203" i="12"/>
  <c r="L203" i="12" s="1"/>
  <c r="I207" i="12"/>
  <c r="M207" i="12" s="1"/>
  <c r="H211" i="12"/>
  <c r="L211" i="12" s="1"/>
  <c r="I213" i="12"/>
  <c r="M213" i="12" s="1"/>
  <c r="H216" i="12"/>
  <c r="L216" i="12" s="1"/>
  <c r="H222" i="12"/>
  <c r="L222" i="12" s="1"/>
  <c r="I224" i="12"/>
  <c r="M224" i="12" s="1"/>
  <c r="I171" i="12"/>
  <c r="M171" i="12" s="1"/>
  <c r="I175" i="12"/>
  <c r="M175" i="12" s="1"/>
  <c r="H14" i="12"/>
  <c r="L14" i="12" s="1"/>
  <c r="I153" i="12"/>
  <c r="M153" i="12" s="1"/>
  <c r="I159" i="12"/>
  <c r="M159" i="12" s="1"/>
  <c r="I167" i="12"/>
  <c r="M167" i="12" s="1"/>
  <c r="I172" i="12"/>
  <c r="M172" i="12" s="1"/>
  <c r="H206" i="12"/>
  <c r="L206" i="12" s="1"/>
  <c r="H220" i="12"/>
  <c r="L220" i="12" s="1"/>
  <c r="H224" i="12"/>
  <c r="L224" i="12" s="1"/>
  <c r="H10" i="12"/>
  <c r="L10" i="12" s="1"/>
  <c r="H18" i="12"/>
  <c r="L18" i="12" s="1"/>
  <c r="H26" i="12"/>
  <c r="L26" i="12" s="1"/>
  <c r="H34" i="12"/>
  <c r="L34" i="12" s="1"/>
  <c r="H42" i="12"/>
  <c r="L42" i="12" s="1"/>
  <c r="I151" i="12"/>
  <c r="M151" i="12" s="1"/>
  <c r="I155" i="12"/>
  <c r="M155" i="12" s="1"/>
  <c r="I157" i="12"/>
  <c r="M157" i="12" s="1"/>
  <c r="I161" i="12"/>
  <c r="M161" i="12" s="1"/>
  <c r="I165" i="12"/>
  <c r="M165" i="12" s="1"/>
  <c r="I170" i="12"/>
  <c r="M170" i="12" s="1"/>
  <c r="H200" i="12"/>
  <c r="L200" i="12" s="1"/>
  <c r="H204" i="12"/>
  <c r="L204" i="12" s="1"/>
  <c r="H209" i="12"/>
  <c r="L209" i="12" s="1"/>
  <c r="I211" i="12"/>
  <c r="M211" i="12" s="1"/>
  <c r="H214" i="12"/>
  <c r="L214" i="12" s="1"/>
  <c r="H218" i="12"/>
  <c r="L218" i="12" s="1"/>
  <c r="I222" i="12"/>
  <c r="M222" i="12" s="1"/>
  <c r="H225" i="12"/>
  <c r="L225" i="12" s="1"/>
  <c r="I283" i="12"/>
  <c r="I287" i="12"/>
  <c r="M287" i="12" s="1"/>
  <c r="I201" i="12"/>
  <c r="M201" i="12" s="1"/>
  <c r="I205" i="12"/>
  <c r="M205" i="12" s="1"/>
  <c r="I220" i="12"/>
  <c r="M220" i="12" s="1"/>
  <c r="H151" i="12"/>
  <c r="L151" i="12" s="1"/>
  <c r="H154" i="12"/>
  <c r="L154" i="12" s="1"/>
  <c r="H156" i="12"/>
  <c r="L156" i="12" s="1"/>
  <c r="H173" i="12"/>
  <c r="L173" i="12" s="1"/>
  <c r="I200" i="12"/>
  <c r="M200" i="12" s="1"/>
  <c r="I208" i="12"/>
  <c r="M208" i="12" s="1"/>
  <c r="I210" i="12"/>
  <c r="M210" i="12" s="1"/>
  <c r="I212" i="12"/>
  <c r="M212" i="12" s="1"/>
  <c r="I214" i="12"/>
  <c r="M214" i="12" s="1"/>
  <c r="I216" i="12"/>
  <c r="M216" i="12" s="1"/>
  <c r="I221" i="12"/>
  <c r="M221" i="12" s="1"/>
  <c r="I223" i="12"/>
  <c r="M223" i="12" s="1"/>
  <c r="I225" i="12"/>
  <c r="M225" i="12" s="1"/>
  <c r="I291" i="12"/>
  <c r="M291" i="12" s="1"/>
  <c r="I203" i="12"/>
  <c r="M203" i="12" s="1"/>
  <c r="I218" i="12"/>
  <c r="M218" i="12" s="1"/>
  <c r="G52" i="12"/>
  <c r="H162" i="12"/>
  <c r="L162" i="12" s="1"/>
  <c r="H164" i="12"/>
  <c r="L164" i="12" s="1"/>
  <c r="H171" i="12"/>
  <c r="I202" i="12"/>
  <c r="M202" i="12" s="1"/>
  <c r="I204" i="12"/>
  <c r="M204" i="12" s="1"/>
  <c r="I206" i="12"/>
  <c r="M206" i="12" s="1"/>
  <c r="I217" i="12"/>
  <c r="M217" i="12" s="1"/>
  <c r="I281" i="12"/>
  <c r="M281" i="12" s="1"/>
  <c r="I42" i="12"/>
  <c r="M42" i="12" s="1"/>
  <c r="I12" i="12"/>
  <c r="M12" i="12" s="1"/>
  <c r="I23" i="12"/>
  <c r="M23" i="12" s="1"/>
  <c r="I10" i="12"/>
  <c r="M10" i="12" s="1"/>
  <c r="I13" i="12"/>
  <c r="M13" i="12" s="1"/>
  <c r="I19" i="12"/>
  <c r="M19" i="12" s="1"/>
  <c r="I24" i="12"/>
  <c r="M24" i="12" s="1"/>
  <c r="I26" i="12"/>
  <c r="M26" i="12" s="1"/>
  <c r="I29" i="12"/>
  <c r="M29" i="12" s="1"/>
  <c r="I35" i="12"/>
  <c r="M35" i="12" s="1"/>
  <c r="I39" i="12"/>
  <c r="M39" i="12" s="1"/>
  <c r="I43" i="12"/>
  <c r="M43" i="12" s="1"/>
  <c r="H104" i="12"/>
  <c r="L104" i="12" s="1"/>
  <c r="H108" i="12"/>
  <c r="H116" i="12"/>
  <c r="L116" i="12" s="1"/>
  <c r="H124" i="12"/>
  <c r="L124" i="12" s="1"/>
  <c r="H153" i="12"/>
  <c r="L153" i="12" s="1"/>
  <c r="H155" i="12"/>
  <c r="L155" i="12" s="1"/>
  <c r="H158" i="12"/>
  <c r="H159" i="12"/>
  <c r="H161" i="12"/>
  <c r="L161" i="12" s="1"/>
  <c r="H163" i="12"/>
  <c r="L163" i="12" s="1"/>
  <c r="H172" i="12"/>
  <c r="L172" i="12" s="1"/>
  <c r="H174" i="12"/>
  <c r="J174" i="12" s="1"/>
  <c r="I324" i="12"/>
  <c r="M324" i="12" s="1"/>
  <c r="I14" i="12"/>
  <c r="M14" i="12" s="1"/>
  <c r="I17" i="12"/>
  <c r="M17" i="12" s="1"/>
  <c r="I28" i="12"/>
  <c r="M28" i="12" s="1"/>
  <c r="I30" i="12"/>
  <c r="M30" i="12" s="1"/>
  <c r="I33" i="12"/>
  <c r="M33" i="12" s="1"/>
  <c r="I37" i="12"/>
  <c r="M37" i="12" s="1"/>
  <c r="I41" i="12"/>
  <c r="M41" i="12" s="1"/>
  <c r="H103" i="12"/>
  <c r="L103" i="12" s="1"/>
  <c r="H107" i="12"/>
  <c r="L107" i="12" s="1"/>
  <c r="H115" i="12"/>
  <c r="L115" i="12" s="1"/>
  <c r="I120" i="12"/>
  <c r="M120" i="12" s="1"/>
  <c r="H175" i="12"/>
  <c r="L175" i="12" s="1"/>
  <c r="I15" i="12"/>
  <c r="M15" i="12" s="1"/>
  <c r="I20" i="12"/>
  <c r="M20" i="12" s="1"/>
  <c r="I22" i="12"/>
  <c r="M22" i="12" s="1"/>
  <c r="I25" i="12"/>
  <c r="M25" i="12" s="1"/>
  <c r="I31" i="12"/>
  <c r="M31" i="12" s="1"/>
  <c r="I36" i="12"/>
  <c r="M36" i="12" s="1"/>
  <c r="I40" i="12"/>
  <c r="M40" i="12" s="1"/>
  <c r="H102" i="12"/>
  <c r="L102" i="12" s="1"/>
  <c r="H105" i="12"/>
  <c r="L105" i="12" s="1"/>
  <c r="H112" i="12"/>
  <c r="L112" i="12" s="1"/>
  <c r="H119" i="12"/>
  <c r="L119" i="12" s="1"/>
  <c r="H127" i="12"/>
  <c r="L127" i="12" s="1"/>
  <c r="H152" i="12"/>
  <c r="L152" i="12" s="1"/>
  <c r="H160" i="12"/>
  <c r="L160" i="12" s="1"/>
  <c r="H169" i="12"/>
  <c r="L169" i="12" s="1"/>
  <c r="G232" i="12"/>
  <c r="H282" i="12"/>
  <c r="L282" i="12" s="1"/>
  <c r="H324" i="12"/>
  <c r="L324" i="12" s="1"/>
  <c r="H329" i="12"/>
  <c r="L329" i="12" s="1"/>
  <c r="H322" i="12"/>
  <c r="L322" i="12" s="1"/>
  <c r="H327" i="12"/>
  <c r="L327" i="12" s="1"/>
  <c r="H330" i="12"/>
  <c r="L330" i="12" s="1"/>
  <c r="H325" i="12"/>
  <c r="L325" i="12" s="1"/>
  <c r="H328" i="12"/>
  <c r="L328" i="12" s="1"/>
  <c r="H323" i="12"/>
  <c r="L323" i="12" s="1"/>
  <c r="H326" i="12"/>
  <c r="L326" i="12" s="1"/>
  <c r="H331" i="12"/>
  <c r="L331" i="12" s="1"/>
  <c r="H281" i="12"/>
  <c r="L281" i="12" s="1"/>
  <c r="H283" i="12"/>
  <c r="L283" i="12" s="1"/>
  <c r="H285" i="12"/>
  <c r="L285" i="12" s="1"/>
  <c r="H294" i="12"/>
  <c r="L294" i="12" s="1"/>
  <c r="H296" i="12"/>
  <c r="L296" i="12" s="1"/>
  <c r="H287" i="12"/>
  <c r="L287" i="12" s="1"/>
  <c r="H290" i="12"/>
  <c r="L290" i="12" s="1"/>
  <c r="H292" i="12"/>
  <c r="L292" i="12" s="1"/>
  <c r="H295" i="12"/>
  <c r="L295" i="12" s="1"/>
  <c r="H297" i="12"/>
  <c r="L297" i="12" s="1"/>
  <c r="H284" i="12"/>
  <c r="L284" i="12" s="1"/>
  <c r="H289" i="12"/>
  <c r="L289" i="12" s="1"/>
  <c r="H298" i="12"/>
  <c r="L298" i="12" s="1"/>
  <c r="H286" i="12"/>
  <c r="L286" i="12" s="1"/>
  <c r="H288" i="12"/>
  <c r="L288" i="12" s="1"/>
  <c r="H291" i="12"/>
  <c r="L291" i="12" s="1"/>
  <c r="H293" i="12"/>
  <c r="L293" i="12" s="1"/>
  <c r="H207" i="12"/>
  <c r="H208" i="12"/>
  <c r="L208" i="12" s="1"/>
  <c r="H217" i="12"/>
  <c r="L176" i="12"/>
  <c r="H165" i="12"/>
  <c r="H166" i="12"/>
  <c r="H167" i="12"/>
  <c r="H106" i="12"/>
  <c r="L106" i="12" s="1"/>
  <c r="H111" i="12"/>
  <c r="L111" i="12" s="1"/>
  <c r="L43" i="12"/>
  <c r="L123" i="12"/>
  <c r="H17" i="12"/>
  <c r="H21" i="12"/>
  <c r="H25" i="12"/>
  <c r="H29" i="12"/>
  <c r="H33" i="12"/>
  <c r="H37" i="12"/>
  <c r="H41" i="12"/>
  <c r="H45" i="12"/>
  <c r="I104" i="12"/>
  <c r="M104" i="12" s="1"/>
  <c r="I109" i="12"/>
  <c r="M109" i="12" s="1"/>
  <c r="I117" i="12"/>
  <c r="M117" i="12" s="1"/>
  <c r="I125" i="12"/>
  <c r="M125" i="12" s="1"/>
  <c r="H12" i="12"/>
  <c r="H16" i="12"/>
  <c r="H20" i="12"/>
  <c r="H24" i="12"/>
  <c r="H28" i="12"/>
  <c r="H32" i="12"/>
  <c r="H36" i="12"/>
  <c r="H40" i="12"/>
  <c r="H44" i="12"/>
  <c r="I45" i="12"/>
  <c r="M45" i="12" s="1"/>
  <c r="F52" i="12"/>
  <c r="I103" i="12"/>
  <c r="M103" i="12" s="1"/>
  <c r="I108" i="12"/>
  <c r="M108" i="12" s="1"/>
  <c r="I116" i="12"/>
  <c r="M116" i="12" s="1"/>
  <c r="L171" i="12"/>
  <c r="G134" i="12"/>
  <c r="I126" i="12"/>
  <c r="M126" i="12" s="1"/>
  <c r="I122" i="12"/>
  <c r="M122" i="12" s="1"/>
  <c r="I118" i="12"/>
  <c r="M118" i="12" s="1"/>
  <c r="I114" i="12"/>
  <c r="M114" i="12" s="1"/>
  <c r="I110" i="12"/>
  <c r="M110" i="12" s="1"/>
  <c r="I127" i="12"/>
  <c r="M127" i="12" s="1"/>
  <c r="I123" i="12"/>
  <c r="M123" i="12" s="1"/>
  <c r="I119" i="12"/>
  <c r="M119" i="12" s="1"/>
  <c r="I115" i="12"/>
  <c r="M115" i="12" s="1"/>
  <c r="I111" i="12"/>
  <c r="M111" i="12" s="1"/>
  <c r="I107" i="12"/>
  <c r="M107" i="12" s="1"/>
  <c r="H13" i="12"/>
  <c r="H11" i="12"/>
  <c r="H15" i="12"/>
  <c r="H19" i="12"/>
  <c r="H23" i="12"/>
  <c r="H27" i="12"/>
  <c r="H31" i="12"/>
  <c r="H35" i="12"/>
  <c r="H39" i="12"/>
  <c r="I44" i="12"/>
  <c r="M44" i="12" s="1"/>
  <c r="I102" i="12"/>
  <c r="I106" i="12"/>
  <c r="I113" i="12"/>
  <c r="M113" i="12" s="1"/>
  <c r="I121" i="12"/>
  <c r="M121" i="12" s="1"/>
  <c r="H125" i="12"/>
  <c r="H121" i="12"/>
  <c r="H117" i="12"/>
  <c r="H113" i="12"/>
  <c r="H109" i="12"/>
  <c r="F134" i="12"/>
  <c r="H126" i="12"/>
  <c r="H122" i="12"/>
  <c r="H118" i="12"/>
  <c r="H114" i="12"/>
  <c r="H110" i="12"/>
  <c r="M295" i="12"/>
  <c r="F183" i="12"/>
  <c r="G183" i="12"/>
  <c r="F230" i="12"/>
  <c r="F232" i="12"/>
  <c r="I296" i="12"/>
  <c r="I292" i="12"/>
  <c r="I288" i="12"/>
  <c r="I284" i="12"/>
  <c r="G305" i="12"/>
  <c r="I297" i="12"/>
  <c r="M297" i="12" s="1"/>
  <c r="I293" i="12"/>
  <c r="M293" i="12" s="1"/>
  <c r="I289" i="12"/>
  <c r="M289" i="12" s="1"/>
  <c r="I285" i="12"/>
  <c r="M285" i="12" s="1"/>
  <c r="I298" i="12"/>
  <c r="M298" i="12" s="1"/>
  <c r="I294" i="12"/>
  <c r="M294" i="12" s="1"/>
  <c r="I290" i="12"/>
  <c r="M290" i="12" s="1"/>
  <c r="I286" i="12"/>
  <c r="M286" i="12" s="1"/>
  <c r="I282" i="12"/>
  <c r="I329" i="12"/>
  <c r="I325" i="12"/>
  <c r="G338" i="12"/>
  <c r="I330" i="12"/>
  <c r="M330" i="12" s="1"/>
  <c r="I326" i="12"/>
  <c r="I322" i="12"/>
  <c r="I331" i="12"/>
  <c r="M331" i="12" s="1"/>
  <c r="I327" i="12"/>
  <c r="M327" i="12" s="1"/>
  <c r="I323" i="12"/>
  <c r="M323" i="12" s="1"/>
  <c r="F305" i="12"/>
  <c r="G304" i="11"/>
  <c r="F304" i="11"/>
  <c r="G302" i="11"/>
  <c r="G303" i="11" s="1"/>
  <c r="F302" i="11"/>
  <c r="F303" i="11" s="1"/>
  <c r="G301" i="11"/>
  <c r="I289" i="11" s="1"/>
  <c r="M289" i="11" s="1"/>
  <c r="F301" i="11"/>
  <c r="H297" i="11" s="1"/>
  <c r="L297" i="11" s="1"/>
  <c r="I297" i="11"/>
  <c r="M297" i="11" s="1"/>
  <c r="I293" i="11"/>
  <c r="M293" i="11" s="1"/>
  <c r="I283" i="11"/>
  <c r="F283" i="11"/>
  <c r="I278" i="11" l="1"/>
  <c r="N243" i="11" s="1"/>
  <c r="G278" i="11"/>
  <c r="L243" i="11" s="1"/>
  <c r="L301" i="12"/>
  <c r="J214" i="12"/>
  <c r="J151" i="12"/>
  <c r="J22" i="12"/>
  <c r="J157" i="12"/>
  <c r="J172" i="12"/>
  <c r="H180" i="12"/>
  <c r="H181" i="12" s="1"/>
  <c r="J14" i="12"/>
  <c r="J215" i="12"/>
  <c r="L215" i="12"/>
  <c r="J170" i="12"/>
  <c r="J104" i="12"/>
  <c r="J156" i="12"/>
  <c r="J42" i="12"/>
  <c r="J218" i="12"/>
  <c r="J213" i="12"/>
  <c r="J108" i="12"/>
  <c r="J291" i="12"/>
  <c r="I180" i="12"/>
  <c r="I181" i="12" s="1"/>
  <c r="J18" i="12"/>
  <c r="J219" i="12"/>
  <c r="J209" i="12"/>
  <c r="J283" i="12"/>
  <c r="J200" i="12"/>
  <c r="H179" i="12"/>
  <c r="M283" i="12"/>
  <c r="J38" i="12"/>
  <c r="J124" i="12"/>
  <c r="J169" i="12"/>
  <c r="J154" i="12"/>
  <c r="J222" i="12"/>
  <c r="J201" i="12"/>
  <c r="J168" i="12"/>
  <c r="J225" i="12"/>
  <c r="M179" i="12"/>
  <c r="J167" i="12"/>
  <c r="H302" i="12"/>
  <c r="H303" i="12" s="1"/>
  <c r="J216" i="12"/>
  <c r="I179" i="12"/>
  <c r="H229" i="12"/>
  <c r="H230" i="12" s="1"/>
  <c r="J34" i="12"/>
  <c r="J173" i="12"/>
  <c r="J223" i="12"/>
  <c r="J224" i="12"/>
  <c r="H228" i="12"/>
  <c r="L167" i="12"/>
  <c r="J171" i="12"/>
  <c r="J176" i="12"/>
  <c r="J211" i="12"/>
  <c r="J205" i="12"/>
  <c r="J210" i="12"/>
  <c r="J221" i="12"/>
  <c r="I229" i="12"/>
  <c r="I230" i="12" s="1"/>
  <c r="J208" i="12"/>
  <c r="J161" i="12"/>
  <c r="L108" i="12"/>
  <c r="J202" i="12"/>
  <c r="J152" i="12"/>
  <c r="J162" i="12"/>
  <c r="J206" i="12"/>
  <c r="J212" i="12"/>
  <c r="I228" i="12"/>
  <c r="J163" i="12"/>
  <c r="J220" i="12"/>
  <c r="J204" i="12"/>
  <c r="J164" i="12"/>
  <c r="J153" i="12"/>
  <c r="L174" i="12"/>
  <c r="J203" i="12"/>
  <c r="J297" i="12"/>
  <c r="L158" i="12"/>
  <c r="J158" i="12"/>
  <c r="J112" i="12"/>
  <c r="J26" i="12"/>
  <c r="J10" i="12"/>
  <c r="J281" i="12"/>
  <c r="J287" i="12"/>
  <c r="J330" i="12"/>
  <c r="J175" i="12"/>
  <c r="J120" i="12"/>
  <c r="J160" i="12"/>
  <c r="J127" i="12"/>
  <c r="J43" i="12"/>
  <c r="J331" i="12"/>
  <c r="H301" i="12"/>
  <c r="M48" i="12"/>
  <c r="J324" i="12"/>
  <c r="J294" i="12"/>
  <c r="M228" i="12"/>
  <c r="J30" i="12"/>
  <c r="J105" i="12"/>
  <c r="J155" i="12"/>
  <c r="J159" i="12"/>
  <c r="L159" i="12"/>
  <c r="J327" i="12"/>
  <c r="H335" i="12"/>
  <c r="H336" i="12" s="1"/>
  <c r="H334" i="12"/>
  <c r="J328" i="12"/>
  <c r="J298" i="12"/>
  <c r="J295" i="12"/>
  <c r="J293" i="12"/>
  <c r="L217" i="12"/>
  <c r="J217" i="12"/>
  <c r="J207" i="12"/>
  <c r="L207" i="12"/>
  <c r="J166" i="12"/>
  <c r="L166" i="12"/>
  <c r="J165" i="12"/>
  <c r="L165" i="12"/>
  <c r="J326" i="12"/>
  <c r="M326" i="12"/>
  <c r="J106" i="12"/>
  <c r="M106" i="12"/>
  <c r="L19" i="12"/>
  <c r="J19" i="12"/>
  <c r="H49" i="12"/>
  <c r="H50" i="12" s="1"/>
  <c r="I49" i="12"/>
  <c r="I50" i="12" s="1"/>
  <c r="J33" i="12"/>
  <c r="L33" i="12"/>
  <c r="M292" i="12"/>
  <c r="J292" i="12"/>
  <c r="J290" i="12"/>
  <c r="J323" i="12"/>
  <c r="J289" i="12"/>
  <c r="L118" i="12"/>
  <c r="J118" i="12"/>
  <c r="L109" i="12"/>
  <c r="J109" i="12"/>
  <c r="L125" i="12"/>
  <c r="J125" i="12"/>
  <c r="I130" i="12"/>
  <c r="I131" i="12"/>
  <c r="I132" i="12" s="1"/>
  <c r="M102" i="12"/>
  <c r="M130" i="12" s="1"/>
  <c r="J102" i="12"/>
  <c r="L31" i="12"/>
  <c r="J31" i="12"/>
  <c r="L15" i="12"/>
  <c r="J15" i="12"/>
  <c r="H130" i="12"/>
  <c r="L44" i="12"/>
  <c r="J44" i="12"/>
  <c r="J36" i="12"/>
  <c r="L36" i="12"/>
  <c r="J28" i="12"/>
  <c r="L28" i="12"/>
  <c r="J20" i="12"/>
  <c r="L20" i="12"/>
  <c r="J12" i="12"/>
  <c r="L12" i="12"/>
  <c r="J116" i="12"/>
  <c r="J45" i="12"/>
  <c r="L45" i="12"/>
  <c r="J29" i="12"/>
  <c r="L29" i="12"/>
  <c r="I48" i="12"/>
  <c r="M288" i="12"/>
  <c r="J288" i="12"/>
  <c r="J285" i="12"/>
  <c r="L121" i="12"/>
  <c r="J121" i="12"/>
  <c r="L35" i="12"/>
  <c r="J35" i="12"/>
  <c r="J115" i="12"/>
  <c r="J17" i="12"/>
  <c r="L17" i="12"/>
  <c r="J103" i="12"/>
  <c r="M329" i="12"/>
  <c r="J329" i="12"/>
  <c r="I302" i="12"/>
  <c r="I303" i="12" s="1"/>
  <c r="M282" i="12"/>
  <c r="J282" i="12"/>
  <c r="M296" i="12"/>
  <c r="J296" i="12"/>
  <c r="L334" i="12"/>
  <c r="J286" i="12"/>
  <c r="H131" i="12"/>
  <c r="H132" i="12" s="1"/>
  <c r="J122" i="12"/>
  <c r="L122" i="12"/>
  <c r="L113" i="12"/>
  <c r="J113" i="12"/>
  <c r="L27" i="12"/>
  <c r="J27" i="12"/>
  <c r="J11" i="12"/>
  <c r="L11" i="12"/>
  <c r="J119" i="12"/>
  <c r="J107" i="12"/>
  <c r="J41" i="12"/>
  <c r="L41" i="12"/>
  <c r="J25" i="12"/>
  <c r="L25" i="12"/>
  <c r="M325" i="12"/>
  <c r="J325" i="12"/>
  <c r="J114" i="12"/>
  <c r="L114" i="12"/>
  <c r="J322" i="12"/>
  <c r="I334" i="12"/>
  <c r="M322" i="12"/>
  <c r="I335" i="12"/>
  <c r="I336" i="12" s="1"/>
  <c r="M284" i="12"/>
  <c r="J284" i="12"/>
  <c r="I301" i="12"/>
  <c r="L110" i="12"/>
  <c r="J110" i="12"/>
  <c r="L126" i="12"/>
  <c r="J126" i="12"/>
  <c r="L117" i="12"/>
  <c r="J117" i="12"/>
  <c r="L39" i="12"/>
  <c r="J39" i="12"/>
  <c r="L23" i="12"/>
  <c r="J23" i="12"/>
  <c r="J13" i="12"/>
  <c r="L13" i="12"/>
  <c r="J111" i="12"/>
  <c r="H48" i="12"/>
  <c r="J40" i="12"/>
  <c r="L40" i="12"/>
  <c r="J32" i="12"/>
  <c r="L32" i="12"/>
  <c r="L24" i="12"/>
  <c r="J24" i="12"/>
  <c r="J16" i="12"/>
  <c r="L16" i="12"/>
  <c r="J37" i="12"/>
  <c r="L37" i="12"/>
  <c r="J21" i="12"/>
  <c r="L21" i="12"/>
  <c r="J123" i="12"/>
  <c r="H292" i="11"/>
  <c r="L292" i="11" s="1"/>
  <c r="H289" i="11"/>
  <c r="L289" i="11" s="1"/>
  <c r="H293" i="11"/>
  <c r="L293" i="11" s="1"/>
  <c r="H298" i="11"/>
  <c r="L298" i="11" s="1"/>
  <c r="H291" i="11"/>
  <c r="L291" i="11" s="1"/>
  <c r="H296" i="11"/>
  <c r="L296" i="11" s="1"/>
  <c r="H290" i="11"/>
  <c r="L290" i="11" s="1"/>
  <c r="H294" i="11"/>
  <c r="L294" i="11" s="1"/>
  <c r="H295" i="11"/>
  <c r="L295" i="11" s="1"/>
  <c r="F305" i="11"/>
  <c r="I296" i="11"/>
  <c r="M296" i="11" s="1"/>
  <c r="I295" i="11"/>
  <c r="M295" i="11" s="1"/>
  <c r="J297" i="11"/>
  <c r="I291" i="11"/>
  <c r="M291" i="11" s="1"/>
  <c r="I292" i="11"/>
  <c r="M292" i="11" s="1"/>
  <c r="I294" i="11"/>
  <c r="M294" i="11" s="1"/>
  <c r="I298" i="11"/>
  <c r="M298" i="11" s="1"/>
  <c r="G305" i="11"/>
  <c r="I290" i="11"/>
  <c r="J334" i="12" l="1"/>
  <c r="L228" i="12"/>
  <c r="N228" i="12" s="1"/>
  <c r="J228" i="12"/>
  <c r="L179" i="12"/>
  <c r="N179" i="12" s="1"/>
  <c r="J179" i="12"/>
  <c r="L130" i="12"/>
  <c r="N130" i="12" s="1"/>
  <c r="J301" i="12"/>
  <c r="B275" i="12" s="1"/>
  <c r="B277" i="12" s="1"/>
  <c r="M301" i="12"/>
  <c r="N301" i="12" s="1"/>
  <c r="J48" i="12"/>
  <c r="B316" i="12"/>
  <c r="B318" i="12" s="1"/>
  <c r="L48" i="12"/>
  <c r="N48" i="12" s="1"/>
  <c r="J130" i="12"/>
  <c r="M334" i="12"/>
  <c r="N334" i="12" s="1"/>
  <c r="B319" i="12" s="1"/>
  <c r="J293" i="11"/>
  <c r="J289" i="11"/>
  <c r="H301" i="11"/>
  <c r="J295" i="11"/>
  <c r="L301" i="11"/>
  <c r="H302" i="11"/>
  <c r="H303" i="11" s="1"/>
  <c r="I301" i="11"/>
  <c r="J298" i="11"/>
  <c r="J296" i="11"/>
  <c r="I302" i="11"/>
  <c r="I303" i="11" s="1"/>
  <c r="J292" i="11"/>
  <c r="J294" i="11"/>
  <c r="M290" i="11"/>
  <c r="J290" i="11"/>
  <c r="J291" i="11"/>
  <c r="B278" i="12" l="1"/>
  <c r="B279" i="12" s="1"/>
  <c r="C279" i="12" s="1"/>
  <c r="B194" i="12"/>
  <c r="B196" i="12" s="1"/>
  <c r="B197" i="12"/>
  <c r="B195" i="12" s="1"/>
  <c r="B145" i="12"/>
  <c r="B147" i="12" s="1"/>
  <c r="B7" i="12"/>
  <c r="B5" i="12" s="1"/>
  <c r="B148" i="12"/>
  <c r="B146" i="12" s="1"/>
  <c r="B4" i="12"/>
  <c r="B6" i="12" s="1"/>
  <c r="B317" i="12"/>
  <c r="C331" i="12" s="1"/>
  <c r="D331" i="12" s="1"/>
  <c r="B320" i="12"/>
  <c r="C320" i="12" s="1"/>
  <c r="B99" i="12"/>
  <c r="B96" i="12"/>
  <c r="B98" i="12" s="1"/>
  <c r="J301" i="11"/>
  <c r="B283" i="11" s="1"/>
  <c r="B285" i="11" s="1"/>
  <c r="M301" i="11"/>
  <c r="N301" i="11" s="1"/>
  <c r="B286" i="11" l="1"/>
  <c r="B8" i="12"/>
  <c r="C8" i="12" s="1"/>
  <c r="B198" i="12"/>
  <c r="C198" i="12" s="1"/>
  <c r="B276" i="12"/>
  <c r="C297" i="12" s="1"/>
  <c r="D297" i="12" s="1"/>
  <c r="C173" i="12"/>
  <c r="D173" i="12" s="1"/>
  <c r="C223" i="12"/>
  <c r="D223" i="12" s="1"/>
  <c r="J146" i="12"/>
  <c r="C157" i="12"/>
  <c r="D157" i="12" s="1"/>
  <c r="C175" i="12"/>
  <c r="D175" i="12" s="1"/>
  <c r="C174" i="12"/>
  <c r="D174" i="12" s="1"/>
  <c r="C168" i="12"/>
  <c r="D168" i="12" s="1"/>
  <c r="C176" i="12"/>
  <c r="D176" i="12" s="1"/>
  <c r="C159" i="12"/>
  <c r="D159" i="12" s="1"/>
  <c r="C170" i="12"/>
  <c r="D170" i="12" s="1"/>
  <c r="C161" i="12"/>
  <c r="D161" i="12" s="1"/>
  <c r="C153" i="12"/>
  <c r="D153" i="12" s="1"/>
  <c r="C154" i="12"/>
  <c r="D154" i="12" s="1"/>
  <c r="C167" i="12"/>
  <c r="D167" i="12" s="1"/>
  <c r="B149" i="12"/>
  <c r="C149" i="12" s="1"/>
  <c r="C160" i="12"/>
  <c r="D160" i="12" s="1"/>
  <c r="C172" i="12"/>
  <c r="D172" i="12" s="1"/>
  <c r="C163" i="12"/>
  <c r="D163" i="12" s="1"/>
  <c r="C151" i="12"/>
  <c r="D151" i="12" s="1"/>
  <c r="C158" i="12"/>
  <c r="D158" i="12" s="1"/>
  <c r="C169" i="12"/>
  <c r="D169" i="12" s="1"/>
  <c r="C155" i="12"/>
  <c r="D155" i="12" s="1"/>
  <c r="C165" i="12"/>
  <c r="D165" i="12" s="1"/>
  <c r="C162" i="12"/>
  <c r="D162" i="12" s="1"/>
  <c r="C166" i="12"/>
  <c r="D166" i="12" s="1"/>
  <c r="C152" i="12"/>
  <c r="D152" i="12" s="1"/>
  <c r="C156" i="12"/>
  <c r="D156" i="12" s="1"/>
  <c r="C164" i="12"/>
  <c r="D164" i="12" s="1"/>
  <c r="C171" i="12"/>
  <c r="D171" i="12" s="1"/>
  <c r="C322" i="12"/>
  <c r="C202" i="12"/>
  <c r="D202" i="12" s="1"/>
  <c r="C225" i="12"/>
  <c r="D225" i="12" s="1"/>
  <c r="C325" i="12"/>
  <c r="D325" i="12" s="1"/>
  <c r="C288" i="12"/>
  <c r="D288" i="12" s="1"/>
  <c r="C281" i="12"/>
  <c r="D281" i="12" s="1"/>
  <c r="C328" i="12"/>
  <c r="D328" i="12" s="1"/>
  <c r="C12" i="12"/>
  <c r="D12" i="12" s="1"/>
  <c r="C326" i="12"/>
  <c r="D326" i="12" s="1"/>
  <c r="C283" i="12"/>
  <c r="D283" i="12" s="1"/>
  <c r="C323" i="12"/>
  <c r="D323" i="12" s="1"/>
  <c r="C214" i="12"/>
  <c r="D214" i="12" s="1"/>
  <c r="C14" i="12"/>
  <c r="D14" i="12" s="1"/>
  <c r="C205" i="12"/>
  <c r="D205" i="12" s="1"/>
  <c r="C24" i="12"/>
  <c r="D24" i="12" s="1"/>
  <c r="C207" i="12"/>
  <c r="D207" i="12" s="1"/>
  <c r="C221" i="12"/>
  <c r="D221" i="12" s="1"/>
  <c r="C17" i="12"/>
  <c r="D17" i="12" s="1"/>
  <c r="C210" i="12"/>
  <c r="D210" i="12" s="1"/>
  <c r="C11" i="12"/>
  <c r="D11" i="12" s="1"/>
  <c r="C209" i="12"/>
  <c r="D209" i="12" s="1"/>
  <c r="C208" i="12"/>
  <c r="D208" i="12" s="1"/>
  <c r="C19" i="12"/>
  <c r="D19" i="12" s="1"/>
  <c r="C33" i="12"/>
  <c r="D33" i="12" s="1"/>
  <c r="C329" i="12"/>
  <c r="D329" i="12" s="1"/>
  <c r="C327" i="12"/>
  <c r="D327" i="12" s="1"/>
  <c r="C330" i="12"/>
  <c r="D330" i="12" s="1"/>
  <c r="C324" i="12"/>
  <c r="D324" i="12" s="1"/>
  <c r="C282" i="12"/>
  <c r="D282" i="12" s="1"/>
  <c r="C289" i="12"/>
  <c r="D289" i="12" s="1"/>
  <c r="C218" i="12"/>
  <c r="D218" i="12" s="1"/>
  <c r="C206" i="12"/>
  <c r="D206" i="12" s="1"/>
  <c r="C222" i="12"/>
  <c r="D222" i="12" s="1"/>
  <c r="C212" i="12"/>
  <c r="D212" i="12" s="1"/>
  <c r="C211" i="12"/>
  <c r="D211" i="12" s="1"/>
  <c r="C217" i="12"/>
  <c r="D217" i="12" s="1"/>
  <c r="C201" i="12"/>
  <c r="D201" i="12" s="1"/>
  <c r="C213" i="12"/>
  <c r="D213" i="12" s="1"/>
  <c r="C200" i="12"/>
  <c r="D200" i="12" s="1"/>
  <c r="C216" i="12"/>
  <c r="D216" i="12" s="1"/>
  <c r="C219" i="12"/>
  <c r="D219" i="12" s="1"/>
  <c r="C204" i="12"/>
  <c r="D204" i="12" s="1"/>
  <c r="C203" i="12"/>
  <c r="D203" i="12" s="1"/>
  <c r="C27" i="12"/>
  <c r="D27" i="12" s="1"/>
  <c r="C30" i="12"/>
  <c r="D30" i="12" s="1"/>
  <c r="C16" i="12"/>
  <c r="D16" i="12" s="1"/>
  <c r="C35" i="12"/>
  <c r="D35" i="12" s="1"/>
  <c r="G309" i="12"/>
  <c r="I309" i="12" s="1"/>
  <c r="J276" i="12"/>
  <c r="J5" i="12"/>
  <c r="G56" i="12"/>
  <c r="I56" i="12" s="1"/>
  <c r="C292" i="12"/>
  <c r="D292" i="12" s="1"/>
  <c r="C296" i="12"/>
  <c r="D296" i="12" s="1"/>
  <c r="C285" i="12"/>
  <c r="D285" i="12" s="1"/>
  <c r="C40" i="12"/>
  <c r="D40" i="12" s="1"/>
  <c r="C23" i="12"/>
  <c r="D23" i="12" s="1"/>
  <c r="C39" i="12"/>
  <c r="D39" i="12" s="1"/>
  <c r="C32" i="12"/>
  <c r="D32" i="12" s="1"/>
  <c r="C18" i="12"/>
  <c r="D18" i="12" s="1"/>
  <c r="C34" i="12"/>
  <c r="D34" i="12" s="1"/>
  <c r="C28" i="12"/>
  <c r="D28" i="12" s="1"/>
  <c r="C21" i="12"/>
  <c r="D21" i="12" s="1"/>
  <c r="C37" i="12"/>
  <c r="D37" i="12" s="1"/>
  <c r="G236" i="12"/>
  <c r="I236" i="12" s="1"/>
  <c r="J195" i="12"/>
  <c r="B100" i="12"/>
  <c r="C100" i="12" s="1"/>
  <c r="B97" i="12"/>
  <c r="C112" i="12" s="1"/>
  <c r="D112" i="12" s="1"/>
  <c r="G342" i="12"/>
  <c r="I342" i="12" s="1"/>
  <c r="J317" i="12"/>
  <c r="C43" i="12"/>
  <c r="D43" i="12" s="1"/>
  <c r="C44" i="12"/>
  <c r="D44" i="12" s="1"/>
  <c r="C22" i="12"/>
  <c r="D22" i="12" s="1"/>
  <c r="C38" i="12"/>
  <c r="D38" i="12" s="1"/>
  <c r="C36" i="12"/>
  <c r="D36" i="12" s="1"/>
  <c r="C25" i="12"/>
  <c r="D25" i="12" s="1"/>
  <c r="C41" i="12"/>
  <c r="D41" i="12" s="1"/>
  <c r="C287" i="12"/>
  <c r="D287" i="12" s="1"/>
  <c r="C286" i="12"/>
  <c r="D286" i="12" s="1"/>
  <c r="C293" i="12"/>
  <c r="D293" i="12" s="1"/>
  <c r="C220" i="12"/>
  <c r="D220" i="12" s="1"/>
  <c r="C215" i="12"/>
  <c r="D215" i="12" s="1"/>
  <c r="C224" i="12"/>
  <c r="D224" i="12" s="1"/>
  <c r="C15" i="12"/>
  <c r="D15" i="12" s="1"/>
  <c r="C31" i="12"/>
  <c r="D31" i="12" s="1"/>
  <c r="C20" i="12"/>
  <c r="D20" i="12" s="1"/>
  <c r="C10" i="12"/>
  <c r="C26" i="12"/>
  <c r="D26" i="12" s="1"/>
  <c r="C42" i="12"/>
  <c r="D42" i="12" s="1"/>
  <c r="C13" i="12"/>
  <c r="D13" i="12" s="1"/>
  <c r="C29" i="12"/>
  <c r="D29" i="12" s="1"/>
  <c r="C45" i="12"/>
  <c r="D45" i="12" s="1"/>
  <c r="B287" i="11"/>
  <c r="C287" i="11" s="1"/>
  <c r="B284" i="11"/>
  <c r="C294" i="11" s="1"/>
  <c r="D294" i="11" s="1"/>
  <c r="C295" i="12" l="1"/>
  <c r="D295" i="12" s="1"/>
  <c r="C290" i="12"/>
  <c r="D290" i="12" s="1"/>
  <c r="C298" i="12"/>
  <c r="D298" i="12" s="1"/>
  <c r="C291" i="12"/>
  <c r="D291" i="12" s="1"/>
  <c r="D304" i="12" s="1"/>
  <c r="C284" i="12"/>
  <c r="D284" i="12" s="1"/>
  <c r="C294" i="12"/>
  <c r="D294" i="12" s="1"/>
  <c r="C335" i="12"/>
  <c r="C336" i="12" s="1"/>
  <c r="G187" i="12"/>
  <c r="I187" i="12" s="1"/>
  <c r="C182" i="12"/>
  <c r="G186" i="12" s="1"/>
  <c r="I186" i="12" s="1"/>
  <c r="D180" i="12"/>
  <c r="D181" i="12" s="1"/>
  <c r="C179" i="12"/>
  <c r="C180" i="12"/>
  <c r="C181" i="12" s="1"/>
  <c r="D179" i="12"/>
  <c r="D182" i="12"/>
  <c r="D322" i="12"/>
  <c r="D337" i="12" s="1"/>
  <c r="C334" i="12"/>
  <c r="C338" i="12" s="1"/>
  <c r="C111" i="12"/>
  <c r="D111" i="12" s="1"/>
  <c r="C337" i="12"/>
  <c r="N344" i="12" s="1"/>
  <c r="Q344" i="12" s="1"/>
  <c r="E344" i="12" s="1"/>
  <c r="C117" i="12"/>
  <c r="D117" i="12" s="1"/>
  <c r="C121" i="12"/>
  <c r="D121" i="12" s="1"/>
  <c r="C127" i="12"/>
  <c r="D127" i="12" s="1"/>
  <c r="C110" i="12"/>
  <c r="D110" i="12" s="1"/>
  <c r="C105" i="12"/>
  <c r="D105" i="12" s="1"/>
  <c r="C231" i="12"/>
  <c r="C228" i="12"/>
  <c r="G138" i="12"/>
  <c r="I138" i="12" s="1"/>
  <c r="J97" i="12"/>
  <c r="C114" i="12"/>
  <c r="D114" i="12" s="1"/>
  <c r="C125" i="12"/>
  <c r="D125" i="12" s="1"/>
  <c r="C102" i="12"/>
  <c r="C118" i="12"/>
  <c r="D118" i="12" s="1"/>
  <c r="C116" i="12"/>
  <c r="D116" i="12" s="1"/>
  <c r="C115" i="12"/>
  <c r="D115" i="12" s="1"/>
  <c r="C122" i="12"/>
  <c r="D122" i="12" s="1"/>
  <c r="C104" i="12"/>
  <c r="D104" i="12" s="1"/>
  <c r="C103" i="12"/>
  <c r="D103" i="12" s="1"/>
  <c r="C126" i="12"/>
  <c r="D126" i="12" s="1"/>
  <c r="C120" i="12"/>
  <c r="D120" i="12" s="1"/>
  <c r="C119" i="12"/>
  <c r="D119" i="12" s="1"/>
  <c r="D334" i="12"/>
  <c r="D10" i="12"/>
  <c r="C48" i="12"/>
  <c r="C51" i="12"/>
  <c r="C49" i="12"/>
  <c r="C50" i="12" s="1"/>
  <c r="D231" i="12"/>
  <c r="D228" i="12"/>
  <c r="D229" i="12"/>
  <c r="D230" i="12" s="1"/>
  <c r="C229" i="12"/>
  <c r="C230" i="12" s="1"/>
  <c r="C106" i="12"/>
  <c r="D106" i="12" s="1"/>
  <c r="C109" i="12"/>
  <c r="D109" i="12" s="1"/>
  <c r="C113" i="12"/>
  <c r="D113" i="12" s="1"/>
  <c r="C107" i="12"/>
  <c r="D107" i="12" s="1"/>
  <c r="C108" i="12"/>
  <c r="D108" i="12" s="1"/>
  <c r="C124" i="12"/>
  <c r="D124" i="12" s="1"/>
  <c r="C123" i="12"/>
  <c r="D123" i="12" s="1"/>
  <c r="C298" i="11"/>
  <c r="D298" i="11" s="1"/>
  <c r="C296" i="11"/>
  <c r="D296" i="11" s="1"/>
  <c r="J284" i="11"/>
  <c r="G309" i="11"/>
  <c r="I309" i="11" s="1"/>
  <c r="C297" i="11"/>
  <c r="D297" i="11" s="1"/>
  <c r="C295" i="11"/>
  <c r="D295" i="11" s="1"/>
  <c r="C292" i="11"/>
  <c r="D292" i="11" s="1"/>
  <c r="C291" i="11"/>
  <c r="D291" i="11" s="1"/>
  <c r="C289" i="11"/>
  <c r="C293" i="11"/>
  <c r="D293" i="11" s="1"/>
  <c r="C290" i="11"/>
  <c r="D290" i="11" s="1"/>
  <c r="D301" i="12" l="1"/>
  <c r="C302" i="12"/>
  <c r="C303" i="12" s="1"/>
  <c r="D302" i="12"/>
  <c r="D303" i="12" s="1"/>
  <c r="C304" i="12"/>
  <c r="N311" i="12" s="1"/>
  <c r="Q311" i="12" s="1"/>
  <c r="E311" i="12" s="1"/>
  <c r="C301" i="12"/>
  <c r="N189" i="12"/>
  <c r="Q189" i="12" s="1"/>
  <c r="E189" i="12" s="1"/>
  <c r="G189" i="12" s="1"/>
  <c r="L146" i="12" s="1"/>
  <c r="D183" i="12"/>
  <c r="C183" i="12"/>
  <c r="D335" i="12"/>
  <c r="D336" i="12" s="1"/>
  <c r="D305" i="12"/>
  <c r="G341" i="12"/>
  <c r="I341" i="12" s="1"/>
  <c r="C52" i="12"/>
  <c r="D232" i="12"/>
  <c r="G344" i="12"/>
  <c r="L317" i="12" s="1"/>
  <c r="I344" i="12"/>
  <c r="N317" i="12" s="1"/>
  <c r="D48" i="12"/>
  <c r="D51" i="12"/>
  <c r="D49" i="12"/>
  <c r="D50" i="12" s="1"/>
  <c r="C133" i="12"/>
  <c r="C130" i="12"/>
  <c r="C131" i="12"/>
  <c r="C132" i="12" s="1"/>
  <c r="D102" i="12"/>
  <c r="C232" i="12"/>
  <c r="N238" i="12"/>
  <c r="Q238" i="12" s="1"/>
  <c r="E238" i="12" s="1"/>
  <c r="G235" i="12"/>
  <c r="I235" i="12" s="1"/>
  <c r="N58" i="12"/>
  <c r="Q58" i="12" s="1"/>
  <c r="E58" i="12" s="1"/>
  <c r="G55" i="12"/>
  <c r="I55" i="12" s="1"/>
  <c r="C304" i="11"/>
  <c r="C302" i="11"/>
  <c r="C303" i="11" s="1"/>
  <c r="D289" i="11"/>
  <c r="C301" i="11"/>
  <c r="G180" i="11"/>
  <c r="F180" i="11"/>
  <c r="G178" i="11"/>
  <c r="G179" i="11" s="1"/>
  <c r="F178" i="11"/>
  <c r="F179" i="11" s="1"/>
  <c r="G177" i="11"/>
  <c r="I167" i="11" s="1"/>
  <c r="M167" i="11" s="1"/>
  <c r="F177" i="11"/>
  <c r="I143" i="11"/>
  <c r="F143" i="11"/>
  <c r="G308" i="12" l="1"/>
  <c r="I308" i="12" s="1"/>
  <c r="C305" i="12"/>
  <c r="I189" i="12"/>
  <c r="N146" i="12" s="1"/>
  <c r="D338" i="12"/>
  <c r="D52" i="12"/>
  <c r="I238" i="12"/>
  <c r="N195" i="12" s="1"/>
  <c r="G238" i="12"/>
  <c r="L195" i="12" s="1"/>
  <c r="C134" i="12"/>
  <c r="G58" i="12"/>
  <c r="L5" i="12" s="1"/>
  <c r="I58" i="12"/>
  <c r="N5" i="12" s="1"/>
  <c r="N140" i="12"/>
  <c r="Q140" i="12" s="1"/>
  <c r="E140" i="12" s="1"/>
  <c r="G137" i="12"/>
  <c r="I137" i="12" s="1"/>
  <c r="I311" i="12"/>
  <c r="N276" i="12" s="1"/>
  <c r="G311" i="12"/>
  <c r="L276" i="12" s="1"/>
  <c r="D130" i="12"/>
  <c r="D133" i="12"/>
  <c r="D131" i="12"/>
  <c r="D132" i="12" s="1"/>
  <c r="C305" i="11"/>
  <c r="H171" i="11"/>
  <c r="L171" i="11" s="1"/>
  <c r="H154" i="11"/>
  <c r="D301" i="11"/>
  <c r="D304" i="11"/>
  <c r="D302" i="11"/>
  <c r="D303" i="11" s="1"/>
  <c r="N311" i="11"/>
  <c r="Q311" i="11" s="1"/>
  <c r="E311" i="11" s="1"/>
  <c r="G308" i="11"/>
  <c r="I308" i="11" s="1"/>
  <c r="H152" i="11"/>
  <c r="L152" i="11" s="1"/>
  <c r="H161" i="11"/>
  <c r="L161" i="11" s="1"/>
  <c r="I151" i="11"/>
  <c r="M151" i="11" s="1"/>
  <c r="I164" i="11"/>
  <c r="M164" i="11" s="1"/>
  <c r="I170" i="11"/>
  <c r="M170" i="11" s="1"/>
  <c r="I157" i="11"/>
  <c r="M157" i="11" s="1"/>
  <c r="I154" i="11"/>
  <c r="M154" i="11" s="1"/>
  <c r="I158" i="11"/>
  <c r="M158" i="11" s="1"/>
  <c r="I161" i="11"/>
  <c r="M161" i="11" s="1"/>
  <c r="I165" i="11"/>
  <c r="M165" i="11" s="1"/>
  <c r="I172" i="11"/>
  <c r="M172" i="11" s="1"/>
  <c r="I149" i="11"/>
  <c r="M149" i="11" s="1"/>
  <c r="I152" i="11"/>
  <c r="M152" i="11" s="1"/>
  <c r="I155" i="11"/>
  <c r="M155" i="11" s="1"/>
  <c r="I159" i="11"/>
  <c r="M159" i="11" s="1"/>
  <c r="I162" i="11"/>
  <c r="M162" i="11" s="1"/>
  <c r="I166" i="11"/>
  <c r="M166" i="11" s="1"/>
  <c r="I173" i="11"/>
  <c r="M173" i="11" s="1"/>
  <c r="I150" i="11"/>
  <c r="M150" i="11" s="1"/>
  <c r="I153" i="11"/>
  <c r="M153" i="11" s="1"/>
  <c r="I156" i="11"/>
  <c r="M156" i="11" s="1"/>
  <c r="I160" i="11"/>
  <c r="M160" i="11" s="1"/>
  <c r="I163" i="11"/>
  <c r="M163" i="11" s="1"/>
  <c r="H172" i="11"/>
  <c r="L172" i="11" s="1"/>
  <c r="H150" i="11"/>
  <c r="L150" i="11" s="1"/>
  <c r="H157" i="11"/>
  <c r="L157" i="11" s="1"/>
  <c r="H164" i="11"/>
  <c r="L164" i="11" s="1"/>
  <c r="H166" i="11"/>
  <c r="L166" i="11" s="1"/>
  <c r="H169" i="11"/>
  <c r="L169" i="11" s="1"/>
  <c r="H155" i="11"/>
  <c r="H160" i="11"/>
  <c r="L160" i="11" s="1"/>
  <c r="H173" i="11"/>
  <c r="L173" i="11" s="1"/>
  <c r="H168" i="11"/>
  <c r="L168" i="11" s="1"/>
  <c r="H153" i="11"/>
  <c r="L153" i="11" s="1"/>
  <c r="H149" i="11"/>
  <c r="L149" i="11" s="1"/>
  <c r="H158" i="11"/>
  <c r="J158" i="11" s="1"/>
  <c r="H163" i="11"/>
  <c r="L163" i="11" s="1"/>
  <c r="H165" i="11"/>
  <c r="L165" i="11" s="1"/>
  <c r="L154" i="11"/>
  <c r="F181" i="11"/>
  <c r="G181" i="11"/>
  <c r="I168" i="11"/>
  <c r="I174" i="11"/>
  <c r="M174" i="11" s="1"/>
  <c r="I169" i="11"/>
  <c r="M169" i="11" s="1"/>
  <c r="I171" i="11"/>
  <c r="H151" i="11"/>
  <c r="H156" i="11"/>
  <c r="H159" i="11"/>
  <c r="H162" i="11"/>
  <c r="H167" i="11"/>
  <c r="H170" i="11"/>
  <c r="H174" i="11"/>
  <c r="G140" i="12" l="1"/>
  <c r="L97" i="12" s="1"/>
  <c r="I140" i="12"/>
  <c r="N97" i="12" s="1"/>
  <c r="D134" i="12"/>
  <c r="I311" i="11"/>
  <c r="N284" i="11" s="1"/>
  <c r="G311" i="11"/>
  <c r="L284" i="11" s="1"/>
  <c r="D305" i="11"/>
  <c r="L158" i="11"/>
  <c r="J173" i="11"/>
  <c r="J161" i="11"/>
  <c r="J164" i="11"/>
  <c r="J172" i="11"/>
  <c r="J155" i="11"/>
  <c r="J150" i="11"/>
  <c r="J154" i="11"/>
  <c r="J163" i="11"/>
  <c r="J165" i="11"/>
  <c r="J166" i="11"/>
  <c r="J152" i="11"/>
  <c r="L155" i="11"/>
  <c r="J153" i="11"/>
  <c r="J149" i="11"/>
  <c r="J157" i="11"/>
  <c r="J160" i="11"/>
  <c r="I178" i="11"/>
  <c r="I179" i="11" s="1"/>
  <c r="J169" i="11"/>
  <c r="H177" i="11"/>
  <c r="I177" i="11"/>
  <c r="J171" i="11"/>
  <c r="M171" i="11"/>
  <c r="J168" i="11"/>
  <c r="M168" i="11"/>
  <c r="L170" i="11"/>
  <c r="J170" i="11"/>
  <c r="L159" i="11"/>
  <c r="J159" i="11"/>
  <c r="H178" i="11"/>
  <c r="H179" i="11" s="1"/>
  <c r="L156" i="11"/>
  <c r="J156" i="11"/>
  <c r="L162" i="11"/>
  <c r="J162" i="11"/>
  <c r="L151" i="11"/>
  <c r="J151" i="11"/>
  <c r="L167" i="11"/>
  <c r="J167" i="11"/>
  <c r="L174" i="11"/>
  <c r="J174" i="11"/>
  <c r="L177" i="11" l="1"/>
  <c r="M177" i="11"/>
  <c r="J177" i="11"/>
  <c r="B143" i="11" l="1"/>
  <c r="B145" i="11" s="1"/>
  <c r="N177" i="11"/>
  <c r="B146" i="11" s="1"/>
  <c r="B144" i="11" s="1"/>
  <c r="C165" i="11" s="1"/>
  <c r="D165" i="11" s="1"/>
  <c r="B147" i="11" l="1"/>
  <c r="C147" i="11" s="1"/>
  <c r="C164" i="11"/>
  <c r="D164" i="11" s="1"/>
  <c r="C152" i="11"/>
  <c r="D152" i="11" s="1"/>
  <c r="C172" i="11"/>
  <c r="D172" i="11" s="1"/>
  <c r="C171" i="11"/>
  <c r="D171" i="11" s="1"/>
  <c r="C159" i="11"/>
  <c r="D159" i="11" s="1"/>
  <c r="C149" i="11"/>
  <c r="D149" i="11" s="1"/>
  <c r="C167" i="11"/>
  <c r="D167" i="11" s="1"/>
  <c r="C168" i="11"/>
  <c r="D168" i="11" s="1"/>
  <c r="C160" i="11"/>
  <c r="D160" i="11" s="1"/>
  <c r="C161" i="11"/>
  <c r="D161" i="11" s="1"/>
  <c r="C156" i="11"/>
  <c r="D156" i="11" s="1"/>
  <c r="J144" i="11"/>
  <c r="C163" i="11"/>
  <c r="D163" i="11" s="1"/>
  <c r="C153" i="11"/>
  <c r="D153" i="11" s="1"/>
  <c r="C154" i="11"/>
  <c r="D154" i="11" s="1"/>
  <c r="C151" i="11"/>
  <c r="D151" i="11" s="1"/>
  <c r="C162" i="11"/>
  <c r="D162" i="11" s="1"/>
  <c r="C174" i="11"/>
  <c r="D174" i="11" s="1"/>
  <c r="C158" i="11"/>
  <c r="D158" i="11" s="1"/>
  <c r="C170" i="11"/>
  <c r="D170" i="11" s="1"/>
  <c r="C155" i="11"/>
  <c r="D155" i="11" s="1"/>
  <c r="C166" i="11"/>
  <c r="D166" i="11" s="1"/>
  <c r="C157" i="11"/>
  <c r="D157" i="11" s="1"/>
  <c r="C169" i="11"/>
  <c r="D169" i="11" s="1"/>
  <c r="C150" i="11"/>
  <c r="D150" i="11" s="1"/>
  <c r="C173" i="11"/>
  <c r="D173" i="11" s="1"/>
  <c r="G185" i="11" l="1"/>
  <c r="I185" i="11" s="1"/>
  <c r="C180" i="11"/>
  <c r="C178" i="11"/>
  <c r="C179" i="11" s="1"/>
  <c r="C177" i="11"/>
  <c r="C181" i="11" l="1"/>
  <c r="D177" i="11"/>
  <c r="D180" i="11"/>
  <c r="D178" i="11"/>
  <c r="D179" i="11" s="1"/>
  <c r="N187" i="11"/>
  <c r="Q187" i="11" s="1"/>
  <c r="E187" i="11" s="1"/>
  <c r="G184" i="11"/>
  <c r="I184" i="11" s="1"/>
  <c r="G187" i="11" l="1"/>
  <c r="L144" i="11" s="1"/>
  <c r="I187" i="11"/>
  <c r="N144" i="11" s="1"/>
  <c r="D181" i="11"/>
  <c r="G229" i="11" l="1"/>
  <c r="F229" i="11"/>
  <c r="G227" i="11"/>
  <c r="G228" i="11" s="1"/>
  <c r="F227" i="11"/>
  <c r="F228" i="11" s="1"/>
  <c r="G226" i="11"/>
  <c r="I221" i="11" s="1"/>
  <c r="M221" i="11" s="1"/>
  <c r="F226" i="11"/>
  <c r="H221" i="11" s="1"/>
  <c r="H204" i="11" l="1"/>
  <c r="L204" i="11" s="1"/>
  <c r="H209" i="11"/>
  <c r="L209" i="11" s="1"/>
  <c r="H198" i="11"/>
  <c r="L198" i="11" s="1"/>
  <c r="H202" i="11"/>
  <c r="L202" i="11" s="1"/>
  <c r="I209" i="11"/>
  <c r="M209" i="11" s="1"/>
  <c r="I202" i="11"/>
  <c r="M202" i="11" s="1"/>
  <c r="H208" i="11"/>
  <c r="L208" i="11" s="1"/>
  <c r="H212" i="11"/>
  <c r="L212" i="11" s="1"/>
  <c r="H220" i="11"/>
  <c r="L220" i="11" s="1"/>
  <c r="H201" i="11"/>
  <c r="L201" i="11" s="1"/>
  <c r="H205" i="11"/>
  <c r="L205" i="11" s="1"/>
  <c r="H211" i="11"/>
  <c r="L211" i="11" s="1"/>
  <c r="H199" i="11"/>
  <c r="L199" i="11" s="1"/>
  <c r="H206" i="11"/>
  <c r="L206" i="11" s="1"/>
  <c r="H213" i="11"/>
  <c r="L213" i="11" s="1"/>
  <c r="H217" i="11"/>
  <c r="L217" i="11" s="1"/>
  <c r="H216" i="11"/>
  <c r="L216" i="11" s="1"/>
  <c r="H200" i="11"/>
  <c r="L200" i="11" s="1"/>
  <c r="H203" i="11"/>
  <c r="L203" i="11" s="1"/>
  <c r="H207" i="11"/>
  <c r="L207" i="11" s="1"/>
  <c r="H210" i="11"/>
  <c r="L210" i="11" s="1"/>
  <c r="H214" i="11"/>
  <c r="L214" i="11" s="1"/>
  <c r="H219" i="11"/>
  <c r="L219" i="11" s="1"/>
  <c r="H215" i="11"/>
  <c r="L215" i="11" s="1"/>
  <c r="I201" i="11"/>
  <c r="M201" i="11" s="1"/>
  <c r="I215" i="11"/>
  <c r="M215" i="11" s="1"/>
  <c r="H223" i="11"/>
  <c r="L223" i="11" s="1"/>
  <c r="I205" i="11"/>
  <c r="M205" i="11" s="1"/>
  <c r="I212" i="11"/>
  <c r="M212" i="11" s="1"/>
  <c r="I216" i="11"/>
  <c r="M216" i="11" s="1"/>
  <c r="I220" i="11"/>
  <c r="M220" i="11" s="1"/>
  <c r="J221" i="11"/>
  <c r="L221" i="11"/>
  <c r="I200" i="11"/>
  <c r="M200" i="11" s="1"/>
  <c r="I204" i="11"/>
  <c r="M204" i="11" s="1"/>
  <c r="I208" i="11"/>
  <c r="M208" i="11" s="1"/>
  <c r="I211" i="11"/>
  <c r="M211" i="11" s="1"/>
  <c r="H218" i="11"/>
  <c r="I219" i="11"/>
  <c r="M219" i="11" s="1"/>
  <c r="H222" i="11"/>
  <c r="I223" i="11"/>
  <c r="M223" i="11" s="1"/>
  <c r="F230" i="11"/>
  <c r="I199" i="11"/>
  <c r="I203" i="11"/>
  <c r="I207" i="11"/>
  <c r="I214" i="11"/>
  <c r="I218" i="11"/>
  <c r="M218" i="11" s="1"/>
  <c r="I222" i="11"/>
  <c r="M222" i="11" s="1"/>
  <c r="G230" i="11"/>
  <c r="I198" i="11"/>
  <c r="I206" i="11"/>
  <c r="I210" i="11"/>
  <c r="I213" i="11"/>
  <c r="I217" i="11"/>
  <c r="J202" i="11" l="1"/>
  <c r="J209" i="11"/>
  <c r="J220" i="11"/>
  <c r="J201" i="11"/>
  <c r="J215" i="11"/>
  <c r="H227" i="11"/>
  <c r="H228" i="11" s="1"/>
  <c r="J219" i="11"/>
  <c r="I227" i="11"/>
  <c r="I228" i="11" s="1"/>
  <c r="J205" i="11"/>
  <c r="I226" i="11"/>
  <c r="J211" i="11"/>
  <c r="J204" i="11"/>
  <c r="J216" i="11"/>
  <c r="J212" i="11"/>
  <c r="M217" i="11"/>
  <c r="J217" i="11"/>
  <c r="J206" i="11"/>
  <c r="M206" i="11"/>
  <c r="J203" i="11"/>
  <c r="M203" i="11"/>
  <c r="J214" i="11"/>
  <c r="M214" i="11"/>
  <c r="J207" i="11"/>
  <c r="M207" i="11"/>
  <c r="J199" i="11"/>
  <c r="M199" i="11"/>
  <c r="J218" i="11"/>
  <c r="L218" i="11"/>
  <c r="J208" i="11"/>
  <c r="J222" i="11"/>
  <c r="L222" i="11"/>
  <c r="J213" i="11"/>
  <c r="M213" i="11"/>
  <c r="M210" i="11"/>
  <c r="J210" i="11"/>
  <c r="M198" i="11"/>
  <c r="J198" i="11"/>
  <c r="J223" i="11"/>
  <c r="J200" i="11"/>
  <c r="H226" i="11"/>
  <c r="J226" i="11" l="1"/>
  <c r="L226" i="11"/>
  <c r="B192" i="11" s="1"/>
  <c r="B194" i="11" s="1"/>
  <c r="M226" i="11"/>
  <c r="N226" i="11" l="1"/>
  <c r="B195" i="11" s="1"/>
  <c r="B193" i="11" s="1"/>
  <c r="J193" i="11" s="1"/>
  <c r="C215" i="11" l="1"/>
  <c r="D215" i="11" s="1"/>
  <c r="C217" i="11"/>
  <c r="D217" i="11" s="1"/>
  <c r="C223" i="11"/>
  <c r="D223" i="11" s="1"/>
  <c r="C208" i="11"/>
  <c r="D208" i="11" s="1"/>
  <c r="C216" i="11"/>
  <c r="D216" i="11" s="1"/>
  <c r="C202" i="11"/>
  <c r="D202" i="11" s="1"/>
  <c r="C199" i="11"/>
  <c r="D199" i="11" s="1"/>
  <c r="C211" i="11"/>
  <c r="D211" i="11" s="1"/>
  <c r="C214" i="11"/>
  <c r="D214" i="11" s="1"/>
  <c r="C210" i="11"/>
  <c r="D210" i="11" s="1"/>
  <c r="C219" i="11"/>
  <c r="D219" i="11" s="1"/>
  <c r="C200" i="11"/>
  <c r="D200" i="11" s="1"/>
  <c r="C201" i="11"/>
  <c r="D201" i="11" s="1"/>
  <c r="C220" i="11"/>
  <c r="D220" i="11" s="1"/>
  <c r="C203" i="11"/>
  <c r="D203" i="11" s="1"/>
  <c r="C209" i="11"/>
  <c r="D209" i="11" s="1"/>
  <c r="C206" i="11"/>
  <c r="D206" i="11" s="1"/>
  <c r="C222" i="11"/>
  <c r="D222" i="11" s="1"/>
  <c r="C198" i="11"/>
  <c r="D198" i="11" s="1"/>
  <c r="C205" i="11"/>
  <c r="D205" i="11" s="1"/>
  <c r="B196" i="11"/>
  <c r="C196" i="11" s="1"/>
  <c r="C212" i="11"/>
  <c r="D212" i="11" s="1"/>
  <c r="C213" i="11"/>
  <c r="D213" i="11" s="1"/>
  <c r="C204" i="11"/>
  <c r="D204" i="11" s="1"/>
  <c r="C221" i="11"/>
  <c r="D221" i="11" s="1"/>
  <c r="C207" i="11"/>
  <c r="D207" i="11" s="1"/>
  <c r="C218" i="11"/>
  <c r="D218" i="11" s="1"/>
  <c r="G234" i="11" l="1"/>
  <c r="I234" i="11" s="1"/>
  <c r="D226" i="11"/>
  <c r="D227" i="11"/>
  <c r="D228" i="11" s="1"/>
  <c r="D229" i="11"/>
  <c r="C227" i="11"/>
  <c r="C228" i="11" s="1"/>
  <c r="C226" i="11"/>
  <c r="C229" i="11"/>
  <c r="N236" i="11" l="1"/>
  <c r="Q236" i="11" s="1"/>
  <c r="E236" i="11" s="1"/>
  <c r="G233" i="11"/>
  <c r="I233" i="11" s="1"/>
  <c r="C230" i="11"/>
  <c r="D230" i="11"/>
  <c r="I236" i="11" l="1"/>
  <c r="N193" i="11" s="1"/>
  <c r="G236" i="11"/>
  <c r="L193" i="11" s="1"/>
  <c r="I4" i="11" l="1"/>
  <c r="F4" i="11"/>
  <c r="I63" i="11"/>
  <c r="F63" i="11"/>
  <c r="G100" i="11" l="1"/>
  <c r="F100" i="11"/>
  <c r="G98" i="11"/>
  <c r="G99" i="11" s="1"/>
  <c r="F98" i="11"/>
  <c r="F99" i="11" s="1"/>
  <c r="G97" i="11"/>
  <c r="I92" i="11" s="1"/>
  <c r="F97" i="11"/>
  <c r="H90" i="11" s="1"/>
  <c r="L90" i="11" s="1"/>
  <c r="H74" i="11" l="1"/>
  <c r="L74" i="11" s="1"/>
  <c r="H71" i="11"/>
  <c r="L71" i="11" s="1"/>
  <c r="H84" i="11"/>
  <c r="L84" i="11" s="1"/>
  <c r="H70" i="11"/>
  <c r="L70" i="11" s="1"/>
  <c r="H78" i="11"/>
  <c r="L78" i="11" s="1"/>
  <c r="H73" i="11"/>
  <c r="L73" i="11" s="1"/>
  <c r="H86" i="11"/>
  <c r="L86" i="11" s="1"/>
  <c r="I73" i="11"/>
  <c r="M73" i="11" s="1"/>
  <c r="H89" i="11"/>
  <c r="L89" i="11" s="1"/>
  <c r="I80" i="11"/>
  <c r="M80" i="11" s="1"/>
  <c r="I85" i="11"/>
  <c r="M85" i="11" s="1"/>
  <c r="H92" i="11"/>
  <c r="L92" i="11" s="1"/>
  <c r="I76" i="11"/>
  <c r="M76" i="11" s="1"/>
  <c r="I83" i="11"/>
  <c r="M83" i="11" s="1"/>
  <c r="I87" i="11"/>
  <c r="M87" i="11" s="1"/>
  <c r="I71" i="11"/>
  <c r="M71" i="11" s="1"/>
  <c r="H72" i="11"/>
  <c r="L72" i="11" s="1"/>
  <c r="H77" i="11"/>
  <c r="L77" i="11" s="1"/>
  <c r="H81" i="11"/>
  <c r="L81" i="11" s="1"/>
  <c r="H88" i="11"/>
  <c r="L88" i="11" s="1"/>
  <c r="H94" i="11"/>
  <c r="L94" i="11" s="1"/>
  <c r="H76" i="11"/>
  <c r="L76" i="11" s="1"/>
  <c r="H79" i="11"/>
  <c r="L79" i="11" s="1"/>
  <c r="H82" i="11"/>
  <c r="L82" i="11" s="1"/>
  <c r="F101" i="11"/>
  <c r="H69" i="11"/>
  <c r="H75" i="11"/>
  <c r="L75" i="11" s="1"/>
  <c r="H80" i="11"/>
  <c r="L80" i="11" s="1"/>
  <c r="H83" i="11"/>
  <c r="L83" i="11" s="1"/>
  <c r="H85" i="11"/>
  <c r="L85" i="11" s="1"/>
  <c r="H87" i="11"/>
  <c r="L87" i="11" s="1"/>
  <c r="H91" i="11"/>
  <c r="L91" i="11" s="1"/>
  <c r="H93" i="11"/>
  <c r="L93" i="11" s="1"/>
  <c r="M92" i="11"/>
  <c r="I75" i="11"/>
  <c r="M75" i="11" s="1"/>
  <c r="I79" i="11"/>
  <c r="M79" i="11" s="1"/>
  <c r="I82" i="11"/>
  <c r="M82" i="11" s="1"/>
  <c r="I90" i="11"/>
  <c r="M90" i="11" s="1"/>
  <c r="I94" i="11"/>
  <c r="M94" i="11" s="1"/>
  <c r="I70" i="11"/>
  <c r="M70" i="11" s="1"/>
  <c r="I72" i="11"/>
  <c r="M72" i="11" s="1"/>
  <c r="I74" i="11"/>
  <c r="M74" i="11" s="1"/>
  <c r="I78" i="11"/>
  <c r="M78" i="11" s="1"/>
  <c r="I84" i="11"/>
  <c r="M84" i="11" s="1"/>
  <c r="I86" i="11"/>
  <c r="M86" i="11" s="1"/>
  <c r="I89" i="11"/>
  <c r="M89" i="11" s="1"/>
  <c r="I93" i="11"/>
  <c r="M93" i="11" s="1"/>
  <c r="G101" i="11"/>
  <c r="I91" i="11"/>
  <c r="I69" i="11"/>
  <c r="I77" i="11"/>
  <c r="I81" i="11"/>
  <c r="I88" i="11"/>
  <c r="G51" i="11"/>
  <c r="F51" i="11"/>
  <c r="G49" i="11"/>
  <c r="G50" i="11" s="1"/>
  <c r="F49" i="11"/>
  <c r="G48" i="11"/>
  <c r="I45" i="11" s="1"/>
  <c r="M45" i="11" s="1"/>
  <c r="F48" i="11"/>
  <c r="H27" i="11" l="1"/>
  <c r="H19" i="11"/>
  <c r="L19" i="11" s="1"/>
  <c r="J73" i="11"/>
  <c r="J92" i="11"/>
  <c r="J71" i="11"/>
  <c r="I16" i="11"/>
  <c r="M16" i="11" s="1"/>
  <c r="I17" i="11"/>
  <c r="M17" i="11" s="1"/>
  <c r="I24" i="11"/>
  <c r="M24" i="11" s="1"/>
  <c r="H14" i="11"/>
  <c r="L14" i="11" s="1"/>
  <c r="I25" i="11"/>
  <c r="M25" i="11" s="1"/>
  <c r="J79" i="11"/>
  <c r="I12" i="11"/>
  <c r="M12" i="11" s="1"/>
  <c r="I20" i="11"/>
  <c r="M20" i="11" s="1"/>
  <c r="I28" i="11"/>
  <c r="M28" i="11" s="1"/>
  <c r="J87" i="11"/>
  <c r="I13" i="11"/>
  <c r="M13" i="11" s="1"/>
  <c r="I21" i="11"/>
  <c r="M21" i="11" s="1"/>
  <c r="J90" i="11"/>
  <c r="J85" i="11"/>
  <c r="J76" i="11"/>
  <c r="L27" i="11"/>
  <c r="H97" i="11"/>
  <c r="H45" i="11"/>
  <c r="L45" i="11" s="1"/>
  <c r="H26" i="11"/>
  <c r="L26" i="11" s="1"/>
  <c r="H22" i="11"/>
  <c r="L22" i="11" s="1"/>
  <c r="H17" i="11"/>
  <c r="L17" i="11" s="1"/>
  <c r="H13" i="11"/>
  <c r="L13" i="11" s="1"/>
  <c r="H29" i="11"/>
  <c r="H25" i="11"/>
  <c r="L25" i="11" s="1"/>
  <c r="H21" i="11"/>
  <c r="L21" i="11" s="1"/>
  <c r="H16" i="11"/>
  <c r="L16" i="11" s="1"/>
  <c r="H12" i="11"/>
  <c r="L12" i="11" s="1"/>
  <c r="H28" i="11"/>
  <c r="L28" i="11" s="1"/>
  <c r="H24" i="11"/>
  <c r="L24" i="11" s="1"/>
  <c r="H20" i="11"/>
  <c r="L20" i="11" s="1"/>
  <c r="H15" i="11"/>
  <c r="L15" i="11" s="1"/>
  <c r="H11" i="11"/>
  <c r="L11" i="11" s="1"/>
  <c r="H18" i="11"/>
  <c r="L18" i="11" s="1"/>
  <c r="J83" i="11"/>
  <c r="H23" i="11"/>
  <c r="I14" i="11"/>
  <c r="M14" i="11" s="1"/>
  <c r="I18" i="11"/>
  <c r="M18" i="11" s="1"/>
  <c r="I22" i="11"/>
  <c r="M22" i="11" s="1"/>
  <c r="I26" i="11"/>
  <c r="M26" i="11" s="1"/>
  <c r="J80" i="11"/>
  <c r="H98" i="11"/>
  <c r="H99" i="11" s="1"/>
  <c r="L69" i="11"/>
  <c r="I11" i="11"/>
  <c r="M11" i="11" s="1"/>
  <c r="I15" i="11"/>
  <c r="M15" i="11" s="1"/>
  <c r="I19" i="11"/>
  <c r="I23" i="11"/>
  <c r="M23" i="11" s="1"/>
  <c r="I27" i="11"/>
  <c r="M27" i="11" s="1"/>
  <c r="J82" i="11"/>
  <c r="J75" i="11"/>
  <c r="M81" i="11"/>
  <c r="J81" i="11"/>
  <c r="M69" i="11"/>
  <c r="J69" i="11"/>
  <c r="J84" i="11"/>
  <c r="J74" i="11"/>
  <c r="M91" i="11"/>
  <c r="J91" i="11"/>
  <c r="J88" i="11"/>
  <c r="M88" i="11"/>
  <c r="J77" i="11"/>
  <c r="M77" i="11"/>
  <c r="I97" i="11"/>
  <c r="I98" i="11"/>
  <c r="I99" i="11" s="1"/>
  <c r="J93" i="11"/>
  <c r="J72" i="11"/>
  <c r="J86" i="11"/>
  <c r="J94" i="11"/>
  <c r="J89" i="11"/>
  <c r="J78" i="11"/>
  <c r="J70" i="11"/>
  <c r="I10" i="11"/>
  <c r="H10" i="11"/>
  <c r="H36" i="11"/>
  <c r="L36" i="11" s="1"/>
  <c r="H44" i="11"/>
  <c r="L44" i="11" s="1"/>
  <c r="H38" i="11"/>
  <c r="L38" i="11" s="1"/>
  <c r="H30" i="11"/>
  <c r="L30" i="11" s="1"/>
  <c r="H40" i="11"/>
  <c r="L40" i="11" s="1"/>
  <c r="H32" i="11"/>
  <c r="L32" i="11" s="1"/>
  <c r="H42" i="11"/>
  <c r="L42" i="11" s="1"/>
  <c r="F52" i="11"/>
  <c r="I35" i="11"/>
  <c r="M35" i="11" s="1"/>
  <c r="I38" i="11"/>
  <c r="M38" i="11" s="1"/>
  <c r="I32" i="11"/>
  <c r="M32" i="11" s="1"/>
  <c r="I33" i="11"/>
  <c r="M33" i="11" s="1"/>
  <c r="I37" i="11"/>
  <c r="M37" i="11" s="1"/>
  <c r="I40" i="11"/>
  <c r="M40" i="11" s="1"/>
  <c r="I44" i="11"/>
  <c r="M44" i="11" s="1"/>
  <c r="I42" i="11"/>
  <c r="M42" i="11" s="1"/>
  <c r="I30" i="11"/>
  <c r="M30" i="11" s="1"/>
  <c r="I34" i="11"/>
  <c r="M34" i="11" s="1"/>
  <c r="I29" i="11"/>
  <c r="M29" i="11" s="1"/>
  <c r="I31" i="11"/>
  <c r="M31" i="11" s="1"/>
  <c r="H34" i="11"/>
  <c r="L34" i="11" s="1"/>
  <c r="I36" i="11"/>
  <c r="M36" i="11" s="1"/>
  <c r="I39" i="11"/>
  <c r="M39" i="11" s="1"/>
  <c r="I41" i="11"/>
  <c r="M41" i="11" s="1"/>
  <c r="I43" i="11"/>
  <c r="M43" i="11" s="1"/>
  <c r="G52" i="11"/>
  <c r="H31" i="11"/>
  <c r="L31" i="11" s="1"/>
  <c r="H35" i="11"/>
  <c r="L35" i="11" s="1"/>
  <c r="H39" i="11"/>
  <c r="L39" i="11" s="1"/>
  <c r="H43" i="11"/>
  <c r="L43" i="11" s="1"/>
  <c r="F50" i="11"/>
  <c r="H33" i="11"/>
  <c r="L33" i="11" s="1"/>
  <c r="H37" i="11"/>
  <c r="L37" i="11" s="1"/>
  <c r="H41" i="11"/>
  <c r="L41" i="11" s="1"/>
  <c r="G201" i="10"/>
  <c r="F201" i="10"/>
  <c r="G199" i="10"/>
  <c r="G200" i="10" s="1"/>
  <c r="F199" i="10"/>
  <c r="F200" i="10" s="1"/>
  <c r="G198" i="10"/>
  <c r="I194" i="10" s="1"/>
  <c r="M194" i="10" s="1"/>
  <c r="F198" i="10"/>
  <c r="H194" i="10"/>
  <c r="G173" i="10"/>
  <c r="F173" i="10"/>
  <c r="G171" i="10"/>
  <c r="G172" i="10" s="1"/>
  <c r="F171" i="10"/>
  <c r="F172" i="10" s="1"/>
  <c r="G170" i="10"/>
  <c r="I163" i="10" s="1"/>
  <c r="M163" i="10" s="1"/>
  <c r="F170" i="10"/>
  <c r="G141" i="10"/>
  <c r="F141" i="10"/>
  <c r="G139" i="10"/>
  <c r="G140" i="10" s="1"/>
  <c r="F139" i="10"/>
  <c r="F140" i="10" s="1"/>
  <c r="G138" i="10"/>
  <c r="I133" i="10" s="1"/>
  <c r="F138" i="10"/>
  <c r="H135" i="10" s="1"/>
  <c r="L135" i="10" s="1"/>
  <c r="G105" i="10"/>
  <c r="F105" i="10"/>
  <c r="G103" i="10"/>
  <c r="G104" i="10" s="1"/>
  <c r="F103" i="10"/>
  <c r="F104" i="10" s="1"/>
  <c r="G102" i="10"/>
  <c r="I99" i="10" s="1"/>
  <c r="M99" i="10" s="1"/>
  <c r="F102" i="10"/>
  <c r="H94" i="10" s="1"/>
  <c r="G69" i="10"/>
  <c r="F69" i="10"/>
  <c r="G67" i="10"/>
  <c r="G68" i="10" s="1"/>
  <c r="F67" i="10"/>
  <c r="F68" i="10" s="1"/>
  <c r="G66" i="10"/>
  <c r="I60" i="10" s="1"/>
  <c r="M60" i="10" s="1"/>
  <c r="F66" i="10"/>
  <c r="H61" i="10" s="1"/>
  <c r="F33" i="10"/>
  <c r="G33" i="10"/>
  <c r="G31" i="10"/>
  <c r="F31" i="10"/>
  <c r="G30" i="10"/>
  <c r="I24" i="10" s="1"/>
  <c r="F30" i="10"/>
  <c r="H26" i="10" s="1"/>
  <c r="H123" i="10" l="1"/>
  <c r="L123" i="10" s="1"/>
  <c r="I193" i="10"/>
  <c r="M193" i="10" s="1"/>
  <c r="J45" i="11"/>
  <c r="J16" i="11"/>
  <c r="J13" i="11"/>
  <c r="J24" i="11"/>
  <c r="J25" i="11"/>
  <c r="J15" i="11"/>
  <c r="J26" i="11"/>
  <c r="J21" i="11"/>
  <c r="H49" i="11"/>
  <c r="H50" i="11" s="1"/>
  <c r="J11" i="11"/>
  <c r="J23" i="11"/>
  <c r="L23" i="11"/>
  <c r="J29" i="11"/>
  <c r="L29" i="11"/>
  <c r="M10" i="11"/>
  <c r="I49" i="11"/>
  <c r="J22" i="11"/>
  <c r="J28" i="11"/>
  <c r="L97" i="11"/>
  <c r="J12" i="11"/>
  <c r="J14" i="11"/>
  <c r="J19" i="11"/>
  <c r="M19" i="11"/>
  <c r="J27" i="11"/>
  <c r="J97" i="11"/>
  <c r="M97" i="11"/>
  <c r="J38" i="11"/>
  <c r="J32" i="11"/>
  <c r="J42" i="11"/>
  <c r="J10" i="11"/>
  <c r="L10" i="11"/>
  <c r="J44" i="11"/>
  <c r="J40" i="11"/>
  <c r="J30" i="11"/>
  <c r="J34" i="11"/>
  <c r="J36" i="11"/>
  <c r="J31" i="11"/>
  <c r="J43" i="11"/>
  <c r="J33" i="11"/>
  <c r="J41" i="11"/>
  <c r="H48" i="11"/>
  <c r="J39" i="11"/>
  <c r="J37" i="11"/>
  <c r="J35" i="11"/>
  <c r="H131" i="10"/>
  <c r="L131" i="10" s="1"/>
  <c r="H126" i="10"/>
  <c r="L126" i="10" s="1"/>
  <c r="H127" i="10"/>
  <c r="L127" i="10" s="1"/>
  <c r="G202" i="10"/>
  <c r="L194" i="10"/>
  <c r="J194" i="10"/>
  <c r="H195" i="10"/>
  <c r="H191" i="10"/>
  <c r="F202" i="10"/>
  <c r="H193" i="10"/>
  <c r="H192" i="10"/>
  <c r="I192" i="10"/>
  <c r="M192" i="10" s="1"/>
  <c r="I191" i="10"/>
  <c r="I195" i="10"/>
  <c r="M195" i="10" s="1"/>
  <c r="H134" i="10"/>
  <c r="L134" i="10" s="1"/>
  <c r="H130" i="10"/>
  <c r="L130" i="10" s="1"/>
  <c r="H164" i="10"/>
  <c r="L164" i="10" s="1"/>
  <c r="H124" i="10"/>
  <c r="L124" i="10" s="1"/>
  <c r="H128" i="10"/>
  <c r="L128" i="10" s="1"/>
  <c r="H132" i="10"/>
  <c r="L132" i="10" s="1"/>
  <c r="H125" i="10"/>
  <c r="L125" i="10" s="1"/>
  <c r="H129" i="10"/>
  <c r="L129" i="10" s="1"/>
  <c r="H133" i="10"/>
  <c r="L133" i="10" s="1"/>
  <c r="I159" i="10"/>
  <c r="M159" i="10" s="1"/>
  <c r="H160" i="10"/>
  <c r="L160" i="10" s="1"/>
  <c r="I132" i="10"/>
  <c r="M132" i="10" s="1"/>
  <c r="I124" i="10"/>
  <c r="M124" i="10" s="1"/>
  <c r="I128" i="10"/>
  <c r="M128" i="10" s="1"/>
  <c r="I160" i="10"/>
  <c r="M160" i="10" s="1"/>
  <c r="I164" i="10"/>
  <c r="M164" i="10" s="1"/>
  <c r="I165" i="10"/>
  <c r="M165" i="10" s="1"/>
  <c r="I166" i="10"/>
  <c r="M166" i="10" s="1"/>
  <c r="I162" i="10"/>
  <c r="M162" i="10" s="1"/>
  <c r="I167" i="10"/>
  <c r="M167" i="10" s="1"/>
  <c r="I161" i="10"/>
  <c r="M161" i="10" s="1"/>
  <c r="F174" i="10"/>
  <c r="H166" i="10"/>
  <c r="H165" i="10"/>
  <c r="H162" i="10"/>
  <c r="H161" i="10"/>
  <c r="H167" i="10"/>
  <c r="H163" i="10"/>
  <c r="H159" i="10"/>
  <c r="G174" i="10"/>
  <c r="H88" i="10"/>
  <c r="L88" i="10" s="1"/>
  <c r="I55" i="10"/>
  <c r="M55" i="10" s="1"/>
  <c r="H89" i="10"/>
  <c r="L89" i="10" s="1"/>
  <c r="H93" i="10"/>
  <c r="L93" i="10" s="1"/>
  <c r="F142" i="10"/>
  <c r="M133" i="10"/>
  <c r="J133" i="10"/>
  <c r="I131" i="10"/>
  <c r="M131" i="10" s="1"/>
  <c r="I135" i="10"/>
  <c r="M135" i="10" s="1"/>
  <c r="I126" i="10"/>
  <c r="M126" i="10" s="1"/>
  <c r="I127" i="10"/>
  <c r="M127" i="10" s="1"/>
  <c r="I130" i="10"/>
  <c r="M130" i="10" s="1"/>
  <c r="I134" i="10"/>
  <c r="M134" i="10" s="1"/>
  <c r="G142" i="10"/>
  <c r="I123" i="10"/>
  <c r="M123" i="10" s="1"/>
  <c r="I125" i="10"/>
  <c r="I129" i="10"/>
  <c r="I57" i="10"/>
  <c r="M57" i="10" s="1"/>
  <c r="I61" i="10"/>
  <c r="M61" i="10" s="1"/>
  <c r="H60" i="10"/>
  <c r="L60" i="10" s="1"/>
  <c r="H56" i="10"/>
  <c r="L56" i="10" s="1"/>
  <c r="I88" i="10"/>
  <c r="M88" i="10" s="1"/>
  <c r="I98" i="10"/>
  <c r="M98" i="10" s="1"/>
  <c r="I90" i="10"/>
  <c r="M90" i="10" s="1"/>
  <c r="I91" i="10"/>
  <c r="M91" i="10" s="1"/>
  <c r="I94" i="10"/>
  <c r="M94" i="10" s="1"/>
  <c r="I89" i="10"/>
  <c r="M89" i="10" s="1"/>
  <c r="I93" i="10"/>
  <c r="M93" i="10" s="1"/>
  <c r="I97" i="10"/>
  <c r="M97" i="10" s="1"/>
  <c r="G106" i="10"/>
  <c r="I96" i="10"/>
  <c r="M96" i="10" s="1"/>
  <c r="L94" i="10"/>
  <c r="F106" i="10"/>
  <c r="H98" i="10"/>
  <c r="H91" i="10"/>
  <c r="H90" i="10"/>
  <c r="H99" i="10"/>
  <c r="H95" i="10"/>
  <c r="H92" i="10"/>
  <c r="H87" i="10"/>
  <c r="H96" i="10"/>
  <c r="H97" i="10"/>
  <c r="I87" i="10"/>
  <c r="I92" i="10"/>
  <c r="M92" i="10" s="1"/>
  <c r="I95" i="10"/>
  <c r="M95" i="10" s="1"/>
  <c r="I51" i="10"/>
  <c r="M51" i="10" s="1"/>
  <c r="I59" i="10"/>
  <c r="M59" i="10" s="1"/>
  <c r="I62" i="10"/>
  <c r="M62" i="10" s="1"/>
  <c r="I52" i="10"/>
  <c r="M52" i="10" s="1"/>
  <c r="I63" i="10"/>
  <c r="M63" i="10" s="1"/>
  <c r="I54" i="10"/>
  <c r="M54" i="10" s="1"/>
  <c r="I56" i="10"/>
  <c r="M56" i="10" s="1"/>
  <c r="H11" i="10"/>
  <c r="H15" i="10"/>
  <c r="H27" i="10"/>
  <c r="H19" i="10"/>
  <c r="L19" i="10" s="1"/>
  <c r="G70" i="10"/>
  <c r="H23" i="10"/>
  <c r="L23" i="10" s="1"/>
  <c r="H54" i="10"/>
  <c r="L54" i="10" s="1"/>
  <c r="I53" i="10"/>
  <c r="M53" i="10" s="1"/>
  <c r="I58" i="10"/>
  <c r="M58" i="10" s="1"/>
  <c r="L61" i="10"/>
  <c r="H59" i="10"/>
  <c r="H63" i="10"/>
  <c r="H51" i="10"/>
  <c r="H52" i="10"/>
  <c r="H53" i="10"/>
  <c r="H55" i="10"/>
  <c r="H58" i="10"/>
  <c r="H62" i="10"/>
  <c r="F70" i="10"/>
  <c r="H57" i="10"/>
  <c r="I13" i="10"/>
  <c r="M13" i="10" s="1"/>
  <c r="I10" i="10"/>
  <c r="I14" i="10"/>
  <c r="M14" i="10" s="1"/>
  <c r="I18" i="10"/>
  <c r="I22" i="10"/>
  <c r="M22" i="10" s="1"/>
  <c r="I26" i="10"/>
  <c r="J26" i="10" s="1"/>
  <c r="H12" i="10"/>
  <c r="H16" i="10"/>
  <c r="L16" i="10" s="1"/>
  <c r="H20" i="10"/>
  <c r="L20" i="10" s="1"/>
  <c r="H24" i="10"/>
  <c r="L24" i="10" s="1"/>
  <c r="I17" i="10"/>
  <c r="I25" i="10"/>
  <c r="M25" i="10" s="1"/>
  <c r="I11" i="10"/>
  <c r="M11" i="10" s="1"/>
  <c r="I15" i="10"/>
  <c r="M15" i="10" s="1"/>
  <c r="I19" i="10"/>
  <c r="M19" i="10" s="1"/>
  <c r="I23" i="10"/>
  <c r="I27" i="10"/>
  <c r="M27" i="10" s="1"/>
  <c r="H13" i="10"/>
  <c r="H17" i="10"/>
  <c r="L17" i="10" s="1"/>
  <c r="H21" i="10"/>
  <c r="L21" i="10" s="1"/>
  <c r="H25" i="10"/>
  <c r="I21" i="10"/>
  <c r="M21" i="10" s="1"/>
  <c r="I12" i="10"/>
  <c r="M12" i="10" s="1"/>
  <c r="I16" i="10"/>
  <c r="M16" i="10" s="1"/>
  <c r="I20" i="10"/>
  <c r="H10" i="10"/>
  <c r="H14" i="10"/>
  <c r="H18" i="10"/>
  <c r="L18" i="10" s="1"/>
  <c r="H22" i="10"/>
  <c r="L22" i="10" s="1"/>
  <c r="M24" i="10"/>
  <c r="L48" i="11" l="1"/>
  <c r="M48" i="11"/>
  <c r="N97" i="11"/>
  <c r="B66" i="11" s="1"/>
  <c r="B64" i="11" s="1"/>
  <c r="B63" i="11"/>
  <c r="B65" i="11" s="1"/>
  <c r="J60" i="10"/>
  <c r="J61" i="10"/>
  <c r="I198" i="10"/>
  <c r="M191" i="10"/>
  <c r="M198" i="10" s="1"/>
  <c r="I199" i="10"/>
  <c r="I200" i="10" s="1"/>
  <c r="L193" i="10"/>
  <c r="J193" i="10"/>
  <c r="J192" i="10"/>
  <c r="L192" i="10"/>
  <c r="H198" i="10"/>
  <c r="L191" i="10"/>
  <c r="H199" i="10"/>
  <c r="H200" i="10" s="1"/>
  <c r="J191" i="10"/>
  <c r="L195" i="10"/>
  <c r="J195" i="10"/>
  <c r="L138" i="10"/>
  <c r="J124" i="10"/>
  <c r="J132" i="10"/>
  <c r="H138" i="10"/>
  <c r="J128" i="10"/>
  <c r="H139" i="10"/>
  <c r="H140" i="10" s="1"/>
  <c r="M170" i="10"/>
  <c r="I171" i="10"/>
  <c r="I172" i="10" s="1"/>
  <c r="J160" i="10"/>
  <c r="I170" i="10"/>
  <c r="J164" i="10"/>
  <c r="L162" i="10"/>
  <c r="J162" i="10"/>
  <c r="J159" i="10"/>
  <c r="L159" i="10"/>
  <c r="J167" i="10"/>
  <c r="L167" i="10"/>
  <c r="L165" i="10"/>
  <c r="J165" i="10"/>
  <c r="H170" i="10"/>
  <c r="H171" i="10"/>
  <c r="H172" i="10" s="1"/>
  <c r="L166" i="10"/>
  <c r="J166" i="10"/>
  <c r="J163" i="10"/>
  <c r="L163" i="10"/>
  <c r="L161" i="10"/>
  <c r="J161" i="10"/>
  <c r="J88" i="10"/>
  <c r="J130" i="10"/>
  <c r="M129" i="10"/>
  <c r="J129" i="10"/>
  <c r="I139" i="10"/>
  <c r="I140" i="10" s="1"/>
  <c r="I138" i="10"/>
  <c r="J127" i="10"/>
  <c r="J131" i="10"/>
  <c r="J125" i="10"/>
  <c r="M125" i="10"/>
  <c r="J135" i="10"/>
  <c r="J123" i="10"/>
  <c r="J126" i="10"/>
  <c r="J134" i="10"/>
  <c r="J54" i="10"/>
  <c r="J56" i="10"/>
  <c r="J11" i="10"/>
  <c r="J94" i="10"/>
  <c r="J93" i="10"/>
  <c r="J89" i="10"/>
  <c r="L97" i="10"/>
  <c r="J97" i="10"/>
  <c r="L92" i="10"/>
  <c r="J92" i="10"/>
  <c r="L90" i="10"/>
  <c r="J90" i="10"/>
  <c r="J96" i="10"/>
  <c r="L96" i="10"/>
  <c r="L95" i="10"/>
  <c r="J95" i="10"/>
  <c r="L91" i="10"/>
  <c r="J91" i="10"/>
  <c r="J87" i="10"/>
  <c r="L87" i="10"/>
  <c r="J99" i="10"/>
  <c r="L99" i="10"/>
  <c r="M87" i="10"/>
  <c r="M102" i="10" s="1"/>
  <c r="I102" i="10"/>
  <c r="I103" i="10"/>
  <c r="I104" i="10" s="1"/>
  <c r="H102" i="10"/>
  <c r="H103" i="10"/>
  <c r="H104" i="10" s="1"/>
  <c r="L98" i="10"/>
  <c r="J98" i="10"/>
  <c r="M66" i="10"/>
  <c r="J27" i="10"/>
  <c r="J13" i="10"/>
  <c r="M26" i="10"/>
  <c r="J24" i="10"/>
  <c r="J12" i="10"/>
  <c r="J21" i="10"/>
  <c r="J25" i="10"/>
  <c r="I67" i="10"/>
  <c r="I68" i="10" s="1"/>
  <c r="I66" i="10"/>
  <c r="H67" i="10"/>
  <c r="H68" i="10" s="1"/>
  <c r="H66" i="10"/>
  <c r="L57" i="10"/>
  <c r="J57" i="10"/>
  <c r="J62" i="10"/>
  <c r="L62" i="10"/>
  <c r="L55" i="10"/>
  <c r="J55" i="10"/>
  <c r="J52" i="10"/>
  <c r="L52" i="10"/>
  <c r="J51" i="10"/>
  <c r="L51" i="10"/>
  <c r="J63" i="10"/>
  <c r="L63" i="10"/>
  <c r="J58" i="10"/>
  <c r="L58" i="10"/>
  <c r="L53" i="10"/>
  <c r="J53" i="10"/>
  <c r="J59" i="10"/>
  <c r="L59" i="10"/>
  <c r="I30" i="10"/>
  <c r="J10" i="10"/>
  <c r="H30" i="10"/>
  <c r="J15" i="10"/>
  <c r="J22" i="10"/>
  <c r="J19" i="10"/>
  <c r="J14" i="10"/>
  <c r="J16" i="10"/>
  <c r="J64" i="11" l="1"/>
  <c r="N48" i="11"/>
  <c r="B67" i="11"/>
  <c r="C93" i="11"/>
  <c r="D93" i="11" s="1"/>
  <c r="C89" i="11"/>
  <c r="D89" i="11" s="1"/>
  <c r="C86" i="11"/>
  <c r="D86" i="11" s="1"/>
  <c r="C84" i="11"/>
  <c r="D84" i="11" s="1"/>
  <c r="C78" i="11"/>
  <c r="D78" i="11" s="1"/>
  <c r="C74" i="11"/>
  <c r="D74" i="11" s="1"/>
  <c r="C72" i="11"/>
  <c r="D72" i="11" s="1"/>
  <c r="C70" i="11"/>
  <c r="D70" i="11" s="1"/>
  <c r="C94" i="11"/>
  <c r="D94" i="11" s="1"/>
  <c r="C90" i="11"/>
  <c r="D90" i="11" s="1"/>
  <c r="C82" i="11"/>
  <c r="D82" i="11" s="1"/>
  <c r="C79" i="11"/>
  <c r="D79" i="11" s="1"/>
  <c r="C75" i="11"/>
  <c r="D75" i="11" s="1"/>
  <c r="C92" i="11"/>
  <c r="D92" i="11" s="1"/>
  <c r="C88" i="11"/>
  <c r="D88" i="11" s="1"/>
  <c r="C91" i="11"/>
  <c r="D91" i="11" s="1"/>
  <c r="C87" i="11"/>
  <c r="D87" i="11" s="1"/>
  <c r="C85" i="11"/>
  <c r="D85" i="11" s="1"/>
  <c r="C83" i="11"/>
  <c r="D83" i="11" s="1"/>
  <c r="C80" i="11"/>
  <c r="D80" i="11" s="1"/>
  <c r="C76" i="11"/>
  <c r="D76" i="11" s="1"/>
  <c r="C73" i="11"/>
  <c r="D73" i="11" s="1"/>
  <c r="C71" i="11"/>
  <c r="D71" i="11" s="1"/>
  <c r="C81" i="11"/>
  <c r="D81" i="11" s="1"/>
  <c r="C77" i="11"/>
  <c r="D77" i="11" s="1"/>
  <c r="C69" i="11"/>
  <c r="D69" i="11" s="1"/>
  <c r="L198" i="10"/>
  <c r="N198" i="10" s="1"/>
  <c r="J198" i="10"/>
  <c r="J170" i="10"/>
  <c r="L170" i="10"/>
  <c r="N170" i="10" s="1"/>
  <c r="J138" i="10"/>
  <c r="M138" i="10"/>
  <c r="N138" i="10" s="1"/>
  <c r="J102" i="10"/>
  <c r="L102" i="10"/>
  <c r="N102" i="10" s="1"/>
  <c r="L66" i="10"/>
  <c r="N66" i="10" s="1"/>
  <c r="J66" i="10"/>
  <c r="G105" i="11" l="1"/>
  <c r="I105" i="11" s="1"/>
  <c r="C67" i="11"/>
  <c r="C100" i="11"/>
  <c r="C98" i="11"/>
  <c r="C99" i="11" s="1"/>
  <c r="C97" i="11"/>
  <c r="B84" i="10"/>
  <c r="B85" i="10" s="1"/>
  <c r="C85" i="10" s="1"/>
  <c r="B185" i="10"/>
  <c r="B188" i="10"/>
  <c r="B156" i="10"/>
  <c r="B153" i="10"/>
  <c r="B120" i="10"/>
  <c r="B117" i="10"/>
  <c r="B81" i="10"/>
  <c r="B48" i="10"/>
  <c r="B45" i="10"/>
  <c r="B82" i="10" l="1"/>
  <c r="C101" i="11"/>
  <c r="D98" i="11"/>
  <c r="D99" i="11" s="1"/>
  <c r="D97" i="11"/>
  <c r="D100" i="11"/>
  <c r="N107" i="11"/>
  <c r="Q107" i="11" s="1"/>
  <c r="E107" i="11" s="1"/>
  <c r="G104" i="11"/>
  <c r="I104" i="11" s="1"/>
  <c r="B189" i="10"/>
  <c r="C189" i="10" s="1"/>
  <c r="B186" i="10"/>
  <c r="B187" i="10"/>
  <c r="B155" i="10"/>
  <c r="B154" i="10"/>
  <c r="B157" i="10"/>
  <c r="C157" i="10" s="1"/>
  <c r="B119" i="10"/>
  <c r="B118" i="10"/>
  <c r="B121" i="10"/>
  <c r="C121" i="10" s="1"/>
  <c r="B83" i="10"/>
  <c r="B47" i="10"/>
  <c r="B49" i="10"/>
  <c r="C49" i="10" s="1"/>
  <c r="B46" i="10"/>
  <c r="G146" i="10" l="1"/>
  <c r="I146" i="10" s="1"/>
  <c r="J118" i="10"/>
  <c r="G178" i="10"/>
  <c r="I178" i="10" s="1"/>
  <c r="J154" i="10"/>
  <c r="G74" i="10"/>
  <c r="I74" i="10" s="1"/>
  <c r="J46" i="10"/>
  <c r="G206" i="10"/>
  <c r="I206" i="10" s="1"/>
  <c r="J186" i="10"/>
  <c r="G110" i="10"/>
  <c r="I110" i="10" s="1"/>
  <c r="J82" i="10"/>
  <c r="G107" i="11"/>
  <c r="L64" i="11" s="1"/>
  <c r="I107" i="11"/>
  <c r="N64" i="11" s="1"/>
  <c r="D101" i="11"/>
  <c r="C192" i="10"/>
  <c r="D192" i="10" s="1"/>
  <c r="C194" i="10"/>
  <c r="D194" i="10" s="1"/>
  <c r="C193" i="10"/>
  <c r="D193" i="10" s="1"/>
  <c r="C195" i="10"/>
  <c r="D195" i="10" s="1"/>
  <c r="C191" i="10"/>
  <c r="C164" i="10"/>
  <c r="D164" i="10" s="1"/>
  <c r="C160" i="10"/>
  <c r="D160" i="10" s="1"/>
  <c r="C166" i="10"/>
  <c r="D166" i="10" s="1"/>
  <c r="C165" i="10"/>
  <c r="D165" i="10" s="1"/>
  <c r="C162" i="10"/>
  <c r="D162" i="10" s="1"/>
  <c r="C161" i="10"/>
  <c r="D161" i="10" s="1"/>
  <c r="C167" i="10"/>
  <c r="D167" i="10" s="1"/>
  <c r="C163" i="10"/>
  <c r="D163" i="10" s="1"/>
  <c r="C159" i="10"/>
  <c r="D159" i="10" s="1"/>
  <c r="C134" i="10"/>
  <c r="D134" i="10" s="1"/>
  <c r="C130" i="10"/>
  <c r="D130" i="10" s="1"/>
  <c r="C127" i="10"/>
  <c r="D127" i="10" s="1"/>
  <c r="C126" i="10"/>
  <c r="D126" i="10" s="1"/>
  <c r="C135" i="10"/>
  <c r="D135" i="10" s="1"/>
  <c r="C131" i="10"/>
  <c r="D131" i="10" s="1"/>
  <c r="C123" i="10"/>
  <c r="D123" i="10" s="1"/>
  <c r="C129" i="10"/>
  <c r="D129" i="10" s="1"/>
  <c r="C125" i="10"/>
  <c r="D125" i="10" s="1"/>
  <c r="C132" i="10"/>
  <c r="D132" i="10" s="1"/>
  <c r="C128" i="10"/>
  <c r="D128" i="10" s="1"/>
  <c r="C124" i="10"/>
  <c r="D124" i="10" s="1"/>
  <c r="C133" i="10"/>
  <c r="D133" i="10" s="1"/>
  <c r="C96" i="10"/>
  <c r="D96" i="10" s="1"/>
  <c r="C93" i="10"/>
  <c r="D93" i="10" s="1"/>
  <c r="C88" i="10"/>
  <c r="D88" i="10" s="1"/>
  <c r="C97" i="10"/>
  <c r="D97" i="10" s="1"/>
  <c r="C94" i="10"/>
  <c r="D94" i="10" s="1"/>
  <c r="C89" i="10"/>
  <c r="D89" i="10" s="1"/>
  <c r="C92" i="10"/>
  <c r="D92" i="10" s="1"/>
  <c r="C98" i="10"/>
  <c r="D98" i="10" s="1"/>
  <c r="C95" i="10"/>
  <c r="D95" i="10" s="1"/>
  <c r="C99" i="10"/>
  <c r="D99" i="10" s="1"/>
  <c r="C90" i="10"/>
  <c r="D90" i="10" s="1"/>
  <c r="C87" i="10"/>
  <c r="D87" i="10" s="1"/>
  <c r="C91" i="10"/>
  <c r="D91" i="10" s="1"/>
  <c r="C63" i="10"/>
  <c r="D63" i="10" s="1"/>
  <c r="C59" i="10"/>
  <c r="D59" i="10" s="1"/>
  <c r="C58" i="10"/>
  <c r="D58" i="10" s="1"/>
  <c r="C55" i="10"/>
  <c r="D55" i="10" s="1"/>
  <c r="C53" i="10"/>
  <c r="D53" i="10" s="1"/>
  <c r="C52" i="10"/>
  <c r="D52" i="10" s="1"/>
  <c r="C60" i="10"/>
  <c r="D60" i="10" s="1"/>
  <c r="C56" i="10"/>
  <c r="D56" i="10" s="1"/>
  <c r="C54" i="10"/>
  <c r="D54" i="10" s="1"/>
  <c r="C62" i="10"/>
  <c r="D62" i="10" s="1"/>
  <c r="C61" i="10"/>
  <c r="D61" i="10" s="1"/>
  <c r="C57" i="10"/>
  <c r="D57" i="10" s="1"/>
  <c r="C51" i="10"/>
  <c r="D51" i="10" s="1"/>
  <c r="C198" i="10" l="1"/>
  <c r="C199" i="10"/>
  <c r="C200" i="10" s="1"/>
  <c r="C201" i="10"/>
  <c r="D191" i="10"/>
  <c r="C170" i="10"/>
  <c r="C171" i="10"/>
  <c r="C172" i="10" s="1"/>
  <c r="C173" i="10"/>
  <c r="C141" i="10"/>
  <c r="C139" i="10"/>
  <c r="C140" i="10" s="1"/>
  <c r="C138" i="10"/>
  <c r="C142" i="10" s="1"/>
  <c r="C102" i="10"/>
  <c r="C105" i="10"/>
  <c r="C103" i="10"/>
  <c r="C104" i="10" s="1"/>
  <c r="C66" i="10"/>
  <c r="C69" i="10"/>
  <c r="C67" i="10"/>
  <c r="C68" i="10" s="1"/>
  <c r="D198" i="10" l="1"/>
  <c r="D201" i="10"/>
  <c r="D199" i="10"/>
  <c r="D200" i="10" s="1"/>
  <c r="N208" i="10"/>
  <c r="Q208" i="10" s="1"/>
  <c r="E208" i="10" s="1"/>
  <c r="G205" i="10"/>
  <c r="I205" i="10" s="1"/>
  <c r="C202" i="10"/>
  <c r="N180" i="10"/>
  <c r="Q180" i="10" s="1"/>
  <c r="E180" i="10" s="1"/>
  <c r="G177" i="10"/>
  <c r="I177" i="10" s="1"/>
  <c r="D173" i="10"/>
  <c r="D171" i="10"/>
  <c r="D172" i="10" s="1"/>
  <c r="D170" i="10"/>
  <c r="C174" i="10"/>
  <c r="D138" i="10"/>
  <c r="D141" i="10"/>
  <c r="D139" i="10"/>
  <c r="D140" i="10" s="1"/>
  <c r="N148" i="10"/>
  <c r="Q148" i="10" s="1"/>
  <c r="E148" i="10" s="1"/>
  <c r="G145" i="10"/>
  <c r="I145" i="10" s="1"/>
  <c r="N112" i="10"/>
  <c r="Q112" i="10" s="1"/>
  <c r="E112" i="10" s="1"/>
  <c r="G109" i="10"/>
  <c r="I109" i="10" s="1"/>
  <c r="D105" i="10"/>
  <c r="D103" i="10"/>
  <c r="D104" i="10" s="1"/>
  <c r="D102" i="10"/>
  <c r="C106" i="10"/>
  <c r="D66" i="10"/>
  <c r="D69" i="10"/>
  <c r="D67" i="10"/>
  <c r="D68" i="10" s="1"/>
  <c r="N76" i="10"/>
  <c r="Q76" i="10" s="1"/>
  <c r="E76" i="10" s="1"/>
  <c r="G73" i="10"/>
  <c r="I73" i="10" s="1"/>
  <c r="C70" i="10"/>
  <c r="I208" i="10" l="1"/>
  <c r="N186" i="10" s="1"/>
  <c r="G208" i="10"/>
  <c r="L186" i="10" s="1"/>
  <c r="I180" i="10"/>
  <c r="N154" i="10" s="1"/>
  <c r="G180" i="10"/>
  <c r="L154" i="10" s="1"/>
  <c r="I148" i="10"/>
  <c r="N118" i="10" s="1"/>
  <c r="G148" i="10"/>
  <c r="L118" i="10" s="1"/>
  <c r="I76" i="10"/>
  <c r="N46" i="10" s="1"/>
  <c r="G76" i="10"/>
  <c r="L46" i="10" s="1"/>
  <c r="I112" i="10"/>
  <c r="N82" i="10" s="1"/>
  <c r="G112" i="10"/>
  <c r="L82" i="10" s="1"/>
  <c r="D174" i="10"/>
  <c r="D202" i="10"/>
  <c r="D142" i="10"/>
  <c r="D106" i="10"/>
  <c r="D70" i="10"/>
  <c r="G32" i="10" l="1"/>
  <c r="F32" i="10"/>
  <c r="L11" i="10" l="1"/>
  <c r="L27" i="10"/>
  <c r="F34" i="10"/>
  <c r="G34" i="10"/>
  <c r="L12" i="10" l="1"/>
  <c r="L13" i="10"/>
  <c r="L26" i="10"/>
  <c r="L25" i="10"/>
  <c r="M10" i="10"/>
  <c r="L15" i="10"/>
  <c r="L14" i="10"/>
  <c r="H31" i="10"/>
  <c r="H32" i="10" s="1"/>
  <c r="L10" i="10"/>
  <c r="L30" i="10" l="1"/>
  <c r="M23" i="10" l="1"/>
  <c r="J23" i="10"/>
  <c r="M17" i="10"/>
  <c r="J17" i="10"/>
  <c r="M18" i="10"/>
  <c r="J18" i="10"/>
  <c r="M20" i="10"/>
  <c r="I31" i="10"/>
  <c r="I32" i="10" s="1"/>
  <c r="J20" i="10"/>
  <c r="M30" i="10" l="1"/>
  <c r="J30" i="10"/>
  <c r="N30" i="10"/>
  <c r="B7" i="10" l="1"/>
  <c r="B5" i="10" s="1"/>
  <c r="J5" i="10" s="1"/>
  <c r="B4" i="10"/>
  <c r="B6" i="10" s="1"/>
  <c r="G38" i="10" l="1"/>
  <c r="I38" i="10" s="1"/>
  <c r="B8" i="10"/>
  <c r="C8" i="10" s="1"/>
  <c r="C27" i="10"/>
  <c r="D27" i="10" s="1"/>
  <c r="C13" i="10"/>
  <c r="D13" i="10" s="1"/>
  <c r="C10" i="10"/>
  <c r="D10" i="10" s="1"/>
  <c r="C23" i="10"/>
  <c r="D23" i="10" s="1"/>
  <c r="C19" i="10"/>
  <c r="D19" i="10" s="1"/>
  <c r="C15" i="10"/>
  <c r="C22" i="10"/>
  <c r="D22" i="10" s="1"/>
  <c r="C18" i="10"/>
  <c r="D18" i="10" s="1"/>
  <c r="C14" i="10"/>
  <c r="D14" i="10" s="1"/>
  <c r="C25" i="10"/>
  <c r="D25" i="10" s="1"/>
  <c r="C21" i="10"/>
  <c r="D21" i="10" s="1"/>
  <c r="C17" i="10"/>
  <c r="D17" i="10" s="1"/>
  <c r="C24" i="10"/>
  <c r="D24" i="10" s="1"/>
  <c r="C20" i="10"/>
  <c r="D20" i="10" s="1"/>
  <c r="C16" i="10"/>
  <c r="D16" i="10" s="1"/>
  <c r="C26" i="10"/>
  <c r="D26" i="10" s="1"/>
  <c r="C12" i="10"/>
  <c r="D12" i="10" s="1"/>
  <c r="C11" i="10"/>
  <c r="D11" i="10" s="1"/>
  <c r="C30" i="10" l="1"/>
  <c r="C31" i="10"/>
  <c r="C33" i="10"/>
  <c r="N40" i="10" s="1"/>
  <c r="Q40" i="10" s="1"/>
  <c r="E40" i="10" s="1"/>
  <c r="D15" i="10"/>
  <c r="D33" i="10" s="1"/>
  <c r="G40" i="10" l="1"/>
  <c r="L5" i="10" s="1"/>
  <c r="I40" i="10"/>
  <c r="N5" i="10" s="1"/>
  <c r="C32" i="10"/>
  <c r="C34" i="10"/>
  <c r="D30" i="10"/>
  <c r="D31" i="10"/>
  <c r="G37" i="10"/>
  <c r="I37" i="10" s="1"/>
  <c r="D32" i="10" l="1"/>
  <c r="D34" i="10"/>
  <c r="J17" i="11" l="1"/>
  <c r="J18" i="11"/>
  <c r="I48" i="11"/>
  <c r="I50" i="11"/>
  <c r="J20" i="11"/>
  <c r="J48" i="11" l="1"/>
  <c r="B4" i="11" s="1"/>
  <c r="B6" i="11" s="1"/>
  <c r="B7" i="11" l="1"/>
  <c r="B5" i="11" s="1"/>
  <c r="C36" i="11" l="1"/>
  <c r="D36" i="11" s="1"/>
  <c r="J5" i="11"/>
  <c r="B8" i="11"/>
  <c r="C42" i="11"/>
  <c r="D42" i="11" s="1"/>
  <c r="C41" i="11"/>
  <c r="D41" i="11" s="1"/>
  <c r="C34" i="11"/>
  <c r="D34" i="11" s="1"/>
  <c r="C39" i="11"/>
  <c r="D39" i="11" s="1"/>
  <c r="C31" i="11"/>
  <c r="D31" i="11" s="1"/>
  <c r="C43" i="11"/>
  <c r="D43" i="11" s="1"/>
  <c r="C37" i="11"/>
  <c r="D37" i="11" s="1"/>
  <c r="C29" i="11"/>
  <c r="D29" i="11" s="1"/>
  <c r="C10" i="11"/>
  <c r="D10" i="11" s="1"/>
  <c r="C17" i="11"/>
  <c r="D17" i="11" s="1"/>
  <c r="C33" i="11"/>
  <c r="D33" i="11" s="1"/>
  <c r="C26" i="11"/>
  <c r="D26" i="11" s="1"/>
  <c r="C38" i="11"/>
  <c r="D38" i="11" s="1"/>
  <c r="C30" i="11"/>
  <c r="D30" i="11" s="1"/>
  <c r="C45" i="11"/>
  <c r="D45" i="11" s="1"/>
  <c r="C32" i="11"/>
  <c r="D32" i="11" s="1"/>
  <c r="C35" i="11"/>
  <c r="D35" i="11" s="1"/>
  <c r="C44" i="11"/>
  <c r="D44" i="11" s="1"/>
  <c r="C19" i="11"/>
  <c r="D19" i="11" s="1"/>
  <c r="C25" i="11"/>
  <c r="D25" i="11" s="1"/>
  <c r="C18" i="11"/>
  <c r="D18" i="11" s="1"/>
  <c r="C27" i="11"/>
  <c r="D27" i="11" s="1"/>
  <c r="C11" i="11"/>
  <c r="D11" i="11" s="1"/>
  <c r="C16" i="11"/>
  <c r="D16" i="11" s="1"/>
  <c r="C22" i="11"/>
  <c r="D22" i="11" s="1"/>
  <c r="C15" i="11"/>
  <c r="D15" i="11" s="1"/>
  <c r="C21" i="11"/>
  <c r="D21" i="11" s="1"/>
  <c r="C20" i="11"/>
  <c r="D20" i="11" s="1"/>
  <c r="C24" i="11"/>
  <c r="D24" i="11" s="1"/>
  <c r="C40" i="11"/>
  <c r="D40" i="11" s="1"/>
  <c r="C14" i="11"/>
  <c r="D14" i="11" s="1"/>
  <c r="C13" i="11"/>
  <c r="D13" i="11" s="1"/>
  <c r="C23" i="11"/>
  <c r="D23" i="11" s="1"/>
  <c r="C12" i="11"/>
  <c r="D12" i="11" s="1"/>
  <c r="C28" i="11"/>
  <c r="D28" i="11" s="1"/>
  <c r="G56" i="11" l="1"/>
  <c r="I56" i="11" s="1"/>
  <c r="C8" i="11"/>
  <c r="C51" i="11"/>
  <c r="N58" i="11" s="1"/>
  <c r="Q58" i="11" s="1"/>
  <c r="E58" i="11" s="1"/>
  <c r="C49" i="11"/>
  <c r="C50" i="11" s="1"/>
  <c r="C48" i="11"/>
  <c r="D49" i="11"/>
  <c r="D50" i="11" s="1"/>
  <c r="D51" i="11"/>
  <c r="D48" i="11"/>
  <c r="G55" i="11" l="1"/>
  <c r="I55" i="11" s="1"/>
  <c r="I58" i="11"/>
  <c r="N5" i="11" s="1"/>
  <c r="G58" i="11"/>
  <c r="L5" i="11" s="1"/>
  <c r="C52" i="11"/>
  <c r="D52" i="11"/>
</calcChain>
</file>

<file path=xl/sharedStrings.xml><?xml version="1.0" encoding="utf-8"?>
<sst xmlns="http://schemas.openxmlformats.org/spreadsheetml/2006/main" count="1582" uniqueCount="191">
  <si>
    <t>Promedio</t>
  </si>
  <si>
    <t>Puntuación diferenciales</t>
  </si>
  <si>
    <t>Suma de los productos xy</t>
  </si>
  <si>
    <t>Suma de los cuadrados x</t>
  </si>
  <si>
    <t>Suma de los cuadrados y</t>
  </si>
  <si>
    <t>Suma de los cuadratos xy</t>
  </si>
  <si>
    <t>Error</t>
  </si>
  <si>
    <r>
      <t>x</t>
    </r>
    <r>
      <rPr>
        <vertAlign val="subscript"/>
        <sz val="10"/>
        <rFont val="Calibri"/>
        <family val="2"/>
      </rPr>
      <t>i</t>
    </r>
    <r>
      <rPr>
        <sz val="10"/>
        <rFont val="Calibri"/>
        <family val="2"/>
      </rPr>
      <t xml:space="preserve"> - x</t>
    </r>
    <r>
      <rPr>
        <vertAlign val="subscript"/>
        <sz val="10"/>
        <rFont val="Calibri"/>
        <family val="2"/>
      </rPr>
      <t>media</t>
    </r>
  </si>
  <si>
    <r>
      <t>y</t>
    </r>
    <r>
      <rPr>
        <vertAlign val="subscript"/>
        <sz val="10"/>
        <rFont val="Calibri"/>
        <family val="2"/>
      </rPr>
      <t>i</t>
    </r>
    <r>
      <rPr>
        <sz val="10"/>
        <rFont val="Calibri"/>
        <family val="2"/>
      </rPr>
      <t xml:space="preserve"> - y</t>
    </r>
    <r>
      <rPr>
        <vertAlign val="subscript"/>
        <sz val="10"/>
        <rFont val="Calibri"/>
        <family val="2"/>
      </rPr>
      <t>media</t>
    </r>
  </si>
  <si>
    <r>
      <t>(x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 * (y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t>
    </r>
  </si>
  <si>
    <r>
      <t>(x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t>
    </r>
    <r>
      <rPr>
        <vertAlign val="superscript"/>
        <sz val="10"/>
        <rFont val="Calibri"/>
        <family val="2"/>
      </rPr>
      <t>2</t>
    </r>
  </si>
  <si>
    <r>
      <t>(y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t>
    </r>
    <r>
      <rPr>
        <vertAlign val="superscript"/>
        <sz val="10"/>
        <rFont val="Calibri"/>
        <family val="2"/>
      </rPr>
      <t>2</t>
    </r>
  </si>
  <si>
    <r>
      <t>(x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t>
    </r>
    <r>
      <rPr>
        <vertAlign val="superscript"/>
        <sz val="10"/>
        <rFont val="Calibri"/>
        <family val="2"/>
      </rPr>
      <t>2</t>
    </r>
    <r>
      <rPr>
        <sz val="10"/>
        <rFont val="Calibri"/>
        <family val="2"/>
      </rPr>
      <t xml:space="preserve"> * (y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t>
    </r>
    <r>
      <rPr>
        <vertAlign val="superscript"/>
        <sz val="10"/>
        <rFont val="Calibri"/>
        <family val="2"/>
      </rPr>
      <t>2</t>
    </r>
  </si>
  <si>
    <r>
      <t>b=  SP</t>
    </r>
    <r>
      <rPr>
        <vertAlign val="subscript"/>
        <sz val="10"/>
        <rFont val="Calibri"/>
        <family val="2"/>
      </rPr>
      <t>xy</t>
    </r>
    <r>
      <rPr>
        <sz val="10"/>
        <rFont val="Calibri"/>
        <family val="2"/>
      </rPr>
      <t xml:space="preserve"> / SC</t>
    </r>
    <r>
      <rPr>
        <vertAlign val="subscript"/>
        <sz val="10"/>
        <rFont val="Calibri"/>
        <family val="2"/>
      </rPr>
      <t>x</t>
    </r>
    <r>
      <rPr>
        <sz val="10"/>
        <rFont val="Calibri"/>
        <family val="2"/>
      </rPr>
      <t xml:space="preserve"> =</t>
    </r>
  </si>
  <si>
    <r>
      <t>b = r</t>
    </r>
    <r>
      <rPr>
        <vertAlign val="subscript"/>
        <sz val="10"/>
        <color indexed="36"/>
        <rFont val="Calibri"/>
        <family val="2"/>
      </rPr>
      <t>xy</t>
    </r>
    <r>
      <rPr>
        <sz val="10"/>
        <color indexed="36"/>
        <rFont val="Calibri"/>
        <family val="2"/>
      </rPr>
      <t xml:space="preserve"> * s</t>
    </r>
    <r>
      <rPr>
        <vertAlign val="subscript"/>
        <sz val="10"/>
        <color indexed="36"/>
        <rFont val="Calibri"/>
        <family val="2"/>
      </rPr>
      <t>y</t>
    </r>
    <r>
      <rPr>
        <sz val="10"/>
        <color indexed="36"/>
        <rFont val="Calibri"/>
        <family val="2"/>
      </rPr>
      <t>/s</t>
    </r>
    <r>
      <rPr>
        <vertAlign val="subscript"/>
        <sz val="10"/>
        <color indexed="36"/>
        <rFont val="Calibri"/>
        <family val="2"/>
      </rPr>
      <t>x</t>
    </r>
    <r>
      <rPr>
        <sz val="10"/>
        <color indexed="36"/>
        <rFont val="Calibri"/>
        <family val="2"/>
      </rPr>
      <t xml:space="preserve"> =</t>
    </r>
  </si>
  <si>
    <t xml:space="preserve">a = </t>
  </si>
  <si>
    <t>Suma</t>
  </si>
  <si>
    <r>
      <t xml:space="preserve">DE= </t>
    </r>
    <r>
      <rPr>
        <i/>
        <sz val="10"/>
        <rFont val="Calibri"/>
        <family val="2"/>
      </rPr>
      <t>s</t>
    </r>
  </si>
  <si>
    <r>
      <t>s</t>
    </r>
    <r>
      <rPr>
        <vertAlign val="superscript"/>
        <sz val="10"/>
        <rFont val="Calibri"/>
        <family val="2"/>
      </rPr>
      <t>2</t>
    </r>
  </si>
  <si>
    <t>Contar:</t>
  </si>
  <si>
    <t>Z</t>
  </si>
  <si>
    <t>t observada</t>
  </si>
  <si>
    <t>Valor de p</t>
  </si>
  <si>
    <r>
      <t>El estadístico de contraste de r</t>
    </r>
    <r>
      <rPr>
        <vertAlign val="subscript"/>
        <sz val="10"/>
        <rFont val="Calibri"/>
        <family val="2"/>
      </rPr>
      <t>xy</t>
    </r>
    <r>
      <rPr>
        <sz val="10"/>
        <rFont val="Calibri"/>
        <family val="2"/>
      </rPr>
      <t xml:space="preserve"> es  t obtenida</t>
    </r>
    <r>
      <rPr>
        <vertAlign val="subscript"/>
        <sz val="10"/>
        <rFont val="Calibri"/>
        <family val="2"/>
      </rPr>
      <t xml:space="preserve"> n-2; alfa 2 colas</t>
    </r>
    <r>
      <rPr>
        <sz val="10"/>
        <rFont val="Calibri"/>
        <family val="2"/>
      </rPr>
      <t xml:space="preserve"> = r</t>
    </r>
    <r>
      <rPr>
        <vertAlign val="subscript"/>
        <sz val="10"/>
        <rFont val="Calibri"/>
        <family val="2"/>
      </rPr>
      <t>xy</t>
    </r>
    <r>
      <rPr>
        <sz val="10"/>
        <rFont val="Calibri"/>
        <family val="2"/>
      </rPr>
      <t xml:space="preserve"> * Raíz (n-2 / 1-r</t>
    </r>
    <r>
      <rPr>
        <vertAlign val="subscript"/>
        <sz val="10"/>
        <rFont val="Calibri"/>
        <family val="2"/>
      </rPr>
      <t>xy</t>
    </r>
    <r>
      <rPr>
        <vertAlign val="superscript"/>
        <sz val="10"/>
        <rFont val="Calibri"/>
        <family val="2"/>
      </rPr>
      <t>2</t>
    </r>
    <r>
      <rPr>
        <sz val="10"/>
        <rFont val="Calibri"/>
        <family val="2"/>
      </rPr>
      <t>)</t>
    </r>
  </si>
  <si>
    <r>
      <t>El estadístico de contraste de "b"; es  t obtenida</t>
    </r>
    <r>
      <rPr>
        <vertAlign val="subscript"/>
        <sz val="10"/>
        <rFont val="Calibri"/>
        <family val="2"/>
      </rPr>
      <t xml:space="preserve"> n-2; alfa 2 colas</t>
    </r>
    <r>
      <rPr>
        <sz val="10"/>
        <rFont val="Calibri"/>
        <family val="2"/>
      </rPr>
      <t xml:space="preserve"> = b  / s</t>
    </r>
    <r>
      <rPr>
        <vertAlign val="subscript"/>
        <sz val="10"/>
        <rFont val="Calibri"/>
        <family val="2"/>
      </rPr>
      <t>y</t>
    </r>
    <r>
      <rPr>
        <sz val="10"/>
        <rFont val="Calibri"/>
        <family val="2"/>
      </rPr>
      <t>/s</t>
    </r>
    <r>
      <rPr>
        <vertAlign val="subscript"/>
        <sz val="10"/>
        <rFont val="Calibri"/>
        <family val="2"/>
      </rPr>
      <t>x</t>
    </r>
    <r>
      <rPr>
        <sz val="10"/>
        <rFont val="Calibri"/>
        <family val="2"/>
      </rPr>
      <t xml:space="preserve"> * Raíz [ (1-r</t>
    </r>
    <r>
      <rPr>
        <vertAlign val="subscript"/>
        <sz val="10"/>
        <rFont val="Calibri"/>
        <family val="2"/>
      </rPr>
      <t>xy</t>
    </r>
    <r>
      <rPr>
        <vertAlign val="superscript"/>
        <sz val="10"/>
        <rFont val="Calibri"/>
        <family val="2"/>
      </rPr>
      <t>2</t>
    </r>
    <r>
      <rPr>
        <sz val="10"/>
        <rFont val="Calibri"/>
        <family val="2"/>
      </rPr>
      <t>) / (n-2) ]</t>
    </r>
  </si>
  <si>
    <r>
      <t>El IC "b" = b +-  t teórica</t>
    </r>
    <r>
      <rPr>
        <vertAlign val="subscript"/>
        <sz val="10"/>
        <rFont val="Calibri"/>
        <family val="2"/>
      </rPr>
      <t xml:space="preserve"> n-2; alfa 2 colas</t>
    </r>
    <r>
      <rPr>
        <sz val="10"/>
        <rFont val="Calibri"/>
        <family val="2"/>
      </rPr>
      <t xml:space="preserve"> * { s</t>
    </r>
    <r>
      <rPr>
        <vertAlign val="subscript"/>
        <sz val="10"/>
        <rFont val="Calibri"/>
        <family val="2"/>
      </rPr>
      <t>y</t>
    </r>
    <r>
      <rPr>
        <sz val="10"/>
        <rFont val="Calibri"/>
        <family val="2"/>
      </rPr>
      <t>/s</t>
    </r>
    <r>
      <rPr>
        <vertAlign val="subscript"/>
        <sz val="10"/>
        <rFont val="Calibri"/>
        <family val="2"/>
      </rPr>
      <t>x</t>
    </r>
    <r>
      <rPr>
        <sz val="10"/>
        <rFont val="Calibri"/>
        <family val="2"/>
      </rPr>
      <t xml:space="preserve"> * Raíz [ (1-r</t>
    </r>
    <r>
      <rPr>
        <vertAlign val="subscript"/>
        <sz val="10"/>
        <rFont val="Calibri"/>
        <family val="2"/>
      </rPr>
      <t>xy</t>
    </r>
    <r>
      <rPr>
        <vertAlign val="superscript"/>
        <sz val="10"/>
        <rFont val="Calibri"/>
        <family val="2"/>
      </rPr>
      <t>2</t>
    </r>
    <r>
      <rPr>
        <sz val="10"/>
        <rFont val="Calibri"/>
        <family val="2"/>
      </rPr>
      <t>) / (n-2) ] }</t>
    </r>
  </si>
  <si>
    <t>LI IC 95%</t>
  </si>
  <si>
    <t>LS IC 95%</t>
  </si>
  <si>
    <t xml:space="preserve">IC al </t>
  </si>
  <si>
    <t>g.l. (n-2)</t>
  </si>
  <si>
    <t>"t teórica α/2; g l.</t>
  </si>
  <si>
    <r>
      <t>r</t>
    </r>
    <r>
      <rPr>
        <i/>
        <vertAlign val="subscript"/>
        <sz val="10"/>
        <rFont val="Calibri"/>
        <family val="2"/>
      </rPr>
      <t>xy</t>
    </r>
    <r>
      <rPr>
        <i/>
        <sz val="10"/>
        <rFont val="Calibri"/>
        <family val="2"/>
      </rPr>
      <t xml:space="preserve"> =</t>
    </r>
  </si>
  <si>
    <r>
      <t>R</t>
    </r>
    <r>
      <rPr>
        <i/>
        <vertAlign val="subscript"/>
        <sz val="10"/>
        <rFont val="Calibri"/>
        <family val="2"/>
      </rPr>
      <t>xy</t>
    </r>
    <r>
      <rPr>
        <i/>
        <vertAlign val="superscript"/>
        <sz val="10"/>
        <rFont val="Calibri"/>
        <family val="2"/>
      </rPr>
      <t>2</t>
    </r>
    <r>
      <rPr>
        <i/>
        <sz val="10"/>
        <rFont val="Calibri"/>
        <family val="2"/>
      </rPr>
      <t xml:space="preserve"> = </t>
    </r>
  </si>
  <si>
    <t xml:space="preserve">en la x, </t>
  </si>
  <si>
    <t>a</t>
  </si>
  <si>
    <t>con IC 95%</t>
  </si>
  <si>
    <t>se observa un cambio</t>
  </si>
  <si>
    <t>Por cada cambio observado de</t>
  </si>
  <si>
    <t>A más descenso de PAS desde el inicio, la estimación puntual muestra una débilmente menor inciencia de ACV /año. Sin embargo, no se encuentra diferencia estadísticamente significativa en el coeficiente de correlación "r" ni en el coeficiente de regresión"b". Además, de la no significación, el modelo dejaría sin explicar el comportamiento del ACV, es decir la variabilidad con la que se observa al ACV, en un 96,4%.</t>
  </si>
  <si>
    <t>ECA</t>
  </si>
  <si>
    <t xml:space="preserve">A más descenso de PAS desde el inicio, la estimación puntual muestra una menor incidencia de IAM /año. Por cada 1 unidad de descenso de la PA desde el inicio, se observa un descenso de 0,061% (IC 95%, 0,022% a 0,101%) por año en la incidencia de IAM. El comportamiento del IAM, es decir la variabilidad con la que se observa el IAM, sólo es explicado por el descenso de la PAS en un 30%, por lo que el 70% restante del comportamiento del IAM se explicaría por otros factores ajenos a la PAS. </t>
  </si>
  <si>
    <t>Mortalidad por todas las causas</t>
  </si>
  <si>
    <t>Mortalidad cardiovascular</t>
  </si>
  <si>
    <t>Infarto de miocardio</t>
  </si>
  <si>
    <t>Accidente cerebrovascular</t>
  </si>
  <si>
    <t>Insuficiencia cardíaca</t>
  </si>
  <si>
    <t>Enfermedad Renal Terminal</t>
  </si>
  <si>
    <t>A más descenso de PAS desde el inicio, la estimación puntual muestra una débilmente menor Mort /año. Sin embargo, no se encuentra diferencia estadísticamente significativa en el coeficiente de correlación "r" ni en el coeficiente de regresión"b". Además, de la no significación, el modelo dejaría sin explicar el comportamiento de la Mort, es decir la variabilidad con la que se observa la Mort, en un 98,9%.</t>
  </si>
  <si>
    <t>A menor PAS conseguida tras el seguimiento, la estimación puntual muestra una débilmente menor Mort /año. Sin embargo, no se encuentra diferencia estadísticamente significativa en el coeficiente de correlación "r" ni en el coeficiente de regresión"b". Además, de la no significación, el modelo dejaría sin explicar el comportamiento de la Mort, es decir la variabilidad con la que se observa la Mort, en un 87,3%.</t>
  </si>
  <si>
    <t>A menor PAS conseguida tras el seguimiento, la estimación puntual muestra una débilmente menor incidencia de IAM/año. Sin embargo, no se encuentra diferencia estadísticamente significativa en el coeficiente de correlación "r" ni en el coeficiente de regresión"b". Además, de la no significación, el modelo dejaría sin explicar el comportamiento del IAM, es decir la variabilidad con la que se observa el IAM, en un 95,8%.</t>
  </si>
  <si>
    <t>A menor PAS conseguida tras el seguimiento, la estimación puntual muestra una débilmente menor incidencia de EnfRenTerm/año. Sin embargo, no se encuentra diferencia estadísticamente significativa en el coeficiente de correlación "r" ni en el coeficiente de regresión"b". Además, de la no significación, el modelo dejaría sin explicar el comportamiento de la EnfRenTerm, es decir la variabilidad con la que se observa la EnfRenTerm, en un 98,1%.</t>
  </si>
  <si>
    <t xml:space="preserve">A menor PAS conseguida tras el seguimiento, la estimación puntual muestra una menor incidencia de ACV /año. Por cada 1 unidad de descenso de la PA desde el inicio, se observa un descenso de 0,031% (IC 95%, 0,005% a 0,057%) por año en la incidencia de IAM. El comportamiento del ACV, es decir la variabilidad con la que se observa el ACV, sólo es explicado por el descenso de la PAS en un 20%, por lo que el 80% restante del comportamiento del ACV se explicaría por otros factores ajenos a la PAS. </t>
  </si>
  <si>
    <t>A más descenso diferencial de PAS entre [Int vs Conv], la estimación puntual muestra una débilmente menor MortCV. Sin embargo, no se encuentra diferencia estadísticamente significativa en el coeficiente de correlación "r" ni en el coeficiente de regresión"b". Además, de la no significación, el modelo dejaría sin explicar el comportamiento de la MortCV, es decir la variabilidad con la que se observa la MortCV, en un 87%.</t>
  </si>
  <si>
    <t>A más descenso diferencial de PAS entre [Int vs Conv], la estimación puntual muestra una débilmente mayor incidencia de InsCard. Sin embargo, no se encuentra diferencia estadísticamente significativa en el coeficiente de correlación "r" ni en el coeficiente de regresión"b". Además, de la no significación, el modelo dejaría sin explicar el comportamiento de la InsCard, es decir la variabilidad con la que se observa la InsCard, en un 98,7%.</t>
  </si>
  <si>
    <t>A más descenso diferencial de PAS entre [Int vs Conv], la estimación puntual muestra una débilmente menor incidencia de IAM. Sin embargo, no se encuentra diferencia estadísticamente significativa en el coeficiente de correlación "r" ni en el coeficiente de regresión"b". Además, de la no significación, el modelo dejaría sin explicar el comportamiento del iAM, es decir la variabilidad con la que se observa el IAM, en un 96,3%.</t>
  </si>
  <si>
    <t>A más descenso diferencial de PAS entre [Int vs Conv], la estimación puntual muestra una igual incidencia de EnfRenTerm. Sin embargo, no se encuentra diferencia estadísticamente significativa en el coeficiente de correlación "r" ni en el coeficiente de regresión"b". Además, de la no significación, el modelo dejaría sin explicar el comportamiento de la EnfRenTerm, es decir la variabilidad con la que se observa la EnfRenTerm, en un 99,9%.</t>
  </si>
  <si>
    <t>A más descenso de PAS desde el inicio, la estimación puntual muestra una débilmente menor incidencia de InsCard /año. Sin embargo, no se encuentra diferencia estadísticamente significativa en el coeficiente de correlación "r" ni en el coeficiente de regresión"b". Además, de la no significación, el modelo dejaría sin explicar el comportamiento de la InsCArd, es decir la variabilidad con la que se observa la InsCard, en un 78,6%.</t>
  </si>
  <si>
    <t>DISTR.T("t" obtenida; g.l.; nº de colas)</t>
  </si>
  <si>
    <r>
      <t xml:space="preserve">20100429-ECA ACCORD 4,7y, DM 62,2y BP139 CV12 </t>
    </r>
    <r>
      <rPr>
        <sz val="11"/>
        <color rgb="FF0070C0"/>
        <rFont val="Calibri"/>
        <family val="2"/>
        <scheme val="minor"/>
      </rPr>
      <t>(19)</t>
    </r>
  </si>
  <si>
    <r>
      <t xml:space="preserve">20100610-ECA VALISH 3,07y, 76,1y BP169 CV34 </t>
    </r>
    <r>
      <rPr>
        <sz val="11"/>
        <color rgb="FF0070C0"/>
        <rFont val="Calibri"/>
        <family val="2"/>
        <scheme val="minor"/>
      </rPr>
      <t>(20)</t>
    </r>
  </si>
  <si>
    <r>
      <t xml:space="preserve">20151126-ECA SPRINT 3,26y, 67,9y BP140 CV22 </t>
    </r>
    <r>
      <rPr>
        <sz val="11"/>
        <color rgb="FF0070C0"/>
        <rFont val="Calibri"/>
        <family val="2"/>
        <scheme val="minor"/>
      </rPr>
      <t>(25)</t>
    </r>
  </si>
  <si>
    <r>
      <t xml:space="preserve">19950930-ECA Toto 3,45y, 55,7y BP123 FG38 CV36 </t>
    </r>
    <r>
      <rPr>
        <sz val="10"/>
        <color rgb="FF0070C0"/>
        <rFont val="Calibri"/>
        <family val="2"/>
        <scheme val="minor"/>
      </rPr>
      <t>(9)</t>
    </r>
  </si>
  <si>
    <r>
      <t xml:space="preserve">19980613-ECA HOT 3,8y, 61,5y BP170 CV8 </t>
    </r>
    <r>
      <rPr>
        <sz val="10"/>
        <color rgb="FF0070C0"/>
        <rFont val="Calibri"/>
        <family val="2"/>
        <scheme val="minor"/>
      </rPr>
      <t>(10)</t>
    </r>
  </si>
  <si>
    <r>
      <t xml:space="preserve">19990102-ECA UKPDS38 8,4y, DM 56y BP160 </t>
    </r>
    <r>
      <rPr>
        <sz val="10"/>
        <color rgb="FF0070C0"/>
        <rFont val="Calibri"/>
        <family val="2"/>
        <scheme val="minor"/>
      </rPr>
      <t>(11)</t>
    </r>
  </si>
  <si>
    <r>
      <t xml:space="preserve">20000430-ECA ABCD-H 5y, DM 58y BP155 CV53 </t>
    </r>
    <r>
      <rPr>
        <sz val="10"/>
        <color rgb="FF0070C0"/>
        <rFont val="Calibri"/>
        <family val="2"/>
        <scheme val="minor"/>
      </rPr>
      <t>(12)</t>
    </r>
  </si>
  <si>
    <r>
      <t xml:space="preserve">20020331-ECA ABCD-N 5y, DM 59y BP136 CV28 </t>
    </r>
    <r>
      <rPr>
        <sz val="10"/>
        <color rgb="FF0070C0"/>
        <rFont val="Calibri"/>
        <family val="2"/>
        <scheme val="minor"/>
      </rPr>
      <t>(13)</t>
    </r>
  </si>
  <si>
    <r>
      <t xml:space="preserve">20050301-ECA MDRD 6,2y, 51,7y BP140 FG33 </t>
    </r>
    <r>
      <rPr>
        <sz val="10"/>
        <color rgb="FF0070C0"/>
        <rFont val="Calibri"/>
        <family val="2"/>
        <scheme val="minor"/>
      </rPr>
      <t>(14)</t>
    </r>
  </si>
  <si>
    <r>
      <t xml:space="preserve">20050318-ECA REIN2 1,6y, 53,9y BP137 FG35 </t>
    </r>
    <r>
      <rPr>
        <sz val="10"/>
        <color rgb="FF0070C0"/>
        <rFont val="Calibri"/>
        <family val="2"/>
        <scheme val="minor"/>
      </rPr>
      <t>(15)</t>
    </r>
  </si>
  <si>
    <r>
      <t xml:space="preserve">20061231-ECA ABCD-2V 1,9y, DM 43,5y BP126 CV9 </t>
    </r>
    <r>
      <rPr>
        <sz val="10"/>
        <color rgb="FF0070C0"/>
        <rFont val="Calibri"/>
        <family val="2"/>
        <scheme val="minor"/>
      </rPr>
      <t>(16)</t>
    </r>
  </si>
  <si>
    <r>
      <t xml:space="preserve">20081231-ECA JATOS 2y, 73,6y BP172 CV7 </t>
    </r>
    <r>
      <rPr>
        <sz val="10"/>
        <color rgb="FF0070C0"/>
        <rFont val="Calibri"/>
        <family val="2"/>
        <scheme val="minor"/>
      </rPr>
      <t>(17)</t>
    </r>
  </si>
  <si>
    <r>
      <t xml:space="preserve">20090815-ECA Cardio-sis 2y, 67y BP163 CV22 </t>
    </r>
    <r>
      <rPr>
        <sz val="10"/>
        <color rgb="FF0070C0"/>
        <rFont val="Calibri"/>
        <family val="2"/>
        <scheme val="minor"/>
      </rPr>
      <t>(18)</t>
    </r>
  </si>
  <si>
    <r>
      <t xml:space="preserve">20100429-ECA ACCORD 4,7y, DM 62,2y BP139 CV12 </t>
    </r>
    <r>
      <rPr>
        <sz val="10"/>
        <color rgb="FF0070C0"/>
        <rFont val="Calibri"/>
        <family val="2"/>
        <scheme val="minor"/>
      </rPr>
      <t>(19)</t>
    </r>
  </si>
  <si>
    <r>
      <t xml:space="preserve">20100610-ECA VALISH 3,07y, 76,1y BP169 CV34 </t>
    </r>
    <r>
      <rPr>
        <sz val="10"/>
        <color rgb="FF0070C0"/>
        <rFont val="Calibri"/>
        <family val="2"/>
        <scheme val="minor"/>
      </rPr>
      <t>(20)</t>
    </r>
  </si>
  <si>
    <r>
      <t xml:space="preserve">20100902-ECA AASK 3y, 54,5y BP154 FG47 </t>
    </r>
    <r>
      <rPr>
        <sz val="10"/>
        <color rgb="FF0070C0"/>
        <rFont val="Calibri"/>
        <family val="2"/>
        <scheme val="minor"/>
      </rPr>
      <t>(21)</t>
    </r>
  </si>
  <si>
    <r>
      <t xml:space="preserve">20121130-ECA HOMED 4,9y, 59,6y BP154 CV3 </t>
    </r>
    <r>
      <rPr>
        <sz val="10"/>
        <color rgb="FF0070C0"/>
        <rFont val="Calibri"/>
        <family val="2"/>
        <scheme val="minor"/>
      </rPr>
      <t>(22)</t>
    </r>
  </si>
  <si>
    <r>
      <t xml:space="preserve">20130630-ECA Wei 4y, 76,5y BP160 CV7 </t>
    </r>
    <r>
      <rPr>
        <sz val="10"/>
        <color rgb="FF0070C0"/>
        <rFont val="Calibri"/>
        <family val="2"/>
        <scheme val="minor"/>
      </rPr>
      <t>(23)</t>
    </r>
  </si>
  <si>
    <r>
      <t xml:space="preserve">20130810-ECA SPS3 3,7y, TIA 63y BP143 CV100 </t>
    </r>
    <r>
      <rPr>
        <sz val="10"/>
        <color rgb="FF0070C0"/>
        <rFont val="Calibri"/>
        <family val="2"/>
        <scheme val="minor"/>
      </rPr>
      <t>(24)</t>
    </r>
  </si>
  <si>
    <r>
      <t xml:space="preserve">20151126-ECA SPRINT 3,26y, 67,9y BP140 CV22 </t>
    </r>
    <r>
      <rPr>
        <sz val="10"/>
        <color rgb="FF0070C0"/>
        <rFont val="Calibri"/>
        <family val="2"/>
        <scheme val="minor"/>
      </rPr>
      <t>(25)</t>
    </r>
  </si>
  <si>
    <r>
      <t xml:space="preserve">20160224-ECA PAST 1y, TIAóACV 72y BP143 CV100 </t>
    </r>
    <r>
      <rPr>
        <sz val="10"/>
        <color rgb="FF0070C0"/>
        <rFont val="Calibri"/>
        <family val="2"/>
        <scheme val="minor"/>
      </rPr>
      <t>(26)</t>
    </r>
  </si>
  <si>
    <t>A menor PAS conseguida tras el seguimiento, la estimación puntual muestra una débilmente mayor incidencia de InsCard/año. Sin embargo, no se encuentra diferencia estadísticamente significativa en el coeficiente de correlación "r" ni en el coeficiente de regresión"b". Además, de la no significación, el modelo dejaría sin explicar el comportamiento de la InsCard, es decir la variabilidad con la que se observa la InsCard, en un 98,7.</t>
  </si>
  <si>
    <t>COEFICIENTE DE CORRELACIÓN DE PEARSON Y RECTA DE REGRESIÓN LINEAL SIMPLE</t>
  </si>
  <si>
    <t>EfAdv graves o motivan hosp, atrib al tto</t>
  </si>
  <si>
    <t>Con sólo tres estudios no puede valorarse.</t>
  </si>
  <si>
    <t xml:space="preserve">A más descenso de PAS desde el inicio, la estimación puntual muestra una mayor inciencia de Efectos adversos graves o que motivan hospitalización/año, atriibuibles al tratamiento. Por cada 1 unidad de descenso de la PA desde el inicio, se observa un aumento de 0,044% (IC 95%, 0,007% a 0,081%) por año en la incidencia de tales Efectos adversos. El comportamiento de tales Efectos adversos, es decir la variabilidad con la que se observan estos Efectos adversos, es explicado por el descenso de la PAS en un 73%, por lo que el 27% restante del comportamiento de estos Efectos adversos se explicaría por otros factores ajenos a la PAS. </t>
  </si>
  <si>
    <t>A menor PAS conseguida tras el seguimiento, la estimación puntual muestra una débilmente menor incidencia de Efectos adversos graves o que motivan hospitalización /año, atribuibles al tratamiento. Sin embargo, no se encuentra diferencia estadísticamente significativa en el coeficiente de correlación "r" ni en el coeficiente de regresión"b". Además, de la no significación, el modelo dejaría sin explicar el comportamiento de tales Efectos adversos, es decir la variabilidad con la que se observan estos Efectos adversos, en un 95,4%.</t>
  </si>
  <si>
    <t>Modelo</t>
  </si>
  <si>
    <t>R</t>
  </si>
  <si>
    <t>R cuadrado</t>
  </si>
  <si>
    <t>R cuadrado ajustado</t>
  </si>
  <si>
    <t>Error estándar de la estimación</t>
  </si>
  <si>
    <t>Estadísticas de cambios</t>
  </si>
  <si>
    <t>Durbin-Watson</t>
  </si>
  <si>
    <t>Cambio de cuadrado de R</t>
  </si>
  <si>
    <t>Cambio en F</t>
  </si>
  <si>
    <t>df1</t>
  </si>
  <si>
    <t>df2</t>
  </si>
  <si>
    <t>Sig. Cambio en F</t>
  </si>
  <si>
    <t>1</t>
  </si>
  <si>
    <t>a. Predictores: (Constante), Alcanzan PAS desp seguim</t>
  </si>
  <si>
    <t>b. Variable dependiente: Mort/ año</t>
  </si>
  <si>
    <r>
      <t>Resumen del modelo</t>
    </r>
    <r>
      <rPr>
        <b/>
        <vertAlign val="superscript"/>
        <sz val="9"/>
        <color indexed="8"/>
        <rFont val="Arial Bold"/>
      </rPr>
      <t>b</t>
    </r>
  </si>
  <si>
    <r>
      <t>,371</t>
    </r>
    <r>
      <rPr>
        <vertAlign val="superscript"/>
        <sz val="9"/>
        <color indexed="8"/>
        <rFont val="Arial"/>
      </rPr>
      <t>a</t>
    </r>
  </si>
  <si>
    <t>Suma de cuadrados</t>
  </si>
  <si>
    <t>gl</t>
  </si>
  <si>
    <t>Media cuadrática</t>
  </si>
  <si>
    <t>F</t>
  </si>
  <si>
    <t>Sig.</t>
  </si>
  <si>
    <t>Regresión</t>
  </si>
  <si>
    <t>Residuo</t>
  </si>
  <si>
    <t>Total</t>
  </si>
  <si>
    <t>a. Variable dependiente: Mort/ año</t>
  </si>
  <si>
    <t>b. Predictores: (Constante), Alcanzan PAS desp seguim</t>
  </si>
  <si>
    <r>
      <t>ANOVA</t>
    </r>
    <r>
      <rPr>
        <b/>
        <vertAlign val="superscript"/>
        <sz val="9"/>
        <color indexed="8"/>
        <rFont val="Arial Bold"/>
      </rPr>
      <t>a</t>
    </r>
  </si>
  <si>
    <r>
      <t>,044</t>
    </r>
    <r>
      <rPr>
        <vertAlign val="superscript"/>
        <sz val="9"/>
        <color indexed="8"/>
        <rFont val="Arial"/>
      </rPr>
      <t>b</t>
    </r>
  </si>
  <si>
    <t>Coeficientes no estandarizados</t>
  </si>
  <si>
    <t>Coeficientes estandarizados</t>
  </si>
  <si>
    <t>t</t>
  </si>
  <si>
    <t>95,0% intervalo de confianza para B</t>
  </si>
  <si>
    <t>B</t>
  </si>
  <si>
    <t>Error estándar</t>
  </si>
  <si>
    <t>Beta</t>
  </si>
  <si>
    <t>Límite inferior</t>
  </si>
  <si>
    <t>Límite superior</t>
  </si>
  <si>
    <t>(Constante)</t>
  </si>
  <si>
    <t>Alcanzan PAS desp seguim</t>
  </si>
  <si>
    <r>
      <t>Coeficientes</t>
    </r>
    <r>
      <rPr>
        <b/>
        <vertAlign val="superscript"/>
        <sz val="9"/>
        <color indexed="8"/>
        <rFont val="Arial Bold"/>
      </rPr>
      <t>a</t>
    </r>
  </si>
  <si>
    <t>En beta</t>
  </si>
  <si>
    <t>Correlación parcial</t>
  </si>
  <si>
    <t>Estadísticas de colinealidad</t>
  </si>
  <si>
    <t>Tolerancia</t>
  </si>
  <si>
    <t>% con DM2 previa</t>
  </si>
  <si>
    <t>Edas, años</t>
  </si>
  <si>
    <t>% con enfermedad CV previa</t>
  </si>
  <si>
    <t>b. Predictores en el modelo: (Constante), Alcanzan PAS desp seguim</t>
  </si>
  <si>
    <r>
      <t>Variables excluidas</t>
    </r>
    <r>
      <rPr>
        <b/>
        <vertAlign val="superscript"/>
        <sz val="9"/>
        <color indexed="8"/>
        <rFont val="Arial Bold"/>
      </rPr>
      <t>a</t>
    </r>
  </si>
  <si>
    <r>
      <t>,281</t>
    </r>
    <r>
      <rPr>
        <vertAlign val="superscript"/>
        <sz val="9"/>
        <color indexed="8"/>
        <rFont val="Arial"/>
      </rPr>
      <t>b</t>
    </r>
  </si>
  <si>
    <r>
      <t>,122</t>
    </r>
    <r>
      <rPr>
        <vertAlign val="superscript"/>
        <sz val="9"/>
        <color indexed="8"/>
        <rFont val="Arial"/>
      </rPr>
      <t>b</t>
    </r>
  </si>
  <si>
    <r>
      <t>,032</t>
    </r>
    <r>
      <rPr>
        <vertAlign val="superscript"/>
        <sz val="9"/>
        <color indexed="8"/>
        <rFont val="Arial"/>
      </rPr>
      <t>b</t>
    </r>
  </si>
  <si>
    <t>MÉTODO DE ENTRADA DE MÁS VARIABLES PREDICTORAS POR PASOS</t>
  </si>
  <si>
    <t>En este caso puede observarse que no debe introducirse ninguna de las variables que estamos explorando introducir, pues puede verse en VARIABLES ELIMINADAS que no son estadísticamente significativas</t>
  </si>
  <si>
    <t>b. Variable dependiente: ACV/ año</t>
  </si>
  <si>
    <r>
      <t>,505</t>
    </r>
    <r>
      <rPr>
        <vertAlign val="superscript"/>
        <sz val="9"/>
        <color indexed="8"/>
        <rFont val="Arial"/>
        <family val="2"/>
      </rPr>
      <t>a</t>
    </r>
  </si>
  <si>
    <t>a. Variable dependiente: ACV/ año</t>
  </si>
  <si>
    <r>
      <t>,012</t>
    </r>
    <r>
      <rPr>
        <vertAlign val="superscript"/>
        <sz val="9"/>
        <color indexed="8"/>
        <rFont val="Arial"/>
        <family val="2"/>
      </rPr>
      <t>b</t>
    </r>
  </si>
  <si>
    <r>
      <t>-,004</t>
    </r>
    <r>
      <rPr>
        <vertAlign val="superscript"/>
        <sz val="9"/>
        <color indexed="8"/>
        <rFont val="Arial"/>
        <family val="2"/>
      </rPr>
      <t>b</t>
    </r>
  </si>
  <si>
    <r>
      <t>,325</t>
    </r>
    <r>
      <rPr>
        <vertAlign val="superscript"/>
        <sz val="9"/>
        <color indexed="8"/>
        <rFont val="Arial"/>
        <family val="2"/>
      </rPr>
      <t>b</t>
    </r>
  </si>
  <si>
    <r>
      <t>,076</t>
    </r>
    <r>
      <rPr>
        <vertAlign val="superscript"/>
        <sz val="9"/>
        <color indexed="8"/>
        <rFont val="Arial"/>
        <family val="2"/>
      </rPr>
      <t>b</t>
    </r>
  </si>
  <si>
    <t>a. Predictores: (Constante), Dif PAS [desp seguim vs antes]</t>
  </si>
  <si>
    <t>b. Variable dependiente: IAM/ año</t>
  </si>
  <si>
    <r>
      <t>,548</t>
    </r>
    <r>
      <rPr>
        <vertAlign val="superscript"/>
        <sz val="9"/>
        <color indexed="8"/>
        <rFont val="Arial"/>
        <family val="2"/>
      </rPr>
      <t>a</t>
    </r>
  </si>
  <si>
    <t>a. Variable dependiente: IAM/ año</t>
  </si>
  <si>
    <t>b. Predictores: (Constante), Dif PAS [desp seguim vs antes]</t>
  </si>
  <si>
    <r>
      <t>,004</t>
    </r>
    <r>
      <rPr>
        <vertAlign val="superscript"/>
        <sz val="9"/>
        <color indexed="8"/>
        <rFont val="Arial"/>
        <family val="2"/>
      </rPr>
      <t>b</t>
    </r>
  </si>
  <si>
    <t>Correlaciones</t>
  </si>
  <si>
    <t>Orden cero</t>
  </si>
  <si>
    <t>Parcial</t>
  </si>
  <si>
    <t>Parte</t>
  </si>
  <si>
    <t>VIF</t>
  </si>
  <si>
    <t>Dif PAS [desp seguim vs antes]</t>
  </si>
  <si>
    <t>Tolerancia mínima</t>
  </si>
  <si>
    <t>b. Predictores en el modelo: (Constante), Dif PAS [desp seguim vs antes]</t>
  </si>
  <si>
    <r>
      <t>,322</t>
    </r>
    <r>
      <rPr>
        <vertAlign val="superscript"/>
        <sz val="9"/>
        <color indexed="8"/>
        <rFont val="Arial"/>
        <family val="2"/>
      </rPr>
      <t>b</t>
    </r>
  </si>
  <si>
    <t>A más descenso de PAS desde el inicio, la estimación puntual muestra una débilmente menor inciencia de EnfRenTerm /año. Sin embargo, no se encuentra diferencia estadísticamente significativa en el coeficiente de correlación "r" ni en el coeficiente de regresión"b". Además, de la no significación, el modelo dejaría sin explicar el comportamiento de la EnfRenTerm, es decir la variabilidad con la que se observa al EnfRenTerm, en un 97,7%.</t>
  </si>
  <si>
    <t>A menor PAS conseguida tras el seguimiento, la estimación puntual muestra una débilmente menor Mort CV/año. Sin embargo, no se encuentra diferencia estadísticamente significativa en el coeficiente de correlación "r" ni en el coeficiente de regresión"b". Además, de la no significación, el modelo dejaría sin explicar el comportamiento de la MortCV, es decir la variabilidad con la que se observa la MortCV, en un 92,8%.</t>
  </si>
  <si>
    <t>A más descenso diferencial de PAS entre [Int vs Conv], la estimación puntual muestra una débilmente menor incidencia de ACV. Sin embargo, no se encuentra diferencia estadísticamente significativa en el coeficiente de correlación "r" ni en el coeficiente de regresión"b". Además, de la no significación, el modelo dejaría sin explicar el comportamiento del ACV, es decir la variabilidad con la que se observa el ACV, en un 93,1%.</t>
  </si>
  <si>
    <t xml:space="preserve">A más descenso de PAS desde el inicio, la estimación puntual muestra una menor MortCV /año. Por cada 1 unidad de descenso de la PA desde el inicio, se observa un descenso de 0,020% (IC 95%, 0,006% a 0,035%) por año en la incidencia de MortCV. El comportamiento de la MortCV, es decir la variabilidad con la que se observa la MortCV, sólo es explicado por el descenso de la PAS en un 26%, por lo que el 74% restante del comportamiento de la MortCV se explicaría por otros factores ajenos a la PAS. </t>
  </si>
  <si>
    <r>
      <t>en la</t>
    </r>
    <r>
      <rPr>
        <b/>
        <sz val="10"/>
        <color rgb="FF0070C0"/>
        <rFont val="Calibri"/>
        <family val="2"/>
        <scheme val="minor"/>
      </rPr>
      <t xml:space="preserve"> y </t>
    </r>
    <r>
      <rPr>
        <b/>
        <sz val="9"/>
        <color rgb="FFFF0066"/>
        <rFont val="Calibri"/>
        <family val="2"/>
        <scheme val="minor"/>
      </rPr>
      <t>'</t>
    </r>
    <r>
      <rPr>
        <b/>
        <sz val="10"/>
        <color rgb="FF0070C0"/>
        <rFont val="Calibri"/>
        <family val="2"/>
        <scheme val="minor"/>
      </rPr>
      <t xml:space="preserve"> </t>
    </r>
    <r>
      <rPr>
        <sz val="10"/>
        <color rgb="FF0070C0"/>
        <rFont val="Calibri"/>
        <family val="2"/>
        <scheme val="minor"/>
      </rPr>
      <t>de</t>
    </r>
  </si>
  <si>
    <t>Responde al modelo</t>
  </si>
  <si>
    <t>=&gt;</t>
  </si>
  <si>
    <r>
      <t>Y</t>
    </r>
    <r>
      <rPr>
        <vertAlign val="subscript"/>
        <sz val="10"/>
        <rFont val="Calibri"/>
        <family val="2"/>
      </rPr>
      <t xml:space="preserve">i </t>
    </r>
    <r>
      <rPr>
        <sz val="10"/>
        <rFont val="Calibri"/>
        <family val="2"/>
      </rPr>
      <t>=  (a + b</t>
    </r>
    <r>
      <rPr>
        <vertAlign val="subscript"/>
        <sz val="10"/>
        <rFont val="Calibri"/>
        <family val="2"/>
      </rPr>
      <t>1</t>
    </r>
    <r>
      <rPr>
        <sz val="10"/>
        <rFont val="Calibri"/>
        <family val="2"/>
      </rPr>
      <t>X</t>
    </r>
    <r>
      <rPr>
        <vertAlign val="subscript"/>
        <sz val="10"/>
        <rFont val="Calibri"/>
        <family val="2"/>
      </rPr>
      <t>1i</t>
    </r>
    <r>
      <rPr>
        <sz val="10"/>
        <rFont val="Calibri"/>
        <family val="2"/>
      </rPr>
      <t>)</t>
    </r>
    <r>
      <rPr>
        <sz val="10"/>
        <color indexed="14"/>
        <rFont val="Calibri"/>
        <family val="2"/>
      </rPr>
      <t xml:space="preserve"> </t>
    </r>
    <r>
      <rPr>
        <sz val="10"/>
        <rFont val="Calibri"/>
        <family val="2"/>
      </rPr>
      <t xml:space="preserve">+ </t>
    </r>
    <r>
      <rPr>
        <sz val="10"/>
        <rFont val="Symbol"/>
        <family val="1"/>
        <charset val="2"/>
      </rPr>
      <t>e</t>
    </r>
    <r>
      <rPr>
        <vertAlign val="subscript"/>
        <sz val="10"/>
        <rFont val="Calibri"/>
        <family val="2"/>
      </rPr>
      <t>i</t>
    </r>
  </si>
  <si>
    <t>RAR en Mort = -0,0155 + 0,0030 * Dif PAS [Int vs Conv] + Error aleatorio</t>
  </si>
  <si>
    <t>A más descenso diferencial de PAS entre [Int vs Conv], la estimación puntual muestra una débilmente menor Mort. Sin embargo, no se encuentra diferencia estadísticamente significativa en el coeficiente de correlación "r" ni en el coeficiente de regresión"b". Además de la no significación, el modelo dejaría sin explicar el comportamiento de la Mort, es decir la variabilidad con la que se observa la Mort, en un 85%.</t>
  </si>
  <si>
    <t>X = Dif PAS [Int vs Conv]</t>
  </si>
  <si>
    <t>Y = RAR en Mort</t>
  </si>
  <si>
    <r>
      <t>Y</t>
    </r>
    <r>
      <rPr>
        <sz val="11"/>
        <rFont val="Calibri"/>
        <family val="2"/>
        <scheme val="minor"/>
      </rPr>
      <t xml:space="preserve"> </t>
    </r>
    <r>
      <rPr>
        <b/>
        <sz val="11"/>
        <color rgb="FFFF0066"/>
        <rFont val="Calibri"/>
        <family val="2"/>
        <scheme val="minor"/>
      </rPr>
      <t>'</t>
    </r>
  </si>
  <si>
    <r>
      <t>Y</t>
    </r>
    <r>
      <rPr>
        <vertAlign val="subscript"/>
        <sz val="10"/>
        <rFont val="Calibri"/>
        <family val="2"/>
      </rPr>
      <t xml:space="preserve">i </t>
    </r>
    <r>
      <rPr>
        <sz val="10"/>
        <rFont val="Calibri"/>
        <family val="2"/>
      </rPr>
      <t>=  Y</t>
    </r>
    <r>
      <rPr>
        <b/>
        <vertAlign val="subscript"/>
        <sz val="10"/>
        <rFont val="Calibri"/>
        <family val="2"/>
      </rPr>
      <t xml:space="preserve">i </t>
    </r>
    <r>
      <rPr>
        <b/>
        <sz val="11"/>
        <color rgb="FFFF00FF"/>
        <rFont val="Calibri"/>
        <family val="2"/>
      </rPr>
      <t>'</t>
    </r>
    <r>
      <rPr>
        <sz val="11"/>
        <color rgb="FFFF00FF"/>
        <rFont val="Calibri"/>
        <family val="2"/>
      </rPr>
      <t xml:space="preserve"> </t>
    </r>
    <r>
      <rPr>
        <sz val="10"/>
        <rFont val="Calibri"/>
        <family val="2"/>
      </rPr>
      <t xml:space="preserve">+ </t>
    </r>
    <r>
      <rPr>
        <sz val="10"/>
        <rFont val="Symbol"/>
        <family val="1"/>
        <charset val="2"/>
      </rPr>
      <t>e</t>
    </r>
    <r>
      <rPr>
        <vertAlign val="subscript"/>
        <sz val="10"/>
        <rFont val="Calibri"/>
        <family val="2"/>
      </rPr>
      <t>i</t>
    </r>
  </si>
  <si>
    <t>Y = RAR en MortCV</t>
  </si>
  <si>
    <t>Y = RAR en IAM</t>
  </si>
  <si>
    <t>Y = RAR en ACV</t>
  </si>
  <si>
    <t>Y = RAR en InsCard</t>
  </si>
  <si>
    <t>Y = RAR en EnfRenTerm</t>
  </si>
  <si>
    <t>Y = RAR en EfAdv grav atrib</t>
  </si>
  <si>
    <t>Y = Mort /año</t>
  </si>
  <si>
    <t>Y = MortCV /año</t>
  </si>
  <si>
    <t>Y = IAM /año</t>
  </si>
  <si>
    <t>Y = ACV /año</t>
  </si>
  <si>
    <t>Y = InsCard /año</t>
  </si>
  <si>
    <t>Y = EnfRenTerm /año</t>
  </si>
  <si>
    <t>Y = EfAdv grav atrib /año</t>
  </si>
  <si>
    <t>X = Dif PAS [desp vs antes]</t>
  </si>
  <si>
    <t>X = PAS alcanzada tras seguim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</si>
</sst>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 _€_-;\-* #,##0.00\ _€_-;_-* &quot;-&quot;??\ _€_-;_-@_-"/>
    <numFmt numFmtId="164" formatCode="0.0%"/>
    <numFmt numFmtId="165" formatCode="_-* #,##0.00\ _P_t_s_-;\-* #,##0.00\ _P_t_s_-;_-* &quot;-&quot;??\ _P_t_s_-;_-@_-"/>
    <numFmt numFmtId="166" formatCode="0.0"/>
    <numFmt numFmtId="167" formatCode="_-* #,##0.000\ _€_-;\-* #,##0.000\ _€_-;_-* &quot;-&quot;??\ _€_-;_-@_-"/>
    <numFmt numFmtId="168" formatCode="0.000"/>
    <numFmt numFmtId="169" formatCode="0.0000"/>
    <numFmt numFmtId="170" formatCode="#,##0.0000_ ;\-#,##0.0000\ "/>
    <numFmt numFmtId="171" formatCode="0.000%"/>
    <numFmt numFmtId="172" formatCode="0.00000"/>
    <numFmt numFmtId="173" formatCode="0.000000"/>
    <numFmt numFmtId="174" formatCode="0.0000000"/>
    <numFmt numFmtId="175" formatCode="####.000"/>
    <numFmt numFmtId="176" formatCode="###0.00000%"/>
    <numFmt numFmtId="177" formatCode="###0.000"/>
    <numFmt numFmtId="178" formatCode="###0"/>
    <numFmt numFmtId="179" formatCode="####.00000%"/>
    <numFmt numFmtId="180" formatCode="_-* #,##0.00000\ _€_-;\-* #,##0.00000\ _€_-;_-* &quot;-&quot;??\ _€_-;_-@_-"/>
  </numFmts>
  <fonts count="50">
    <font>
      <sz val="11"/>
      <color theme="1"/>
      <name val="Calibri"/>
      <family val="2"/>
      <scheme val="minor"/>
    </font>
    <font>
      <sz val="10"/>
      <name val="Calibri"/>
      <family val="2"/>
    </font>
    <font>
      <u/>
      <sz val="11"/>
      <color theme="10"/>
      <name val="Calibri"/>
      <family val="2"/>
      <scheme val="minor"/>
    </font>
    <font>
      <u/>
      <sz val="11"/>
      <color theme="11"/>
      <name val="Calibri"/>
      <family val="2"/>
      <scheme val="minor"/>
    </font>
    <font>
      <sz val="11"/>
      <color theme="1"/>
      <name val="Calibri"/>
      <family val="2"/>
      <scheme val="minor"/>
    </font>
    <font>
      <b/>
      <sz val="10"/>
      <color rgb="FF0070C0"/>
      <name val="Calibri"/>
      <family val="2"/>
      <scheme val="minor"/>
    </font>
    <font>
      <b/>
      <sz val="14"/>
      <name val="Calibri"/>
      <family val="2"/>
    </font>
    <font>
      <i/>
      <sz val="10"/>
      <name val="Calibri"/>
      <family val="2"/>
    </font>
    <font>
      <sz val="10"/>
      <name val="Arial"/>
      <family val="2"/>
    </font>
    <font>
      <sz val="10"/>
      <color rgb="FF0070C0"/>
      <name val="Calibri"/>
      <family val="2"/>
      <scheme val="minor"/>
    </font>
    <font>
      <sz val="10"/>
      <name val="Calibri"/>
      <family val="2"/>
      <scheme val="minor"/>
    </font>
    <font>
      <b/>
      <sz val="10"/>
      <name val="Calibri"/>
      <family val="2"/>
      <scheme val="minor"/>
    </font>
    <font>
      <vertAlign val="subscript"/>
      <sz val="10"/>
      <name val="Calibri"/>
      <family val="2"/>
      <scheme val="minor"/>
    </font>
    <font>
      <vertAlign val="subscript"/>
      <sz val="10"/>
      <name val="Calibri"/>
      <family val="2"/>
    </font>
    <font>
      <i/>
      <vertAlign val="subscript"/>
      <sz val="10"/>
      <name val="Calibri"/>
      <family val="2"/>
    </font>
    <font>
      <sz val="10"/>
      <color rgb="FF009900"/>
      <name val="Calibri"/>
      <family val="2"/>
      <scheme val="minor"/>
    </font>
    <font>
      <vertAlign val="superscript"/>
      <sz val="10"/>
      <name val="Calibri"/>
      <family val="2"/>
    </font>
    <font>
      <b/>
      <sz val="10"/>
      <color rgb="FF996600"/>
      <name val="Calibri"/>
      <family val="2"/>
      <scheme val="minor"/>
    </font>
    <font>
      <sz val="8"/>
      <name val="Calibri"/>
      <family val="2"/>
      <scheme val="minor"/>
    </font>
    <font>
      <sz val="10"/>
      <color rgb="FF990000"/>
      <name val="Calibri"/>
      <family val="2"/>
      <scheme val="minor"/>
    </font>
    <font>
      <sz val="10"/>
      <color rgb="FF996600"/>
      <name val="Calibri"/>
      <family val="2"/>
      <scheme val="minor"/>
    </font>
    <font>
      <sz val="10"/>
      <color rgb="FF7030A0"/>
      <name val="Calibri"/>
      <family val="2"/>
      <scheme val="minor"/>
    </font>
    <font>
      <vertAlign val="subscript"/>
      <sz val="10"/>
      <color indexed="36"/>
      <name val="Calibri"/>
      <family val="2"/>
    </font>
    <font>
      <sz val="10"/>
      <color indexed="36"/>
      <name val="Calibri"/>
      <family val="2"/>
    </font>
    <font>
      <i/>
      <sz val="10"/>
      <name val="Calibri"/>
      <family val="2"/>
      <scheme val="minor"/>
    </font>
    <font>
      <i/>
      <vertAlign val="superscript"/>
      <sz val="10"/>
      <name val="Calibri"/>
      <family val="2"/>
    </font>
    <font>
      <sz val="10"/>
      <color theme="9" tint="-0.249977111117893"/>
      <name val="Calibri"/>
      <family val="2"/>
      <scheme val="minor"/>
    </font>
    <font>
      <sz val="10"/>
      <color rgb="FF00B050"/>
      <name val="Calibri"/>
      <family val="2"/>
      <scheme val="minor"/>
    </font>
    <font>
      <b/>
      <vertAlign val="subscript"/>
      <sz val="10"/>
      <name val="Calibri"/>
      <family val="2"/>
      <scheme val="minor"/>
    </font>
    <font>
      <b/>
      <sz val="10"/>
      <color rgb="FF990000"/>
      <name val="Calibri"/>
      <family val="2"/>
      <scheme val="minor"/>
    </font>
    <font>
      <sz val="9"/>
      <name val="Calibri"/>
      <family val="2"/>
      <scheme val="minor"/>
    </font>
    <font>
      <sz val="10"/>
      <color theme="1"/>
      <name val="Calibri"/>
      <family val="2"/>
      <scheme val="minor"/>
    </font>
    <font>
      <sz val="11"/>
      <color rgb="FF0070C0"/>
      <name val="Calibri"/>
      <family val="2"/>
      <scheme val="minor"/>
    </font>
    <font>
      <sz val="10"/>
      <name val="Arial"/>
    </font>
    <font>
      <b/>
      <vertAlign val="superscript"/>
      <sz val="9"/>
      <color indexed="8"/>
      <name val="Arial Bold"/>
    </font>
    <font>
      <b/>
      <sz val="9"/>
      <color indexed="8"/>
      <name val="Arial Bold"/>
    </font>
    <font>
      <sz val="9"/>
      <color indexed="8"/>
      <name val="Arial"/>
    </font>
    <font>
      <vertAlign val="superscript"/>
      <sz val="9"/>
      <color indexed="8"/>
      <name val="Arial"/>
    </font>
    <font>
      <sz val="10"/>
      <color rgb="FFFF0000"/>
      <name val="Calibri"/>
      <family val="2"/>
      <scheme val="minor"/>
    </font>
    <font>
      <b/>
      <u/>
      <sz val="11"/>
      <color rgb="FF0000FF"/>
      <name val="Calibri"/>
      <family val="2"/>
      <scheme val="minor"/>
    </font>
    <font>
      <sz val="9"/>
      <color indexed="8"/>
      <name val="Arial"/>
      <family val="2"/>
    </font>
    <font>
      <vertAlign val="superscript"/>
      <sz val="9"/>
      <color indexed="8"/>
      <name val="Arial"/>
      <family val="2"/>
    </font>
    <font>
      <b/>
      <sz val="9"/>
      <color rgb="FFFF0066"/>
      <name val="Calibri"/>
      <family val="2"/>
      <scheme val="minor"/>
    </font>
    <font>
      <b/>
      <vertAlign val="subscript"/>
      <sz val="10"/>
      <name val="Calibri"/>
      <family val="2"/>
    </font>
    <font>
      <sz val="10"/>
      <color indexed="14"/>
      <name val="Calibri"/>
      <family val="2"/>
    </font>
    <font>
      <sz val="10"/>
      <name val="Symbol"/>
      <family val="1"/>
      <charset val="2"/>
    </font>
    <font>
      <sz val="11"/>
      <name val="Calibri"/>
      <family val="2"/>
      <scheme val="minor"/>
    </font>
    <font>
      <b/>
      <sz val="11"/>
      <color rgb="FFFF0066"/>
      <name val="Calibri"/>
      <family val="2"/>
      <scheme val="minor"/>
    </font>
    <font>
      <b/>
      <sz val="11"/>
      <color rgb="FFFF00FF"/>
      <name val="Calibri"/>
      <family val="2"/>
    </font>
    <font>
      <sz val="11"/>
      <color rgb="FFFF00FF"/>
      <name val="Calibri"/>
      <family val="2"/>
    </font>
  </fonts>
  <fills count="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CCFFFF"/>
        <bgColor indexed="64"/>
      </patternFill>
    </fill>
    <fill>
      <patternFill patternType="solid">
        <fgColor rgb="FFFFCC00"/>
        <bgColor indexed="64"/>
      </patternFill>
    </fill>
    <fill>
      <patternFill patternType="solid">
        <fgColor rgb="FF99FF66"/>
        <bgColor indexed="64"/>
      </patternFill>
    </fill>
    <fill>
      <patternFill patternType="solid">
        <fgColor rgb="FFFF99FF"/>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ck">
        <color indexed="8"/>
      </left>
      <right style="thick">
        <color indexed="8"/>
      </right>
      <top style="thick">
        <color indexed="8"/>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ck">
        <color indexed="8"/>
      </right>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style="thick">
        <color indexed="8"/>
      </top>
      <bottom style="thin">
        <color indexed="8"/>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top style="thick">
        <color indexed="8"/>
      </top>
      <bottom/>
      <diagonal/>
    </border>
  </borders>
  <cellStyleXfs count="3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8" fillId="0" borderId="0"/>
    <xf numFmtId="165" fontId="8" fillId="0" borderId="0" applyFont="0" applyFill="0" applyBorder="0" applyAlignment="0" applyProtection="0"/>
    <xf numFmtId="0" fontId="33" fillId="0" borderId="0"/>
    <xf numFmtId="0" fontId="8" fillId="0" borderId="0"/>
    <xf numFmtId="0" fontId="8" fillId="0" borderId="0"/>
  </cellStyleXfs>
  <cellXfs count="349">
    <xf numFmtId="0" fontId="0" fillId="0" borderId="0" xfId="0"/>
    <xf numFmtId="0" fontId="6" fillId="0" borderId="0" xfId="0" applyFont="1"/>
    <xf numFmtId="0" fontId="10" fillId="0" borderId="0" xfId="0" applyFont="1"/>
    <xf numFmtId="0" fontId="12" fillId="0" borderId="0" xfId="0" applyFont="1"/>
    <xf numFmtId="0" fontId="1" fillId="0" borderId="0" xfId="0" applyFont="1"/>
    <xf numFmtId="0" fontId="15" fillId="0" borderId="0" xfId="0" applyFont="1"/>
    <xf numFmtId="0" fontId="10" fillId="0" borderId="0" xfId="0" applyFont="1" applyAlignment="1">
      <alignment horizontal="center"/>
    </xf>
    <xf numFmtId="0" fontId="17" fillId="0" borderId="0" xfId="0" applyFont="1" applyAlignment="1">
      <alignment horizontal="center"/>
    </xf>
    <xf numFmtId="0" fontId="5" fillId="0" borderId="0" xfId="0" applyFont="1" applyAlignment="1">
      <alignment horizontal="center"/>
    </xf>
    <xf numFmtId="0" fontId="18" fillId="0" borderId="5" xfId="0" applyFont="1" applyBorder="1" applyAlignment="1">
      <alignment horizontal="center" vertical="center" wrapText="1"/>
    </xf>
    <xf numFmtId="0" fontId="10" fillId="0" borderId="0" xfId="0" applyFont="1" applyAlignment="1">
      <alignment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xf numFmtId="0" fontId="10" fillId="0" borderId="0" xfId="0" applyFont="1" applyAlignment="1">
      <alignment horizontal="right"/>
    </xf>
    <xf numFmtId="169" fontId="10" fillId="4" borderId="0" xfId="0" applyNumberFormat="1" applyFont="1" applyFill="1" applyAlignment="1">
      <alignment horizontal="center"/>
    </xf>
    <xf numFmtId="2" fontId="10" fillId="0" borderId="0" xfId="0" applyNumberFormat="1" applyFont="1"/>
    <xf numFmtId="2" fontId="10" fillId="0" borderId="0" xfId="29" applyNumberFormat="1" applyFont="1"/>
    <xf numFmtId="166" fontId="10" fillId="0" borderId="0" xfId="0" applyNumberFormat="1" applyFont="1"/>
    <xf numFmtId="1" fontId="12" fillId="0" borderId="0" xfId="0" applyNumberFormat="1" applyFont="1"/>
    <xf numFmtId="169" fontId="21" fillId="0" borderId="0" xfId="0" applyNumberFormat="1" applyFont="1" applyAlignment="1">
      <alignment horizontal="right"/>
    </xf>
    <xf numFmtId="169" fontId="21" fillId="4" borderId="0" xfId="0" applyNumberFormat="1" applyFont="1" applyFill="1" applyAlignment="1">
      <alignment horizontal="center"/>
    </xf>
    <xf numFmtId="168" fontId="10" fillId="4" borderId="0" xfId="0" applyNumberFormat="1" applyFont="1" applyFill="1" applyAlignment="1">
      <alignment horizontal="center"/>
    </xf>
    <xf numFmtId="0" fontId="24" fillId="0" borderId="0" xfId="0" applyFont="1" applyAlignment="1">
      <alignment horizontal="right"/>
    </xf>
    <xf numFmtId="0" fontId="21" fillId="0" borderId="0" xfId="0" applyFont="1" applyFill="1" applyBorder="1"/>
    <xf numFmtId="0" fontId="11" fillId="0" borderId="0" xfId="0" applyFont="1" applyBorder="1" applyAlignment="1">
      <alignment horizontal="right"/>
    </xf>
    <xf numFmtId="166" fontId="11" fillId="0" borderId="12" xfId="29" applyNumberFormat="1" applyFont="1" applyBorder="1"/>
    <xf numFmtId="2" fontId="27" fillId="0" borderId="0" xfId="0" applyNumberFormat="1" applyFont="1" applyBorder="1"/>
    <xf numFmtId="2" fontId="10" fillId="0" borderId="0" xfId="0" applyNumberFormat="1" applyFont="1" applyBorder="1"/>
    <xf numFmtId="0" fontId="11" fillId="0" borderId="8" xfId="0" applyFont="1" applyBorder="1" applyAlignment="1">
      <alignment horizontal="right"/>
    </xf>
    <xf numFmtId="166" fontId="11" fillId="0" borderId="0" xfId="0" applyNumberFormat="1" applyFont="1" applyBorder="1" applyAlignment="1">
      <alignment horizontal="right"/>
    </xf>
    <xf numFmtId="2" fontId="11" fillId="0" borderId="0" xfId="29" applyNumberFormat="1" applyFont="1" applyBorder="1"/>
    <xf numFmtId="1" fontId="28" fillId="0" borderId="0" xfId="29" applyNumberFormat="1" applyFont="1" applyBorder="1"/>
    <xf numFmtId="2" fontId="26" fillId="0" borderId="0" xfId="0" applyNumberFormat="1" applyFont="1" applyBorder="1"/>
    <xf numFmtId="0" fontId="21" fillId="0" borderId="0" xfId="0" applyFont="1"/>
    <xf numFmtId="169" fontId="21" fillId="0" borderId="0" xfId="0" applyNumberFormat="1" applyFont="1"/>
    <xf numFmtId="169" fontId="10" fillId="0" borderId="0" xfId="0" applyNumberFormat="1" applyFont="1"/>
    <xf numFmtId="166" fontId="10" fillId="4" borderId="0" xfId="0" applyNumberFormat="1" applyFont="1" applyFill="1" applyAlignment="1">
      <alignment horizontal="center"/>
    </xf>
    <xf numFmtId="0" fontId="30" fillId="0" borderId="0" xfId="0" applyFont="1" applyFill="1" applyBorder="1"/>
    <xf numFmtId="0" fontId="10" fillId="0" borderId="0" xfId="0" applyFont="1" applyFill="1" applyBorder="1"/>
    <xf numFmtId="170" fontId="10" fillId="4" borderId="0" xfId="29" applyNumberFormat="1" applyFont="1" applyFill="1" applyBorder="1" applyAlignment="1">
      <alignment horizontal="center"/>
    </xf>
    <xf numFmtId="43" fontId="10" fillId="0" borderId="0" xfId="0" applyNumberFormat="1" applyFont="1" applyFill="1" applyBorder="1"/>
    <xf numFmtId="0" fontId="17" fillId="0" borderId="12" xfId="0" applyFont="1" applyBorder="1" applyAlignment="1">
      <alignment horizontal="center" vertical="center" wrapText="1"/>
    </xf>
    <xf numFmtId="0" fontId="5" fillId="0" borderId="12" xfId="0" applyFont="1" applyBorder="1" applyAlignment="1">
      <alignment horizontal="center" vertical="center" wrapText="1"/>
    </xf>
    <xf numFmtId="2" fontId="20" fillId="2" borderId="6" xfId="29" applyNumberFormat="1" applyFont="1" applyFill="1" applyBorder="1" applyAlignment="1">
      <alignment horizontal="center"/>
    </xf>
    <xf numFmtId="2" fontId="20" fillId="2" borderId="1" xfId="29" applyNumberFormat="1" applyFont="1" applyFill="1" applyBorder="1" applyAlignment="1">
      <alignment horizontal="center"/>
    </xf>
    <xf numFmtId="169" fontId="10" fillId="0" borderId="1" xfId="0" applyNumberFormat="1" applyFont="1" applyBorder="1"/>
    <xf numFmtId="0" fontId="10" fillId="0" borderId="1" xfId="0" applyFont="1" applyBorder="1"/>
    <xf numFmtId="0" fontId="10" fillId="0" borderId="0" xfId="0" applyFont="1" applyBorder="1" applyAlignment="1">
      <alignment horizontal="left" vertical="center"/>
    </xf>
    <xf numFmtId="0" fontId="10" fillId="0" borderId="3" xfId="0" applyFont="1" applyBorder="1" applyAlignment="1">
      <alignment horizontal="right"/>
    </xf>
    <xf numFmtId="9" fontId="10" fillId="0" borderId="4" xfId="0" applyNumberFormat="1" applyFont="1" applyBorder="1" applyAlignment="1">
      <alignment horizontal="left"/>
    </xf>
    <xf numFmtId="1" fontId="10" fillId="0" borderId="4" xfId="0" applyNumberFormat="1" applyFont="1" applyBorder="1" applyAlignment="1">
      <alignment horizontal="left"/>
    </xf>
    <xf numFmtId="0" fontId="31" fillId="0" borderId="3" xfId="0" applyFont="1" applyBorder="1" applyAlignment="1">
      <alignment horizontal="right" vertical="center"/>
    </xf>
    <xf numFmtId="168" fontId="10" fillId="3" borderId="4" xfId="0" applyNumberFormat="1" applyFont="1" applyFill="1" applyBorder="1" applyAlignment="1">
      <alignment horizontal="center"/>
    </xf>
    <xf numFmtId="11" fontId="10" fillId="4" borderId="0" xfId="0" applyNumberFormat="1" applyFont="1" applyFill="1" applyAlignment="1">
      <alignment horizontal="center"/>
    </xf>
    <xf numFmtId="2" fontId="10" fillId="0" borderId="0" xfId="29" applyNumberFormat="1" applyFont="1" applyFill="1" applyBorder="1" applyAlignment="1">
      <alignment horizontal="center"/>
    </xf>
    <xf numFmtId="2" fontId="10" fillId="0" borderId="0" xfId="0" applyNumberFormat="1" applyFont="1" applyFill="1" applyBorder="1"/>
    <xf numFmtId="11" fontId="11" fillId="0" borderId="7" xfId="29" applyNumberFormat="1" applyFont="1" applyBorder="1"/>
    <xf numFmtId="1" fontId="10" fillId="0" borderId="0" xfId="0" applyNumberFormat="1" applyFont="1" applyAlignment="1">
      <alignment horizontal="center"/>
    </xf>
    <xf numFmtId="10" fontId="9" fillId="2" borderId="6" xfId="30" applyNumberFormat="1" applyFont="1" applyFill="1" applyBorder="1" applyAlignment="1">
      <alignment horizontal="center"/>
    </xf>
    <xf numFmtId="10" fontId="9" fillId="2" borderId="1" xfId="30" applyNumberFormat="1" applyFont="1" applyFill="1" applyBorder="1" applyAlignment="1">
      <alignment horizontal="center"/>
    </xf>
    <xf numFmtId="164" fontId="10" fillId="0" borderId="0" xfId="30" applyNumberFormat="1" applyFont="1"/>
    <xf numFmtId="10" fontId="10" fillId="0" borderId="0" xfId="30" applyNumberFormat="1" applyFont="1"/>
    <xf numFmtId="11" fontId="10" fillId="0" borderId="0" xfId="0" applyNumberFormat="1" applyFont="1" applyAlignment="1">
      <alignment horizontal="center"/>
    </xf>
    <xf numFmtId="168" fontId="10" fillId="0" borderId="4" xfId="29" applyNumberFormat="1" applyFont="1" applyBorder="1" applyAlignment="1">
      <alignment horizontal="center"/>
    </xf>
    <xf numFmtId="167" fontId="10" fillId="0" borderId="4" xfId="29" applyNumberFormat="1" applyFont="1" applyBorder="1" applyAlignment="1">
      <alignment horizont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2" fontId="10" fillId="0" borderId="0" xfId="0" applyNumberFormat="1" applyFont="1" applyFill="1" applyBorder="1" applyAlignment="1">
      <alignment horizontal="left" vertical="center"/>
    </xf>
    <xf numFmtId="0" fontId="1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xf numFmtId="0" fontId="10" fillId="0" borderId="0" xfId="0" applyFont="1" applyFill="1" applyBorder="1" applyAlignment="1">
      <alignment vertical="center"/>
    </xf>
    <xf numFmtId="2" fontId="10" fillId="0" borderId="0" xfId="0" applyNumberFormat="1" applyFont="1" applyFill="1" applyBorder="1" applyAlignment="1">
      <alignment horizontal="center" vertical="center"/>
    </xf>
    <xf numFmtId="2" fontId="19" fillId="0" borderId="0" xfId="0" applyNumberFormat="1" applyFont="1" applyFill="1" applyBorder="1"/>
    <xf numFmtId="0" fontId="24" fillId="0" borderId="0" xfId="0" applyFont="1" applyFill="1" applyBorder="1" applyAlignment="1">
      <alignment horizontal="right"/>
    </xf>
    <xf numFmtId="2" fontId="10" fillId="0" borderId="0" xfId="29" applyNumberFormat="1" applyFont="1" applyFill="1" applyBorder="1" applyAlignment="1">
      <alignment horizontal="left"/>
    </xf>
    <xf numFmtId="168" fontId="10" fillId="0" borderId="0" xfId="0" applyNumberFormat="1" applyFont="1" applyFill="1" applyBorder="1" applyAlignment="1">
      <alignment horizontal="center"/>
    </xf>
    <xf numFmtId="43" fontId="10" fillId="0" borderId="0" xfId="29" applyNumberFormat="1" applyFont="1" applyFill="1" applyBorder="1"/>
    <xf numFmtId="168" fontId="10" fillId="0" borderId="0" xfId="0" applyNumberFormat="1" applyFont="1" applyFill="1" applyBorder="1"/>
    <xf numFmtId="0" fontId="10" fillId="0" borderId="0" xfId="0" applyFont="1" applyFill="1" applyBorder="1" applyAlignment="1">
      <alignment horizontal="left"/>
    </xf>
    <xf numFmtId="0" fontId="9" fillId="0" borderId="0" xfId="0" applyFont="1" applyFill="1" applyBorder="1" applyAlignment="1">
      <alignment horizontal="right"/>
    </xf>
    <xf numFmtId="2" fontId="9" fillId="0" borderId="0" xfId="0" applyNumberFormat="1" applyFont="1" applyFill="1" applyBorder="1" applyAlignment="1">
      <alignment horizontal="center"/>
    </xf>
    <xf numFmtId="2" fontId="9" fillId="0" borderId="0" xfId="0" applyNumberFormat="1" applyFont="1" applyFill="1" applyBorder="1"/>
    <xf numFmtId="2" fontId="26" fillId="0" borderId="0" xfId="0" applyNumberFormat="1" applyFont="1" applyFill="1" applyBorder="1"/>
    <xf numFmtId="2" fontId="29" fillId="0" borderId="0" xfId="29" applyNumberFormat="1" applyFont="1" applyFill="1" applyBorder="1"/>
    <xf numFmtId="1" fontId="29" fillId="0" borderId="0" xfId="0" applyNumberFormat="1" applyFont="1" applyFill="1" applyBorder="1" applyAlignment="1">
      <alignment horizontal="left"/>
    </xf>
    <xf numFmtId="0" fontId="10" fillId="0" borderId="0" xfId="0" applyFont="1" applyFill="1" applyBorder="1" applyAlignment="1">
      <alignment horizontal="center" vertical="center" wrapText="1"/>
    </xf>
    <xf numFmtId="2" fontId="10" fillId="0" borderId="0" xfId="0" applyNumberFormat="1" applyFont="1" applyAlignment="1">
      <alignment horizontal="center"/>
    </xf>
    <xf numFmtId="10" fontId="10" fillId="0" borderId="0" xfId="0" applyNumberFormat="1" applyFont="1" applyAlignment="1">
      <alignment horizontal="center"/>
    </xf>
    <xf numFmtId="0" fontId="20" fillId="0" borderId="0" xfId="0" applyFont="1" applyFill="1" applyBorder="1" applyAlignment="1">
      <alignment horizontal="left" vertical="center"/>
    </xf>
    <xf numFmtId="171" fontId="10" fillId="0" borderId="0" xfId="30" applyNumberFormat="1" applyFont="1" applyFill="1" applyBorder="1"/>
    <xf numFmtId="49" fontId="10" fillId="0" borderId="0" xfId="0" applyNumberFormat="1" applyFont="1" applyBorder="1" applyAlignment="1">
      <alignment horizontal="center"/>
    </xf>
    <xf numFmtId="0" fontId="9" fillId="0" borderId="0" xfId="0" applyFont="1" applyFill="1" applyBorder="1" applyAlignment="1">
      <alignment horizontal="left" vertical="center"/>
    </xf>
    <xf numFmtId="0" fontId="10" fillId="0" borderId="0" xfId="0" applyFont="1" applyBorder="1" applyAlignment="1">
      <alignment horizontal="right"/>
    </xf>
    <xf numFmtId="172" fontId="10" fillId="0" borderId="4" xfId="29" applyNumberFormat="1" applyFont="1" applyBorder="1" applyAlignment="1">
      <alignment horizontal="center"/>
    </xf>
    <xf numFmtId="173" fontId="26" fillId="0" borderId="0" xfId="0" applyNumberFormat="1" applyFont="1" applyBorder="1"/>
    <xf numFmtId="172" fontId="27" fillId="0" borderId="0" xfId="0" applyNumberFormat="1" applyFont="1" applyBorder="1"/>
    <xf numFmtId="173" fontId="27" fillId="0" borderId="0" xfId="0" applyNumberFormat="1" applyFont="1" applyBorder="1"/>
    <xf numFmtId="174" fontId="26" fillId="0" borderId="0" xfId="0" applyNumberFormat="1" applyFont="1" applyBorder="1"/>
    <xf numFmtId="0" fontId="10" fillId="0" borderId="0"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Border="1" applyAlignment="1">
      <alignment vertical="center" wrapText="1"/>
    </xf>
    <xf numFmtId="0" fontId="24" fillId="0" borderId="0" xfId="0" applyFont="1" applyAlignment="1">
      <alignment horizontal="right" vertical="center"/>
    </xf>
    <xf numFmtId="168" fontId="10" fillId="4" borderId="0" xfId="0" applyNumberFormat="1" applyFont="1" applyFill="1" applyAlignment="1">
      <alignment horizontal="center" vertical="center"/>
    </xf>
    <xf numFmtId="168" fontId="10" fillId="0" borderId="0" xfId="0" applyNumberFormat="1" applyFont="1" applyAlignment="1">
      <alignment vertical="center"/>
    </xf>
    <xf numFmtId="0" fontId="10" fillId="0" borderId="0" xfId="0" applyFont="1" applyFill="1" applyBorder="1" applyAlignment="1">
      <alignment horizontal="center" vertical="center" wrapText="1"/>
    </xf>
    <xf numFmtId="0" fontId="31" fillId="0" borderId="0" xfId="0" applyFont="1" applyFill="1" applyBorder="1" applyAlignment="1">
      <alignment horizontal="left" vertical="center"/>
    </xf>
    <xf numFmtId="0" fontId="11" fillId="3" borderId="0" xfId="0" applyFont="1" applyFill="1" applyBorder="1" applyAlignment="1">
      <alignment horizontal="left" vertical="center"/>
    </xf>
    <xf numFmtId="0" fontId="11" fillId="0" borderId="0" xfId="0" applyFont="1" applyBorder="1" applyAlignment="1">
      <alignment vertical="center"/>
    </xf>
    <xf numFmtId="11" fontId="21" fillId="0" borderId="0" xfId="0" applyNumberFormat="1" applyFont="1"/>
    <xf numFmtId="10" fontId="0" fillId="0" borderId="0" xfId="30" applyNumberFormat="1" applyFont="1" applyAlignment="1">
      <alignment horizontal="center"/>
    </xf>
    <xf numFmtId="10" fontId="1" fillId="0" borderId="0" xfId="30" applyNumberFormat="1" applyFont="1" applyFill="1" applyBorder="1" applyAlignment="1">
      <alignment horizontal="center" vertical="center"/>
    </xf>
    <xf numFmtId="0" fontId="12" fillId="0" borderId="0" xfId="0" applyFont="1" applyBorder="1"/>
    <xf numFmtId="11" fontId="27" fillId="0" borderId="0" xfId="0" applyNumberFormat="1" applyFont="1" applyBorder="1"/>
    <xf numFmtId="11" fontId="26" fillId="0" borderId="0" xfId="0" applyNumberFormat="1" applyFont="1" applyBorder="1"/>
    <xf numFmtId="0" fontId="11" fillId="0" borderId="0" xfId="0" applyFont="1" applyFill="1" applyBorder="1" applyAlignment="1">
      <alignment horizontal="left" vertical="center"/>
    </xf>
    <xf numFmtId="0" fontId="10" fillId="0" borderId="0" xfId="0" applyFont="1" applyFill="1"/>
    <xf numFmtId="0" fontId="10" fillId="0" borderId="0" xfId="0" applyFont="1" applyFill="1" applyAlignment="1">
      <alignment horizontal="center" vertical="center"/>
    </xf>
    <xf numFmtId="173" fontId="10" fillId="4" borderId="0" xfId="0" applyNumberFormat="1" applyFont="1" applyFill="1" applyAlignment="1">
      <alignment horizontal="center" vertical="center"/>
    </xf>
    <xf numFmtId="173" fontId="10" fillId="0" borderId="0" xfId="0" applyNumberFormat="1" applyFont="1" applyAlignment="1">
      <alignment vertical="center"/>
    </xf>
    <xf numFmtId="171" fontId="10" fillId="5" borderId="0" xfId="30" applyNumberFormat="1" applyFont="1" applyFill="1" applyBorder="1" applyAlignment="1">
      <alignment horizontal="center"/>
    </xf>
    <xf numFmtId="171" fontId="10" fillId="6" borderId="0" xfId="30" applyNumberFormat="1" applyFont="1" applyFill="1" applyBorder="1" applyAlignment="1">
      <alignment horizontal="center"/>
    </xf>
    <xf numFmtId="0" fontId="10" fillId="2" borderId="0" xfId="0" applyFont="1" applyFill="1" applyBorder="1" applyAlignment="1">
      <alignment horizontal="center"/>
    </xf>
    <xf numFmtId="0" fontId="10" fillId="0" borderId="0" xfId="0" applyFont="1" applyFill="1" applyBorder="1" applyAlignment="1">
      <alignment horizontal="left" vertical="center"/>
    </xf>
    <xf numFmtId="0" fontId="0" fillId="0" borderId="0" xfId="0" applyFont="1" applyFill="1" applyBorder="1" applyAlignment="1">
      <alignment horizontal="left" vertical="center"/>
    </xf>
    <xf numFmtId="171" fontId="10" fillId="7" borderId="0" xfId="30" applyNumberFormat="1" applyFont="1" applyFill="1" applyBorder="1" applyAlignment="1">
      <alignment horizontal="center"/>
    </xf>
    <xf numFmtId="0" fontId="36" fillId="0" borderId="25" xfId="33" applyFont="1" applyBorder="1" applyAlignment="1">
      <alignment horizontal="center" wrapText="1"/>
    </xf>
    <xf numFmtId="0" fontId="36" fillId="0" borderId="27" xfId="33" applyFont="1" applyBorder="1" applyAlignment="1">
      <alignment horizontal="left" vertical="top"/>
    </xf>
    <xf numFmtId="0" fontId="36" fillId="0" borderId="28" xfId="33" applyFont="1" applyBorder="1" applyAlignment="1">
      <alignment horizontal="right" vertical="center"/>
    </xf>
    <xf numFmtId="175" fontId="36" fillId="0" borderId="29" xfId="33" applyNumberFormat="1" applyFont="1" applyBorder="1" applyAlignment="1">
      <alignment horizontal="right" vertical="center"/>
    </xf>
    <xf numFmtId="176" fontId="36" fillId="0" borderId="29" xfId="33" applyNumberFormat="1" applyFont="1" applyBorder="1" applyAlignment="1">
      <alignment horizontal="right" vertical="center"/>
    </xf>
    <xf numFmtId="177" fontId="36" fillId="0" borderId="29" xfId="33" applyNumberFormat="1" applyFont="1" applyBorder="1" applyAlignment="1">
      <alignment horizontal="right" vertical="center"/>
    </xf>
    <xf numFmtId="178" fontId="36" fillId="0" borderId="29" xfId="33" applyNumberFormat="1" applyFont="1" applyBorder="1" applyAlignment="1">
      <alignment horizontal="right" vertical="center"/>
    </xf>
    <xf numFmtId="177" fontId="36" fillId="0" borderId="30" xfId="33" applyNumberFormat="1" applyFont="1" applyBorder="1" applyAlignment="1">
      <alignment horizontal="right" vertical="center"/>
    </xf>
    <xf numFmtId="0" fontId="36" fillId="0" borderId="28" xfId="33" applyFont="1" applyBorder="1" applyAlignment="1">
      <alignment horizontal="center" wrapText="1"/>
    </xf>
    <xf numFmtId="0" fontId="36" fillId="0" borderId="29" xfId="33" applyFont="1" applyBorder="1" applyAlignment="1">
      <alignment horizontal="center" wrapText="1"/>
    </xf>
    <xf numFmtId="0" fontId="36" fillId="0" borderId="30" xfId="33" applyFont="1" applyBorder="1" applyAlignment="1">
      <alignment horizontal="center" wrapText="1"/>
    </xf>
    <xf numFmtId="0" fontId="36" fillId="0" borderId="34" xfId="33" applyFont="1" applyBorder="1" applyAlignment="1">
      <alignment horizontal="left" vertical="top" wrapText="1"/>
    </xf>
    <xf numFmtId="177" fontId="36" fillId="0" borderId="35" xfId="33" applyNumberFormat="1" applyFont="1" applyBorder="1" applyAlignment="1">
      <alignment horizontal="right" vertical="center"/>
    </xf>
    <xf numFmtId="178" fontId="36" fillId="0" borderId="36" xfId="33" applyNumberFormat="1" applyFont="1" applyBorder="1" applyAlignment="1">
      <alignment horizontal="right" vertical="center"/>
    </xf>
    <xf numFmtId="177" fontId="36" fillId="0" borderId="36" xfId="33" applyNumberFormat="1" applyFont="1" applyBorder="1" applyAlignment="1">
      <alignment horizontal="right" vertical="center"/>
    </xf>
    <xf numFmtId="0" fontId="36" fillId="0" borderId="37" xfId="33" applyFont="1" applyBorder="1" applyAlignment="1">
      <alignment horizontal="right" vertical="center"/>
    </xf>
    <xf numFmtId="0" fontId="36" fillId="0" borderId="39" xfId="33" applyFont="1" applyBorder="1" applyAlignment="1">
      <alignment horizontal="left" vertical="top" wrapText="1"/>
    </xf>
    <xf numFmtId="177" fontId="36" fillId="0" borderId="40" xfId="33" applyNumberFormat="1" applyFont="1" applyBorder="1" applyAlignment="1">
      <alignment horizontal="right" vertical="center"/>
    </xf>
    <xf numFmtId="178" fontId="36" fillId="0" borderId="41" xfId="33" applyNumberFormat="1" applyFont="1" applyBorder="1" applyAlignment="1">
      <alignment horizontal="right" vertical="center"/>
    </xf>
    <xf numFmtId="177" fontId="36" fillId="0" borderId="41" xfId="33" applyNumberFormat="1" applyFont="1" applyBorder="1" applyAlignment="1">
      <alignment horizontal="right" vertical="center"/>
    </xf>
    <xf numFmtId="0" fontId="36" fillId="0" borderId="41" xfId="33" applyFont="1" applyBorder="1" applyAlignment="1">
      <alignment horizontal="left" vertical="center" wrapText="1"/>
    </xf>
    <xf numFmtId="0" fontId="36" fillId="0" borderId="42" xfId="33" applyFont="1" applyBorder="1" applyAlignment="1">
      <alignment horizontal="left" vertical="center" wrapText="1"/>
    </xf>
    <xf numFmtId="0" fontId="36" fillId="0" borderId="44" xfId="33" applyFont="1" applyBorder="1" applyAlignment="1">
      <alignment horizontal="left" vertical="top" wrapText="1"/>
    </xf>
    <xf numFmtId="177" fontId="36" fillId="0" borderId="45" xfId="33" applyNumberFormat="1" applyFont="1" applyBorder="1" applyAlignment="1">
      <alignment horizontal="right" vertical="center"/>
    </xf>
    <xf numFmtId="178" fontId="36" fillId="0" borderId="46" xfId="33" applyNumberFormat="1" applyFont="1" applyBorder="1" applyAlignment="1">
      <alignment horizontal="right" vertical="center"/>
    </xf>
    <xf numFmtId="0" fontId="36" fillId="0" borderId="46" xfId="33" applyFont="1" applyBorder="1" applyAlignment="1">
      <alignment horizontal="left" vertical="center" wrapText="1"/>
    </xf>
    <xf numFmtId="0" fontId="36" fillId="0" borderId="47" xfId="33" applyFont="1" applyBorder="1" applyAlignment="1">
      <alignment horizontal="left" vertical="center" wrapText="1"/>
    </xf>
    <xf numFmtId="0" fontId="36" fillId="0" borderId="21" xfId="33" applyFont="1" applyBorder="1" applyAlignment="1">
      <alignment horizontal="center" wrapText="1"/>
    </xf>
    <xf numFmtId="0" fontId="36" fillId="0" borderId="24" xfId="33" applyFont="1" applyBorder="1" applyAlignment="1">
      <alignment horizontal="center" wrapText="1"/>
    </xf>
    <xf numFmtId="0" fontId="36" fillId="0" borderId="26" xfId="33" applyFont="1" applyBorder="1" applyAlignment="1">
      <alignment horizontal="center" wrapText="1"/>
    </xf>
    <xf numFmtId="0" fontId="36" fillId="0" borderId="36" xfId="33" applyFont="1" applyBorder="1" applyAlignment="1">
      <alignment horizontal="left" vertical="center" wrapText="1"/>
    </xf>
    <xf numFmtId="175" fontId="36" fillId="0" borderId="36" xfId="33" applyNumberFormat="1" applyFont="1" applyBorder="1" applyAlignment="1">
      <alignment horizontal="right" vertical="center"/>
    </xf>
    <xf numFmtId="177" fontId="36" fillId="0" borderId="37" xfId="33" applyNumberFormat="1" applyFont="1" applyBorder="1" applyAlignment="1">
      <alignment horizontal="right" vertical="center"/>
    </xf>
    <xf numFmtId="175" fontId="36" fillId="0" borderId="45" xfId="33" applyNumberFormat="1" applyFont="1" applyBorder="1" applyAlignment="1">
      <alignment horizontal="right" vertical="center"/>
    </xf>
    <xf numFmtId="175" fontId="36" fillId="0" borderId="46" xfId="33" applyNumberFormat="1" applyFont="1" applyBorder="1" applyAlignment="1">
      <alignment horizontal="right" vertical="center"/>
    </xf>
    <xf numFmtId="177" fontId="36" fillId="0" borderId="46" xfId="33" applyNumberFormat="1" applyFont="1" applyBorder="1" applyAlignment="1">
      <alignment horizontal="right" vertical="center"/>
    </xf>
    <xf numFmtId="175" fontId="36" fillId="0" borderId="47" xfId="33" applyNumberFormat="1" applyFont="1" applyBorder="1" applyAlignment="1">
      <alignment horizontal="right" vertical="center"/>
    </xf>
    <xf numFmtId="0" fontId="36" fillId="0" borderId="22" xfId="33" applyFont="1" applyBorder="1" applyAlignment="1">
      <alignment horizontal="center" wrapText="1"/>
    </xf>
    <xf numFmtId="0" fontId="36" fillId="0" borderId="35" xfId="33" applyFont="1" applyBorder="1" applyAlignment="1">
      <alignment horizontal="right" vertical="center"/>
    </xf>
    <xf numFmtId="175" fontId="36" fillId="0" borderId="37" xfId="33" applyNumberFormat="1" applyFont="1" applyBorder="1" applyAlignment="1">
      <alignment horizontal="right" vertical="center"/>
    </xf>
    <xf numFmtId="0" fontId="36" fillId="0" borderId="40" xfId="33" applyFont="1" applyBorder="1" applyAlignment="1">
      <alignment horizontal="right" vertical="center"/>
    </xf>
    <xf numFmtId="175" fontId="36" fillId="0" borderId="41" xfId="33" applyNumberFormat="1" applyFont="1" applyBorder="1" applyAlignment="1">
      <alignment horizontal="right" vertical="center"/>
    </xf>
    <xf numFmtId="175" fontId="36" fillId="0" borderId="42" xfId="33" applyNumberFormat="1" applyFont="1" applyBorder="1" applyAlignment="1">
      <alignment horizontal="right" vertical="center"/>
    </xf>
    <xf numFmtId="0" fontId="36" fillId="0" borderId="45" xfId="33" applyFont="1" applyBorder="1" applyAlignment="1">
      <alignment horizontal="right" vertical="center"/>
    </xf>
    <xf numFmtId="0" fontId="38" fillId="0" borderId="0" xfId="0" applyFont="1"/>
    <xf numFmtId="0" fontId="39" fillId="0" borderId="0" xfId="0" applyFont="1"/>
    <xf numFmtId="0" fontId="40" fillId="0" borderId="25" xfId="34" applyFont="1" applyBorder="1" applyAlignment="1">
      <alignment horizontal="center" wrapText="1"/>
    </xf>
    <xf numFmtId="0" fontId="40" fillId="0" borderId="27" xfId="34" applyFont="1" applyBorder="1" applyAlignment="1">
      <alignment horizontal="left" vertical="top"/>
    </xf>
    <xf numFmtId="0" fontId="40" fillId="0" borderId="28" xfId="34" applyFont="1" applyBorder="1" applyAlignment="1">
      <alignment horizontal="right" vertical="center"/>
    </xf>
    <xf numFmtId="175" fontId="40" fillId="0" borderId="29" xfId="34" applyNumberFormat="1" applyFont="1" applyBorder="1" applyAlignment="1">
      <alignment horizontal="right" vertical="center"/>
    </xf>
    <xf numFmtId="179" fontId="40" fillId="0" borderId="29" xfId="34" applyNumberFormat="1" applyFont="1" applyBorder="1" applyAlignment="1">
      <alignment horizontal="right" vertical="center"/>
    </xf>
    <xf numFmtId="177" fontId="40" fillId="0" borderId="29" xfId="34" applyNumberFormat="1" applyFont="1" applyBorder="1" applyAlignment="1">
      <alignment horizontal="right" vertical="center"/>
    </xf>
    <xf numFmtId="178" fontId="40" fillId="0" borderId="29" xfId="34" applyNumberFormat="1" applyFont="1" applyBorder="1" applyAlignment="1">
      <alignment horizontal="right" vertical="center"/>
    </xf>
    <xf numFmtId="177" fontId="40" fillId="0" borderId="30" xfId="34" applyNumberFormat="1" applyFont="1" applyBorder="1" applyAlignment="1">
      <alignment horizontal="right" vertical="center"/>
    </xf>
    <xf numFmtId="0" fontId="40" fillId="0" borderId="28" xfId="34" applyFont="1" applyBorder="1" applyAlignment="1">
      <alignment horizontal="center" wrapText="1"/>
    </xf>
    <xf numFmtId="0" fontId="40" fillId="0" borderId="29" xfId="34" applyFont="1" applyBorder="1" applyAlignment="1">
      <alignment horizontal="center" wrapText="1"/>
    </xf>
    <xf numFmtId="0" fontId="40" fillId="0" borderId="30" xfId="34" applyFont="1" applyBorder="1" applyAlignment="1">
      <alignment horizontal="center" wrapText="1"/>
    </xf>
    <xf numFmtId="0" fontId="40" fillId="0" borderId="34" xfId="34" applyFont="1" applyBorder="1" applyAlignment="1">
      <alignment horizontal="left" vertical="top" wrapText="1"/>
    </xf>
    <xf numFmtId="177" fontId="40" fillId="0" borderId="35" xfId="34" applyNumberFormat="1" applyFont="1" applyBorder="1" applyAlignment="1">
      <alignment horizontal="right" vertical="center"/>
    </xf>
    <xf numFmtId="178" fontId="40" fillId="0" borderId="36" xfId="34" applyNumberFormat="1" applyFont="1" applyBorder="1" applyAlignment="1">
      <alignment horizontal="right" vertical="center"/>
    </xf>
    <xf numFmtId="177" fontId="40" fillId="0" borderId="36" xfId="34" applyNumberFormat="1" applyFont="1" applyBorder="1" applyAlignment="1">
      <alignment horizontal="right" vertical="center"/>
    </xf>
    <xf numFmtId="0" fontId="40" fillId="0" borderId="37" xfId="34" applyFont="1" applyBorder="1" applyAlignment="1">
      <alignment horizontal="right" vertical="center"/>
    </xf>
    <xf numFmtId="0" fontId="40" fillId="0" borderId="39" xfId="34" applyFont="1" applyBorder="1" applyAlignment="1">
      <alignment horizontal="left" vertical="top" wrapText="1"/>
    </xf>
    <xf numFmtId="177" fontId="40" fillId="0" borderId="40" xfId="34" applyNumberFormat="1" applyFont="1" applyBorder="1" applyAlignment="1">
      <alignment horizontal="right" vertical="center"/>
    </xf>
    <xf numFmtId="178" fontId="40" fillId="0" borderId="41" xfId="34" applyNumberFormat="1" applyFont="1" applyBorder="1" applyAlignment="1">
      <alignment horizontal="right" vertical="center"/>
    </xf>
    <xf numFmtId="175" fontId="40" fillId="0" borderId="41" xfId="34" applyNumberFormat="1" applyFont="1" applyBorder="1" applyAlignment="1">
      <alignment horizontal="right" vertical="center"/>
    </xf>
    <xf numFmtId="0" fontId="40" fillId="0" borderId="41" xfId="34" applyFont="1" applyBorder="1" applyAlignment="1">
      <alignment horizontal="left" vertical="center" wrapText="1"/>
    </xf>
    <xf numFmtId="0" fontId="40" fillId="0" borderId="42" xfId="34" applyFont="1" applyBorder="1" applyAlignment="1">
      <alignment horizontal="left" vertical="center" wrapText="1"/>
    </xf>
    <xf numFmtId="0" fontId="40" fillId="0" borderId="44" xfId="34" applyFont="1" applyBorder="1" applyAlignment="1">
      <alignment horizontal="left" vertical="top" wrapText="1"/>
    </xf>
    <xf numFmtId="177" fontId="40" fillId="0" borderId="45" xfId="34" applyNumberFormat="1" applyFont="1" applyBorder="1" applyAlignment="1">
      <alignment horizontal="right" vertical="center"/>
    </xf>
    <xf numFmtId="178" fontId="40" fillId="0" borderId="46" xfId="34" applyNumberFormat="1" applyFont="1" applyBorder="1" applyAlignment="1">
      <alignment horizontal="right" vertical="center"/>
    </xf>
    <xf numFmtId="0" fontId="40" fillId="0" borderId="46" xfId="34" applyFont="1" applyBorder="1" applyAlignment="1">
      <alignment horizontal="left" vertical="center" wrapText="1"/>
    </xf>
    <xf numFmtId="0" fontId="40" fillId="0" borderId="47" xfId="34" applyFont="1" applyBorder="1" applyAlignment="1">
      <alignment horizontal="left" vertical="center" wrapText="1"/>
    </xf>
    <xf numFmtId="0" fontId="40" fillId="0" borderId="21" xfId="34" applyFont="1" applyBorder="1" applyAlignment="1">
      <alignment horizontal="center" wrapText="1"/>
    </xf>
    <xf numFmtId="0" fontId="40" fillId="0" borderId="24" xfId="34" applyFont="1" applyBorder="1" applyAlignment="1">
      <alignment horizontal="center" wrapText="1"/>
    </xf>
    <xf numFmtId="0" fontId="40" fillId="0" borderId="26" xfId="34" applyFont="1" applyBorder="1" applyAlignment="1">
      <alignment horizontal="center" wrapText="1"/>
    </xf>
    <xf numFmtId="0" fontId="40" fillId="0" borderId="36" xfId="34" applyFont="1" applyBorder="1" applyAlignment="1">
      <alignment horizontal="left" vertical="center" wrapText="1"/>
    </xf>
    <xf numFmtId="175" fontId="40" fillId="0" borderId="36" xfId="34" applyNumberFormat="1" applyFont="1" applyBorder="1" applyAlignment="1">
      <alignment horizontal="right" vertical="center"/>
    </xf>
    <xf numFmtId="175" fontId="40" fillId="0" borderId="37" xfId="34" applyNumberFormat="1" applyFont="1" applyBorder="1" applyAlignment="1">
      <alignment horizontal="right" vertical="center"/>
    </xf>
    <xf numFmtId="175" fontId="40" fillId="0" borderId="45" xfId="34" applyNumberFormat="1" applyFont="1" applyBorder="1" applyAlignment="1">
      <alignment horizontal="right" vertical="center"/>
    </xf>
    <xf numFmtId="175" fontId="40" fillId="0" borderId="46" xfId="34" applyNumberFormat="1" applyFont="1" applyBorder="1" applyAlignment="1">
      <alignment horizontal="right" vertical="center"/>
    </xf>
    <xf numFmtId="177" fontId="40" fillId="0" borderId="46" xfId="34" applyNumberFormat="1" applyFont="1" applyBorder="1" applyAlignment="1">
      <alignment horizontal="right" vertical="center"/>
    </xf>
    <xf numFmtId="175" fontId="40" fillId="0" borderId="47" xfId="34" applyNumberFormat="1" applyFont="1" applyBorder="1" applyAlignment="1">
      <alignment horizontal="right" vertical="center"/>
    </xf>
    <xf numFmtId="0" fontId="40" fillId="0" borderId="22" xfId="34" applyFont="1" applyBorder="1" applyAlignment="1">
      <alignment horizontal="center" wrapText="1"/>
    </xf>
    <xf numFmtId="0" fontId="40" fillId="0" borderId="35" xfId="34" applyFont="1" applyBorder="1" applyAlignment="1">
      <alignment horizontal="right" vertical="center"/>
    </xf>
    <xf numFmtId="0" fontId="40" fillId="0" borderId="40" xfId="34" applyFont="1" applyBorder="1" applyAlignment="1">
      <alignment horizontal="right" vertical="center"/>
    </xf>
    <xf numFmtId="177" fontId="40" fillId="0" borderId="41" xfId="34" applyNumberFormat="1" applyFont="1" applyBorder="1" applyAlignment="1">
      <alignment horizontal="right" vertical="center"/>
    </xf>
    <xf numFmtId="175" fontId="40" fillId="0" borderId="42" xfId="34" applyNumberFormat="1" applyFont="1" applyBorder="1" applyAlignment="1">
      <alignment horizontal="right" vertical="center"/>
    </xf>
    <xf numFmtId="0" fontId="40" fillId="0" borderId="45" xfId="34" applyFont="1" applyBorder="1" applyAlignment="1">
      <alignment horizontal="right" vertical="center"/>
    </xf>
    <xf numFmtId="0" fontId="40" fillId="0" borderId="0" xfId="34" applyFont="1" applyBorder="1" applyAlignment="1">
      <alignment horizontal="left" vertical="top" wrapText="1"/>
    </xf>
    <xf numFmtId="0" fontId="40" fillId="0" borderId="25" xfId="35" applyFont="1" applyBorder="1" applyAlignment="1">
      <alignment horizontal="center" wrapText="1"/>
    </xf>
    <xf numFmtId="0" fontId="40" fillId="0" borderId="27" xfId="35" applyFont="1" applyBorder="1" applyAlignment="1">
      <alignment horizontal="left" vertical="top"/>
    </xf>
    <xf numFmtId="0" fontId="40" fillId="0" borderId="28" xfId="35" applyFont="1" applyBorder="1" applyAlignment="1">
      <alignment horizontal="right" vertical="center"/>
    </xf>
    <xf numFmtId="175" fontId="40" fillId="0" borderId="29" xfId="35" applyNumberFormat="1" applyFont="1" applyBorder="1" applyAlignment="1">
      <alignment horizontal="right" vertical="center"/>
    </xf>
    <xf numFmtId="179" fontId="40" fillId="0" borderId="29" xfId="35" applyNumberFormat="1" applyFont="1" applyBorder="1" applyAlignment="1">
      <alignment horizontal="right" vertical="center"/>
    </xf>
    <xf numFmtId="177" fontId="40" fillId="0" borderId="29" xfId="35" applyNumberFormat="1" applyFont="1" applyBorder="1" applyAlignment="1">
      <alignment horizontal="right" vertical="center"/>
    </xf>
    <xf numFmtId="178" fontId="40" fillId="0" borderId="29" xfId="35" applyNumberFormat="1" applyFont="1" applyBorder="1" applyAlignment="1">
      <alignment horizontal="right" vertical="center"/>
    </xf>
    <xf numFmtId="177" fontId="40" fillId="0" borderId="30" xfId="35" applyNumberFormat="1" applyFont="1" applyBorder="1" applyAlignment="1">
      <alignment horizontal="right" vertical="center"/>
    </xf>
    <xf numFmtId="0" fontId="40" fillId="0" borderId="28" xfId="35" applyFont="1" applyBorder="1" applyAlignment="1">
      <alignment horizontal="center" wrapText="1"/>
    </xf>
    <xf numFmtId="0" fontId="40" fillId="0" borderId="29" xfId="35" applyFont="1" applyBorder="1" applyAlignment="1">
      <alignment horizontal="center" wrapText="1"/>
    </xf>
    <xf numFmtId="0" fontId="40" fillId="0" borderId="30" xfId="35" applyFont="1" applyBorder="1" applyAlignment="1">
      <alignment horizontal="center" wrapText="1"/>
    </xf>
    <xf numFmtId="0" fontId="40" fillId="0" borderId="34" xfId="35" applyFont="1" applyBorder="1" applyAlignment="1">
      <alignment horizontal="left" vertical="top" wrapText="1"/>
    </xf>
    <xf numFmtId="177" fontId="40" fillId="0" borderId="35" xfId="35" applyNumberFormat="1" applyFont="1" applyBorder="1" applyAlignment="1">
      <alignment horizontal="right" vertical="center"/>
    </xf>
    <xf numFmtId="178" fontId="40" fillId="0" borderId="36" xfId="35" applyNumberFormat="1" applyFont="1" applyBorder="1" applyAlignment="1">
      <alignment horizontal="right" vertical="center"/>
    </xf>
    <xf numFmtId="177" fontId="40" fillId="0" borderId="36" xfId="35" applyNumberFormat="1" applyFont="1" applyBorder="1" applyAlignment="1">
      <alignment horizontal="right" vertical="center"/>
    </xf>
    <xf numFmtId="0" fontId="40" fillId="0" borderId="37" xfId="35" applyFont="1" applyBorder="1" applyAlignment="1">
      <alignment horizontal="right" vertical="center"/>
    </xf>
    <xf numFmtId="0" fontId="40" fillId="0" borderId="39" xfId="35" applyFont="1" applyBorder="1" applyAlignment="1">
      <alignment horizontal="left" vertical="top" wrapText="1"/>
    </xf>
    <xf numFmtId="177" fontId="40" fillId="0" borderId="40" xfId="35" applyNumberFormat="1" applyFont="1" applyBorder="1" applyAlignment="1">
      <alignment horizontal="right" vertical="center"/>
    </xf>
    <xf numFmtId="178" fontId="40" fillId="0" borderId="41" xfId="35" applyNumberFormat="1" applyFont="1" applyBorder="1" applyAlignment="1">
      <alignment horizontal="right" vertical="center"/>
    </xf>
    <xf numFmtId="175" fontId="40" fillId="0" borderId="41" xfId="35" applyNumberFormat="1" applyFont="1" applyBorder="1" applyAlignment="1">
      <alignment horizontal="right" vertical="center"/>
    </xf>
    <xf numFmtId="0" fontId="40" fillId="0" borderId="41" xfId="35" applyFont="1" applyBorder="1" applyAlignment="1">
      <alignment horizontal="left" vertical="center" wrapText="1"/>
    </xf>
    <xf numFmtId="0" fontId="40" fillId="0" borderId="42" xfId="35" applyFont="1" applyBorder="1" applyAlignment="1">
      <alignment horizontal="left" vertical="center" wrapText="1"/>
    </xf>
    <xf numFmtId="0" fontId="40" fillId="0" borderId="44" xfId="35" applyFont="1" applyBorder="1" applyAlignment="1">
      <alignment horizontal="left" vertical="top" wrapText="1"/>
    </xf>
    <xf numFmtId="177" fontId="40" fillId="0" borderId="45" xfId="35" applyNumberFormat="1" applyFont="1" applyBorder="1" applyAlignment="1">
      <alignment horizontal="right" vertical="center"/>
    </xf>
    <xf numFmtId="178" fontId="40" fillId="0" borderId="46" xfId="35" applyNumberFormat="1" applyFont="1" applyBorder="1" applyAlignment="1">
      <alignment horizontal="right" vertical="center"/>
    </xf>
    <xf numFmtId="0" fontId="40" fillId="0" borderId="46" xfId="35" applyFont="1" applyBorder="1" applyAlignment="1">
      <alignment horizontal="left" vertical="center" wrapText="1"/>
    </xf>
    <xf numFmtId="0" fontId="40" fillId="0" borderId="47" xfId="35" applyFont="1" applyBorder="1" applyAlignment="1">
      <alignment horizontal="left" vertical="center" wrapText="1"/>
    </xf>
    <xf numFmtId="0" fontId="8" fillId="0" borderId="0" xfId="35"/>
    <xf numFmtId="0" fontId="40" fillId="0" borderId="34" xfId="35" applyFont="1" applyBorder="1" applyAlignment="1">
      <alignment horizontal="left" wrapText="1"/>
    </xf>
    <xf numFmtId="0" fontId="40" fillId="0" borderId="21" xfId="35" applyFont="1" applyBorder="1" applyAlignment="1">
      <alignment horizontal="center" wrapText="1"/>
    </xf>
    <xf numFmtId="0" fontId="40" fillId="0" borderId="24" xfId="35" applyFont="1" applyBorder="1" applyAlignment="1">
      <alignment horizontal="center" wrapText="1"/>
    </xf>
    <xf numFmtId="0" fontId="40" fillId="0" borderId="26" xfId="35" applyFont="1" applyBorder="1" applyAlignment="1">
      <alignment horizontal="center" wrapText="1"/>
    </xf>
    <xf numFmtId="175" fontId="40" fillId="0" borderId="36" xfId="35" applyNumberFormat="1" applyFont="1" applyBorder="1" applyAlignment="1">
      <alignment horizontal="right" vertical="center"/>
    </xf>
    <xf numFmtId="0" fontId="40" fillId="0" borderId="36" xfId="35" applyFont="1" applyBorder="1" applyAlignment="1">
      <alignment horizontal="left" vertical="center" wrapText="1"/>
    </xf>
    <xf numFmtId="0" fontId="40" fillId="0" borderId="37" xfId="35" applyFont="1" applyBorder="1" applyAlignment="1">
      <alignment horizontal="left" vertical="center" wrapText="1"/>
    </xf>
    <xf numFmtId="175" fontId="40" fillId="0" borderId="45" xfId="35" applyNumberFormat="1" applyFont="1" applyBorder="1" applyAlignment="1">
      <alignment horizontal="right" vertical="center"/>
    </xf>
    <xf numFmtId="175" fontId="40" fillId="0" borderId="46" xfId="35" applyNumberFormat="1" applyFont="1" applyBorder="1" applyAlignment="1">
      <alignment horizontal="right" vertical="center"/>
    </xf>
    <xf numFmtId="177" fontId="40" fillId="0" borderId="46" xfId="35" applyNumberFormat="1" applyFont="1" applyBorder="1" applyAlignment="1">
      <alignment horizontal="right" vertical="center"/>
    </xf>
    <xf numFmtId="177" fontId="40" fillId="0" borderId="47" xfId="35" applyNumberFormat="1" applyFont="1" applyBorder="1" applyAlignment="1">
      <alignment horizontal="right" vertical="center"/>
    </xf>
    <xf numFmtId="0" fontId="40" fillId="0" borderId="31" xfId="35" applyFont="1" applyBorder="1" applyAlignment="1">
      <alignment horizontal="left" vertical="top"/>
    </xf>
    <xf numFmtId="0" fontId="40" fillId="0" borderId="32" xfId="35" applyFont="1" applyBorder="1" applyAlignment="1">
      <alignment horizontal="left" vertical="top" wrapText="1"/>
    </xf>
    <xf numFmtId="175" fontId="40" fillId="0" borderId="30" xfId="35" applyNumberFormat="1" applyFont="1" applyBorder="1" applyAlignment="1">
      <alignment horizontal="right" vertical="center"/>
    </xf>
    <xf numFmtId="180" fontId="10" fillId="4" borderId="0" xfId="29" applyNumberFormat="1" applyFont="1" applyFill="1" applyAlignment="1">
      <alignment horizontal="center"/>
    </xf>
    <xf numFmtId="3" fontId="10" fillId="0" borderId="0" xfId="0" applyNumberFormat="1" applyFont="1" applyAlignment="1">
      <alignment horizontal="center"/>
    </xf>
    <xf numFmtId="49" fontId="10" fillId="0" borderId="0" xfId="0" applyNumberFormat="1" applyFont="1" applyAlignment="1">
      <alignment horizontal="center"/>
    </xf>
    <xf numFmtId="0" fontId="31" fillId="0" borderId="0" xfId="0" applyFont="1"/>
    <xf numFmtId="10" fontId="10" fillId="0" borderId="1" xfId="30" applyNumberFormat="1" applyFont="1" applyBorder="1" applyAlignment="1">
      <alignment horizont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3" xfId="0" applyFont="1" applyBorder="1" applyAlignment="1">
      <alignment horizontal="left" vertical="center" wrapText="1"/>
    </xf>
    <xf numFmtId="0" fontId="10" fillId="0" borderId="18" xfId="0" applyFont="1" applyBorder="1" applyAlignment="1">
      <alignment horizontal="left" vertical="center" wrapText="1"/>
    </xf>
    <xf numFmtId="0" fontId="10" fillId="0" borderId="4" xfId="0" applyFont="1" applyBorder="1" applyAlignment="1">
      <alignment horizontal="left" vertical="center" wrapText="1"/>
    </xf>
    <xf numFmtId="0" fontId="35" fillId="0" borderId="0" xfId="35" applyFont="1" applyBorder="1" applyAlignment="1">
      <alignment horizontal="center" vertical="center" wrapText="1"/>
    </xf>
    <xf numFmtId="0" fontId="40" fillId="0" borderId="19" xfId="35" applyFont="1" applyBorder="1" applyAlignment="1">
      <alignment horizontal="left" wrapText="1"/>
    </xf>
    <xf numFmtId="0" fontId="40" fillId="0" borderId="23" xfId="35" applyFont="1" applyBorder="1" applyAlignment="1">
      <alignment horizontal="left" wrapText="1"/>
    </xf>
    <xf numFmtId="0" fontId="40" fillId="0" borderId="20" xfId="35" applyFont="1" applyBorder="1" applyAlignment="1">
      <alignment horizontal="center" wrapText="1"/>
    </xf>
    <xf numFmtId="0" fontId="40" fillId="0" borderId="24" xfId="35" applyFont="1" applyBorder="1" applyAlignment="1">
      <alignment horizontal="center" wrapText="1"/>
    </xf>
    <xf numFmtId="0" fontId="40" fillId="0" borderId="21" xfId="35" applyFont="1" applyBorder="1" applyAlignment="1">
      <alignment horizontal="center" wrapText="1"/>
    </xf>
    <xf numFmtId="0" fontId="40" fillId="0" borderId="25" xfId="35" applyFont="1" applyBorder="1" applyAlignment="1">
      <alignment horizontal="center" wrapText="1"/>
    </xf>
    <xf numFmtId="0" fontId="40" fillId="0" borderId="22" xfId="35" applyFont="1" applyBorder="1" applyAlignment="1">
      <alignment horizontal="center" wrapText="1"/>
    </xf>
    <xf numFmtId="0" fontId="40" fillId="0" borderId="26" xfId="35" applyFont="1" applyBorder="1" applyAlignment="1">
      <alignment horizontal="center" wrapText="1"/>
    </xf>
    <xf numFmtId="0" fontId="40" fillId="0" borderId="0" xfId="35" applyFont="1" applyBorder="1" applyAlignment="1">
      <alignment horizontal="left" vertical="top" wrapText="1"/>
    </xf>
    <xf numFmtId="0" fontId="40" fillId="0" borderId="31" xfId="35" applyFont="1" applyBorder="1" applyAlignment="1">
      <alignment horizontal="left" wrapText="1"/>
    </xf>
    <xf numFmtId="0" fontId="40" fillId="0" borderId="32" xfId="35" applyFont="1" applyBorder="1" applyAlignment="1">
      <alignment horizontal="left" wrapText="1"/>
    </xf>
    <xf numFmtId="0" fontId="40" fillId="0" borderId="33" xfId="35" applyFont="1" applyBorder="1" applyAlignment="1">
      <alignment horizontal="left" vertical="top"/>
    </xf>
    <xf numFmtId="0" fontId="40" fillId="0" borderId="38" xfId="35" applyFont="1" applyBorder="1" applyAlignment="1">
      <alignment horizontal="left" vertical="top" wrapText="1"/>
    </xf>
    <xf numFmtId="0" fontId="40" fillId="0" borderId="43" xfId="35" applyFont="1" applyBorder="1" applyAlignment="1">
      <alignment horizontal="left" vertical="top" wrapText="1"/>
    </xf>
    <xf numFmtId="0" fontId="40" fillId="0" borderId="48" xfId="35" applyFont="1" applyBorder="1" applyAlignment="1">
      <alignment horizontal="left" wrapText="1"/>
    </xf>
    <xf numFmtId="0" fontId="40" fillId="0" borderId="34" xfId="35" applyFont="1" applyBorder="1" applyAlignment="1">
      <alignment horizontal="left" wrapText="1"/>
    </xf>
    <xf numFmtId="0" fontId="40" fillId="0" borderId="43" xfId="35" applyFont="1" applyBorder="1" applyAlignment="1">
      <alignment horizontal="left" wrapText="1"/>
    </xf>
    <xf numFmtId="0" fontId="40" fillId="0" borderId="44" xfId="35" applyFont="1" applyBorder="1" applyAlignment="1">
      <alignment horizontal="left" wrapText="1"/>
    </xf>
    <xf numFmtId="0" fontId="40" fillId="0" borderId="31" xfId="34" applyFont="1" applyBorder="1" applyAlignment="1">
      <alignment horizontal="left" wrapText="1"/>
    </xf>
    <xf numFmtId="0" fontId="40" fillId="0" borderId="32" xfId="34" applyFont="1" applyBorder="1" applyAlignment="1">
      <alignment horizontal="left" wrapText="1"/>
    </xf>
    <xf numFmtId="0" fontId="36" fillId="0" borderId="0" xfId="33" applyFont="1" applyBorder="1" applyAlignment="1">
      <alignment horizontal="left" vertical="top" wrapText="1"/>
    </xf>
    <xf numFmtId="0" fontId="40" fillId="0" borderId="0" xfId="34" applyFont="1" applyBorder="1" applyAlignment="1">
      <alignment horizontal="left" vertical="top" wrapText="1"/>
    </xf>
    <xf numFmtId="0" fontId="35" fillId="0" borderId="0" xfId="34" applyFont="1" applyBorder="1" applyAlignment="1">
      <alignment horizontal="center" vertical="center" wrapText="1"/>
    </xf>
    <xf numFmtId="0" fontId="35" fillId="0" borderId="0" xfId="33" applyFont="1" applyBorder="1" applyAlignment="1">
      <alignment horizontal="center" vertical="center" wrapText="1"/>
    </xf>
    <xf numFmtId="0" fontId="36" fillId="0" borderId="19" xfId="33" applyFont="1" applyBorder="1" applyAlignment="1">
      <alignment horizontal="left" wrapText="1"/>
    </xf>
    <xf numFmtId="0" fontId="36" fillId="0" borderId="23" xfId="33" applyFont="1" applyBorder="1" applyAlignment="1">
      <alignment horizontal="left" wrapText="1"/>
    </xf>
    <xf numFmtId="0" fontId="36" fillId="0" borderId="20" xfId="33" applyFont="1" applyBorder="1" applyAlignment="1">
      <alignment horizontal="center" wrapText="1"/>
    </xf>
    <xf numFmtId="0" fontId="36" fillId="0" borderId="24" xfId="33" applyFont="1" applyBorder="1" applyAlignment="1">
      <alignment horizontal="center" wrapText="1"/>
    </xf>
    <xf numFmtId="0" fontId="36" fillId="0" borderId="21" xfId="33" applyFont="1" applyBorder="1" applyAlignment="1">
      <alignment horizontal="center" wrapText="1"/>
    </xf>
    <xf numFmtId="0" fontId="36" fillId="0" borderId="25" xfId="33" applyFont="1" applyBorder="1" applyAlignment="1">
      <alignment horizontal="center" wrapText="1"/>
    </xf>
    <xf numFmtId="0" fontId="36" fillId="0" borderId="22" xfId="33" applyFont="1" applyBorder="1" applyAlignment="1">
      <alignment horizontal="center" wrapText="1"/>
    </xf>
    <xf numFmtId="0" fontId="36" fillId="0" borderId="26" xfId="33" applyFont="1" applyBorder="1" applyAlignment="1">
      <alignment horizontal="center" wrapText="1"/>
    </xf>
    <xf numFmtId="0" fontId="36" fillId="0" borderId="31" xfId="33" applyFont="1" applyBorder="1" applyAlignment="1">
      <alignment horizontal="left" wrapText="1"/>
    </xf>
    <xf numFmtId="0" fontId="36" fillId="0" borderId="32" xfId="33" applyFont="1" applyBorder="1" applyAlignment="1">
      <alignment horizontal="left" wrapText="1"/>
    </xf>
    <xf numFmtId="0" fontId="36" fillId="0" borderId="33" xfId="33" applyFont="1" applyBorder="1" applyAlignment="1">
      <alignment horizontal="left" vertical="top"/>
    </xf>
    <xf numFmtId="0" fontId="36" fillId="0" borderId="38" xfId="33" applyFont="1" applyBorder="1" applyAlignment="1">
      <alignment horizontal="left" vertical="top" wrapText="1"/>
    </xf>
    <xf numFmtId="0" fontId="36" fillId="0" borderId="43" xfId="33" applyFont="1" applyBorder="1" applyAlignment="1">
      <alignment horizontal="left" vertical="top" wrapText="1"/>
    </xf>
    <xf numFmtId="0" fontId="36" fillId="0" borderId="48" xfId="33" applyFont="1" applyBorder="1" applyAlignment="1">
      <alignment horizontal="left" wrapText="1"/>
    </xf>
    <xf numFmtId="0" fontId="36" fillId="0" borderId="34" xfId="33" applyFont="1" applyBorder="1" applyAlignment="1">
      <alignment horizontal="left" wrapText="1"/>
    </xf>
    <xf numFmtId="0" fontId="36" fillId="0" borderId="43" xfId="33" applyFont="1" applyBorder="1" applyAlignment="1">
      <alignment horizontal="left" wrapText="1"/>
    </xf>
    <xf numFmtId="0" fontId="36" fillId="0" borderId="44" xfId="33" applyFont="1" applyBorder="1" applyAlignment="1">
      <alignment horizontal="left" wrapText="1"/>
    </xf>
    <xf numFmtId="0" fontId="40" fillId="0" borderId="19" xfId="34" applyFont="1" applyBorder="1" applyAlignment="1">
      <alignment horizontal="left" wrapText="1"/>
    </xf>
    <xf numFmtId="0" fontId="40" fillId="0" borderId="23" xfId="34" applyFont="1" applyBorder="1" applyAlignment="1">
      <alignment horizontal="left" wrapText="1"/>
    </xf>
    <xf numFmtId="0" fontId="40" fillId="0" borderId="20" xfId="34" applyFont="1" applyBorder="1" applyAlignment="1">
      <alignment horizontal="center" wrapText="1"/>
    </xf>
    <xf numFmtId="0" fontId="40" fillId="0" borderId="24" xfId="34" applyFont="1" applyBorder="1" applyAlignment="1">
      <alignment horizontal="center" wrapText="1"/>
    </xf>
    <xf numFmtId="0" fontId="40" fillId="0" borderId="21" xfId="34" applyFont="1" applyBorder="1" applyAlignment="1">
      <alignment horizontal="center" wrapText="1"/>
    </xf>
    <xf numFmtId="0" fontId="40" fillId="0" borderId="25" xfId="34" applyFont="1" applyBorder="1" applyAlignment="1">
      <alignment horizontal="center" wrapText="1"/>
    </xf>
    <xf numFmtId="0" fontId="40" fillId="0" borderId="22" xfId="34" applyFont="1" applyBorder="1" applyAlignment="1">
      <alignment horizontal="center" wrapText="1"/>
    </xf>
    <xf numFmtId="0" fontId="40" fillId="0" borderId="26" xfId="34" applyFont="1" applyBorder="1" applyAlignment="1">
      <alignment horizontal="center" wrapText="1"/>
    </xf>
    <xf numFmtId="0" fontId="40" fillId="0" borderId="33" xfId="34" applyFont="1" applyBorder="1" applyAlignment="1">
      <alignment horizontal="left" vertical="top"/>
    </xf>
    <xf numFmtId="0" fontId="40" fillId="0" borderId="38" xfId="34" applyFont="1" applyBorder="1" applyAlignment="1">
      <alignment horizontal="left" vertical="top" wrapText="1"/>
    </xf>
    <xf numFmtId="0" fontId="40" fillId="0" borderId="43" xfId="34" applyFont="1" applyBorder="1" applyAlignment="1">
      <alignment horizontal="left" vertical="top" wrapText="1"/>
    </xf>
    <xf numFmtId="0" fontId="40" fillId="0" borderId="48" xfId="34" applyFont="1" applyBorder="1" applyAlignment="1">
      <alignment horizontal="left" wrapText="1"/>
    </xf>
    <xf numFmtId="0" fontId="40" fillId="0" borderId="34" xfId="34" applyFont="1" applyBorder="1" applyAlignment="1">
      <alignment horizontal="left" wrapText="1"/>
    </xf>
    <xf numFmtId="0" fontId="40" fillId="0" borderId="43" xfId="34" applyFont="1" applyBorder="1" applyAlignment="1">
      <alignment horizontal="left" wrapText="1"/>
    </xf>
    <xf numFmtId="0" fontId="40" fillId="0" borderId="44" xfId="34" applyFont="1" applyBorder="1" applyAlignment="1">
      <alignment horizontal="left" wrapText="1"/>
    </xf>
    <xf numFmtId="10" fontId="10" fillId="0" borderId="0" xfId="30" applyNumberFormat="1" applyFont="1" applyAlignment="1">
      <alignment horizontal="center"/>
    </xf>
    <xf numFmtId="10" fontId="10" fillId="0" borderId="0" xfId="30" applyNumberFormat="1" applyFont="1" applyAlignment="1">
      <alignment horizontal="right"/>
    </xf>
    <xf numFmtId="10" fontId="10" fillId="0" borderId="1" xfId="30" applyNumberFormat="1" applyFont="1" applyBorder="1" applyAlignment="1">
      <alignment horizontal="center" vertical="center"/>
    </xf>
    <xf numFmtId="10" fontId="10" fillId="0" borderId="0" xfId="30" applyNumberFormat="1" applyFont="1" applyAlignment="1">
      <alignment horizontal="center" vertical="center"/>
    </xf>
    <xf numFmtId="10" fontId="27" fillId="0" borderId="0" xfId="30" applyNumberFormat="1" applyFont="1" applyBorder="1" applyAlignment="1">
      <alignment horizontal="center"/>
    </xf>
    <xf numFmtId="10" fontId="26" fillId="0" borderId="0" xfId="30" applyNumberFormat="1" applyFont="1" applyBorder="1" applyAlignment="1">
      <alignment horizontal="center"/>
    </xf>
    <xf numFmtId="10" fontId="10" fillId="0" borderId="0" xfId="30" applyNumberFormat="1" applyFont="1" applyBorder="1" applyAlignment="1">
      <alignment horizontal="center"/>
    </xf>
    <xf numFmtId="10" fontId="21" fillId="0" borderId="0" xfId="30" applyNumberFormat="1" applyFont="1" applyAlignment="1">
      <alignment horizontal="center"/>
    </xf>
    <xf numFmtId="10" fontId="10" fillId="0" borderId="0" xfId="30" applyNumberFormat="1" applyFont="1" applyFill="1" applyBorder="1" applyAlignment="1">
      <alignment horizontal="center"/>
    </xf>
  </cellXfs>
  <cellStyles count="3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Millares" xfId="29" builtinId="3"/>
    <cellStyle name="Millares 2" xfId="32" xr:uid="{5E008FD3-2DDB-4210-8797-A00177170DD7}"/>
    <cellStyle name="Normal" xfId="0" builtinId="0"/>
    <cellStyle name="Normal 2" xfId="31" xr:uid="{EAD7255B-299F-4CA6-8BF4-295B5F653F22}"/>
    <cellStyle name="Normal_Dif PAS Desp-Ant, r Inc-año" xfId="35" xr:uid="{8F2EB411-3E09-4249-94F3-BA69F1BD14C3}"/>
    <cellStyle name="Normal_PAS Alcanz, r Inc-año" xfId="33" xr:uid="{D44BA79C-C4E3-4F9C-BA7F-0DDF23CED436}"/>
    <cellStyle name="Normal_PAS Alcanz, r Inc-año_1" xfId="34" xr:uid="{70110664-1637-4763-B8D6-36498ECAA6B1}"/>
    <cellStyle name="Porcentaje" xfId="30" builtinId="5"/>
  </cellStyles>
  <dxfs count="0"/>
  <tableStyles count="0" defaultTableStyle="TableStyleMedium2" defaultPivotStyle="PivotStyleLight16"/>
  <colors>
    <mruColors>
      <color rgb="FFFF0066"/>
      <color rgb="FF993300"/>
      <color rgb="FFCC00CC"/>
      <color rgb="FF0000FF"/>
      <color rgb="FFFF0000"/>
      <color rgb="FFFF99FF"/>
      <color rgb="FFFFFF99"/>
      <color rgb="FF99FF66"/>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'Dif PAS Int-Con, r RAR'!$G$9</c:f>
              <c:strCache>
                <c:ptCount val="1"/>
                <c:pt idx="0">
                  <c:v>Y = RAR en Mort</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4.5681874303690785E-2"/>
                  <c:y val="-0.4840877575247203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rgbClr val="993300"/>
                      </a:solidFill>
                      <a:latin typeface="+mn-lt"/>
                      <a:ea typeface="+mn-ea"/>
                      <a:cs typeface="+mn-cs"/>
                    </a:defRPr>
                  </a:pPr>
                  <a:endParaRPr lang="es-ES"/>
                </a:p>
              </c:txPr>
            </c:trendlineLbl>
          </c:trendline>
          <c:xVal>
            <c:numRef>
              <c:f>'Dif PAS Int-Con, r RAR'!$F$10:$F$27</c:f>
              <c:numCache>
                <c:formatCode>0.00</c:formatCode>
                <c:ptCount val="18"/>
                <c:pt idx="0">
                  <c:v>7</c:v>
                </c:pt>
                <c:pt idx="1">
                  <c:v>2.9</c:v>
                </c:pt>
                <c:pt idx="2">
                  <c:v>10</c:v>
                </c:pt>
                <c:pt idx="3">
                  <c:v>6.82</c:v>
                </c:pt>
                <c:pt idx="4">
                  <c:v>7</c:v>
                </c:pt>
                <c:pt idx="5">
                  <c:v>6.8</c:v>
                </c:pt>
                <c:pt idx="6">
                  <c:v>5</c:v>
                </c:pt>
                <c:pt idx="7">
                  <c:v>6</c:v>
                </c:pt>
                <c:pt idx="8">
                  <c:v>9.6999999999999993</c:v>
                </c:pt>
                <c:pt idx="9">
                  <c:v>3.8</c:v>
                </c:pt>
                <c:pt idx="10">
                  <c:v>13.1</c:v>
                </c:pt>
                <c:pt idx="11">
                  <c:v>5.6</c:v>
                </c:pt>
                <c:pt idx="12">
                  <c:v>14</c:v>
                </c:pt>
                <c:pt idx="13">
                  <c:v>1.4</c:v>
                </c:pt>
                <c:pt idx="14">
                  <c:v>14</c:v>
                </c:pt>
                <c:pt idx="15">
                  <c:v>11</c:v>
                </c:pt>
                <c:pt idx="16">
                  <c:v>13.1</c:v>
                </c:pt>
                <c:pt idx="17">
                  <c:v>3</c:v>
                </c:pt>
              </c:numCache>
            </c:numRef>
          </c:xVal>
          <c:yVal>
            <c:numRef>
              <c:f>'Dif PAS Int-Con, r RAR'!$G$10:$G$27</c:f>
              <c:numCache>
                <c:formatCode>0.00%</c:formatCode>
                <c:ptCount val="18"/>
                <c:pt idx="0">
                  <c:v>-2.3800000000000002E-2</c:v>
                </c:pt>
                <c:pt idx="1">
                  <c:v>-2.3E-3</c:v>
                </c:pt>
                <c:pt idx="2">
                  <c:v>3.5999999999999997E-2</c:v>
                </c:pt>
                <c:pt idx="3">
                  <c:v>5.2400000000000002E-2</c:v>
                </c:pt>
                <c:pt idx="4">
                  <c:v>6.4000000000000003E-3</c:v>
                </c:pt>
                <c:pt idx="5">
                  <c:v>-3.8100000000000002E-2</c:v>
                </c:pt>
                <c:pt idx="6">
                  <c:v>5.8999999999999999E-3</c:v>
                </c:pt>
                <c:pt idx="7">
                  <c:v>-1.52E-2</c:v>
                </c:pt>
                <c:pt idx="8">
                  <c:v>-4.0000000000000002E-4</c:v>
                </c:pt>
                <c:pt idx="9">
                  <c:v>1.9E-3</c:v>
                </c:pt>
                <c:pt idx="10">
                  <c:v>-2.8E-3</c:v>
                </c:pt>
                <c:pt idx="11">
                  <c:v>4.0000000000000001E-3</c:v>
                </c:pt>
                <c:pt idx="12">
                  <c:v>9.1000000000000004E-3</c:v>
                </c:pt>
                <c:pt idx="13">
                  <c:v>2.3E-3</c:v>
                </c:pt>
                <c:pt idx="14">
                  <c:v>0.105</c:v>
                </c:pt>
                <c:pt idx="15">
                  <c:v>-4.1000000000000003E-3</c:v>
                </c:pt>
                <c:pt idx="16">
                  <c:v>1.17E-2</c:v>
                </c:pt>
                <c:pt idx="17">
                  <c:v>-3.7000000000000002E-3</c:v>
                </c:pt>
              </c:numCache>
            </c:numRef>
          </c:yVal>
          <c:smooth val="0"/>
          <c:extLst>
            <c:ext xmlns:c16="http://schemas.microsoft.com/office/drawing/2014/chart" uri="{C3380CC4-5D6E-409C-BE32-E72D297353CC}">
              <c16:uniqueId val="{00000000-7A94-4672-A1CD-EC6185749807}"/>
            </c:ext>
          </c:extLst>
        </c:ser>
        <c:dLbls>
          <c:showLegendKey val="0"/>
          <c:showVal val="0"/>
          <c:showCatName val="0"/>
          <c:showSerName val="0"/>
          <c:showPercent val="0"/>
          <c:showBubbleSize val="0"/>
        </c:dLbls>
        <c:axId val="475957455"/>
        <c:axId val="517421759"/>
      </c:scatterChart>
      <c:valAx>
        <c:axId val="4759574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1500" b="1">
                    <a:solidFill>
                      <a:schemeClr val="tx1"/>
                    </a:solidFill>
                  </a:rPr>
                  <a:t>X: Diferencia en mm Hg</a:t>
                </a:r>
                <a:r>
                  <a:rPr lang="es-ES" sz="1500" b="1" baseline="0">
                    <a:solidFill>
                      <a:schemeClr val="tx1"/>
                    </a:solidFill>
                  </a:rPr>
                  <a:t> </a:t>
                </a:r>
                <a:r>
                  <a:rPr lang="es-ES" sz="1500" b="1">
                    <a:solidFill>
                      <a:schemeClr val="tx1"/>
                    </a:solidFill>
                  </a:rPr>
                  <a:t>en la PAS entre Intensivo y Convencional</a:t>
                </a:r>
              </a:p>
            </c:rich>
          </c:tx>
          <c:layout>
            <c:manualLayout>
              <c:xMode val="edge"/>
              <c:yMode val="edge"/>
              <c:x val="0.12466728956980347"/>
              <c:y val="0.89021646684824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7421759"/>
        <c:crosses val="autoZero"/>
        <c:crossBetween val="midCat"/>
      </c:valAx>
      <c:valAx>
        <c:axId val="5174217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sz="1600" b="1">
                    <a:solidFill>
                      <a:schemeClr val="tx1"/>
                    </a:solidFill>
                  </a:rPr>
                  <a:t>Y: RAR en Mort</a:t>
                </a:r>
              </a:p>
            </c:rich>
          </c:tx>
          <c:layout>
            <c:manualLayout>
              <c:xMode val="edge"/>
              <c:yMode val="edge"/>
              <c:x val="1.5025393802853228E-2"/>
              <c:y val="0.2949397545095113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7595745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6746721519046824E-2"/>
          <c:y val="4.347934342145395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'Dif PAS Desp-Ant, r Inc-año'!$G$197</c:f>
              <c:strCache>
                <c:ptCount val="1"/>
                <c:pt idx="0">
                  <c:v>Y = ACV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0"/>
          </c:trendline>
          <c:trendline>
            <c:spPr>
              <a:ln w="28575" cap="rnd">
                <a:solidFill>
                  <a:srgbClr val="FF0066"/>
                </a:solidFill>
                <a:prstDash val="sysDot"/>
              </a:ln>
              <a:effectLst/>
            </c:spPr>
            <c:trendlineType val="linear"/>
            <c:dispRSqr val="1"/>
            <c:dispEq val="1"/>
            <c:trendlineLbl>
              <c:layout>
                <c:manualLayout>
                  <c:x val="-0.13796904662480008"/>
                  <c:y val="-0.57792348516754899"/>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'Dif PAS Desp-Ant, r Inc-año'!$F$198:$F$223</c:f>
              <c:numCache>
                <c:formatCode>0.00</c:formatCode>
                <c:ptCount val="26"/>
                <c:pt idx="0">
                  <c:v>-30.300000000000011</c:v>
                </c:pt>
                <c:pt idx="1">
                  <c:v>-15</c:v>
                </c:pt>
                <c:pt idx="2">
                  <c:v>-23</c:v>
                </c:pt>
                <c:pt idx="3">
                  <c:v>-8</c:v>
                </c:pt>
                <c:pt idx="4">
                  <c:v>-35.699999999999989</c:v>
                </c:pt>
                <c:pt idx="5">
                  <c:v>-18.699999999999989</c:v>
                </c:pt>
                <c:pt idx="6">
                  <c:v>-32.900000000000006</c:v>
                </c:pt>
                <c:pt idx="7">
                  <c:v>-20.5</c:v>
                </c:pt>
                <c:pt idx="8">
                  <c:v>-23.599999999999994</c:v>
                </c:pt>
                <c:pt idx="9">
                  <c:v>-23.800000000000011</c:v>
                </c:pt>
                <c:pt idx="10">
                  <c:v>-20.5</c:v>
                </c:pt>
                <c:pt idx="11">
                  <c:v>-18.199999999999989</c:v>
                </c:pt>
                <c:pt idx="12">
                  <c:v>-15.699999999999989</c:v>
                </c:pt>
                <c:pt idx="13">
                  <c:v>-27.400000000000006</c:v>
                </c:pt>
                <c:pt idx="14">
                  <c:v>-5</c:v>
                </c:pt>
                <c:pt idx="15">
                  <c:v>-17</c:v>
                </c:pt>
                <c:pt idx="16">
                  <c:v>1</c:v>
                </c:pt>
                <c:pt idx="17">
                  <c:v>-26</c:v>
                </c:pt>
                <c:pt idx="18">
                  <c:v>-5.6999999999999886</c:v>
                </c:pt>
                <c:pt idx="19">
                  <c:v>-27.5</c:v>
                </c:pt>
                <c:pt idx="20">
                  <c:v>-9.5</c:v>
                </c:pt>
                <c:pt idx="21">
                  <c:v>-21.199999999999989</c:v>
                </c:pt>
                <c:pt idx="22">
                  <c:v>-9.8000000000000114</c:v>
                </c:pt>
                <c:pt idx="23">
                  <c:v>-6.5</c:v>
                </c:pt>
                <c:pt idx="24">
                  <c:v>-5.0999999999999943</c:v>
                </c:pt>
                <c:pt idx="25">
                  <c:v>-13.400000000000006</c:v>
                </c:pt>
              </c:numCache>
            </c:numRef>
          </c:xVal>
          <c:yVal>
            <c:numRef>
              <c:f>'Dif PAS Desp-Ant, r Inc-año'!$G$198:$G$223</c:f>
              <c:numCache>
                <c:formatCode>0.00%</c:formatCode>
                <c:ptCount val="26"/>
                <c:pt idx="0">
                  <c:v>3.7401872615105314E-3</c:v>
                </c:pt>
                <c:pt idx="1">
                  <c:v>5.9680864430204797E-3</c:v>
                </c:pt>
                <c:pt idx="2">
                  <c:v>7.5949367088607592E-3</c:v>
                </c:pt>
                <c:pt idx="3">
                  <c:v>3.3755274261603376E-3</c:v>
                </c:pt>
                <c:pt idx="4">
                  <c:v>1.1701170117011701E-2</c:v>
                </c:pt>
                <c:pt idx="5">
                  <c:v>3.0626767795052879E-3</c:v>
                </c:pt>
                <c:pt idx="6">
                  <c:v>3.3732856856730233E-3</c:v>
                </c:pt>
                <c:pt idx="7">
                  <c:v>1.6049382716049384E-2</c:v>
                </c:pt>
                <c:pt idx="8">
                  <c:v>2.3204278869023449E-3</c:v>
                </c:pt>
                <c:pt idx="9">
                  <c:v>1.4462809917355372E-2</c:v>
                </c:pt>
                <c:pt idx="10">
                  <c:v>6.482165043124404E-3</c:v>
                </c:pt>
                <c:pt idx="11">
                  <c:v>4.0654991252619625E-3</c:v>
                </c:pt>
                <c:pt idx="12">
                  <c:v>0</c:v>
                </c:pt>
                <c:pt idx="13">
                  <c:v>4.3061437117698463E-3</c:v>
                </c:pt>
                <c:pt idx="14">
                  <c:v>1.0378510378510378E-2</c:v>
                </c:pt>
                <c:pt idx="15">
                  <c:v>7.725321888412017E-3</c:v>
                </c:pt>
                <c:pt idx="16">
                  <c:v>1.0699588477366255E-2</c:v>
                </c:pt>
                <c:pt idx="17">
                  <c:v>1.1106074342701723E-2</c:v>
                </c:pt>
                <c:pt idx="18">
                  <c:v>4.9355241077918459E-3</c:v>
                </c:pt>
                <c:pt idx="19">
                  <c:v>3.3974748268349548E-3</c:v>
                </c:pt>
                <c:pt idx="20">
                  <c:v>1.7448856799037304E-2</c:v>
                </c:pt>
                <c:pt idx="21">
                  <c:v>1.8563423095218758E-3</c:v>
                </c:pt>
                <c:pt idx="22">
                  <c:v>2.4930747922437674E-2</c:v>
                </c:pt>
                <c:pt idx="23">
                  <c:v>6.405352027471843E-3</c:v>
                </c:pt>
                <c:pt idx="24">
                  <c:v>4.5851788678276349E-3</c:v>
                </c:pt>
                <c:pt idx="25">
                  <c:v>1.1406844106463879E-2</c:v>
                </c:pt>
              </c:numCache>
            </c:numRef>
          </c:yVal>
          <c:smooth val="0"/>
          <c:extLst>
            <c:ext xmlns:c16="http://schemas.microsoft.com/office/drawing/2014/chart" uri="{C3380CC4-5D6E-409C-BE32-E72D297353CC}">
              <c16:uniqueId val="{00000000-5A03-4684-A6FF-C25862197CD5}"/>
            </c:ext>
          </c:extLst>
        </c:ser>
        <c:dLbls>
          <c:showLegendKey val="0"/>
          <c:showVal val="0"/>
          <c:showCatName val="0"/>
          <c:showSerName val="0"/>
          <c:showPercent val="0"/>
          <c:showBubbleSize val="0"/>
        </c:dLbls>
        <c:axId val="1452273584"/>
        <c:axId val="1292835072"/>
      </c:scatterChart>
      <c:valAx>
        <c:axId val="14522735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92835072"/>
        <c:crosses val="autoZero"/>
        <c:crossBetween val="midCat"/>
      </c:valAx>
      <c:valAx>
        <c:axId val="12928350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522735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02845581802274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'Dif PAS Desp-Ant, r Inc-año'!$G$148</c:f>
              <c:strCache>
                <c:ptCount val="1"/>
                <c:pt idx="0">
                  <c:v>Y = IAM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9.3246500437445326E-2"/>
                  <c:y val="-0.50892789442986297"/>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'Dif PAS Desp-Ant, r Inc-año'!$F$149:$F$174</c:f>
              <c:numCache>
                <c:formatCode>0.00</c:formatCode>
                <c:ptCount val="26"/>
                <c:pt idx="0">
                  <c:v>-30.300000000000011</c:v>
                </c:pt>
                <c:pt idx="1">
                  <c:v>-15</c:v>
                </c:pt>
                <c:pt idx="2">
                  <c:v>-23</c:v>
                </c:pt>
                <c:pt idx="3">
                  <c:v>-8</c:v>
                </c:pt>
                <c:pt idx="4">
                  <c:v>-35.699999999999989</c:v>
                </c:pt>
                <c:pt idx="5">
                  <c:v>-27.300000000000011</c:v>
                </c:pt>
                <c:pt idx="6">
                  <c:v>-18.699999999999989</c:v>
                </c:pt>
                <c:pt idx="7">
                  <c:v>-32.900000000000006</c:v>
                </c:pt>
                <c:pt idx="8">
                  <c:v>-23.599999999999994</c:v>
                </c:pt>
                <c:pt idx="9">
                  <c:v>-23.800000000000011</c:v>
                </c:pt>
                <c:pt idx="10">
                  <c:v>-20.5</c:v>
                </c:pt>
                <c:pt idx="11">
                  <c:v>-18.199999999999989</c:v>
                </c:pt>
                <c:pt idx="12">
                  <c:v>-15.699999999999989</c:v>
                </c:pt>
                <c:pt idx="13">
                  <c:v>-27.400000000000006</c:v>
                </c:pt>
                <c:pt idx="14">
                  <c:v>-5</c:v>
                </c:pt>
                <c:pt idx="15">
                  <c:v>-17</c:v>
                </c:pt>
                <c:pt idx="16">
                  <c:v>1</c:v>
                </c:pt>
                <c:pt idx="17">
                  <c:v>-26</c:v>
                </c:pt>
                <c:pt idx="18">
                  <c:v>-25.5</c:v>
                </c:pt>
                <c:pt idx="19">
                  <c:v>-5.6999999999999886</c:v>
                </c:pt>
                <c:pt idx="20">
                  <c:v>-27.5</c:v>
                </c:pt>
                <c:pt idx="21">
                  <c:v>-21.199999999999989</c:v>
                </c:pt>
                <c:pt idx="22">
                  <c:v>-9.8000000000000114</c:v>
                </c:pt>
                <c:pt idx="23">
                  <c:v>-6.5</c:v>
                </c:pt>
                <c:pt idx="24">
                  <c:v>-5.0999999999999943</c:v>
                </c:pt>
                <c:pt idx="25">
                  <c:v>-13.400000000000006</c:v>
                </c:pt>
              </c:numCache>
            </c:numRef>
          </c:xVal>
          <c:yVal>
            <c:numRef>
              <c:f>'Dif PAS Desp-Ant, r Inc-año'!$G$149:$G$174</c:f>
              <c:numCache>
                <c:formatCode>0.00%</c:formatCode>
                <c:ptCount val="26"/>
                <c:pt idx="0">
                  <c:v>4.1604330212308164E-3</c:v>
                </c:pt>
                <c:pt idx="1">
                  <c:v>3.8801800403538726E-3</c:v>
                </c:pt>
                <c:pt idx="2">
                  <c:v>1.350210970464135E-2</c:v>
                </c:pt>
                <c:pt idx="3">
                  <c:v>1.6033755274261603E-2</c:v>
                </c:pt>
                <c:pt idx="4">
                  <c:v>1.3501350135013501E-3</c:v>
                </c:pt>
                <c:pt idx="5">
                  <c:v>3.5906642728904849E-3</c:v>
                </c:pt>
                <c:pt idx="6">
                  <c:v>1.134991982993136E-2</c:v>
                </c:pt>
                <c:pt idx="7">
                  <c:v>1.0541517767728198E-3</c:v>
                </c:pt>
                <c:pt idx="8">
                  <c:v>2.9005348586279307E-3</c:v>
                </c:pt>
                <c:pt idx="9">
                  <c:v>6.1983471074380167E-3</c:v>
                </c:pt>
                <c:pt idx="10">
                  <c:v>2.2507517510848625E-2</c:v>
                </c:pt>
                <c:pt idx="11">
                  <c:v>6.4797990594271052E-3</c:v>
                </c:pt>
                <c:pt idx="12">
                  <c:v>3.7593984962406013E-3</c:v>
                </c:pt>
                <c:pt idx="13">
                  <c:v>5.0833501377965992E-3</c:v>
                </c:pt>
                <c:pt idx="14">
                  <c:v>5.2036199095022627E-2</c:v>
                </c:pt>
                <c:pt idx="15">
                  <c:v>1.201716738197425E-2</c:v>
                </c:pt>
                <c:pt idx="16">
                  <c:v>1.2345679012345678E-2</c:v>
                </c:pt>
                <c:pt idx="17">
                  <c:v>1.3599274705349048E-3</c:v>
                </c:pt>
                <c:pt idx="18">
                  <c:v>5.4249547920433997E-3</c:v>
                </c:pt>
                <c:pt idx="19">
                  <c:v>1.3101573086138355E-2</c:v>
                </c:pt>
                <c:pt idx="20">
                  <c:v>8.4936870670873871E-4</c:v>
                </c:pt>
                <c:pt idx="21">
                  <c:v>3.2485990416632827E-3</c:v>
                </c:pt>
                <c:pt idx="22">
                  <c:v>6.2326869806094186E-3</c:v>
                </c:pt>
                <c:pt idx="23">
                  <c:v>2.704481967154778E-2</c:v>
                </c:pt>
                <c:pt idx="24">
                  <c:v>7.740764467221866E-3</c:v>
                </c:pt>
                <c:pt idx="25">
                  <c:v>3.8022813688212928E-3</c:v>
                </c:pt>
              </c:numCache>
            </c:numRef>
          </c:yVal>
          <c:smooth val="0"/>
          <c:extLst>
            <c:ext xmlns:c16="http://schemas.microsoft.com/office/drawing/2014/chart" uri="{C3380CC4-5D6E-409C-BE32-E72D297353CC}">
              <c16:uniqueId val="{00000000-76A3-4FD5-AFBD-0742649986AC}"/>
            </c:ext>
          </c:extLst>
        </c:ser>
        <c:dLbls>
          <c:showLegendKey val="0"/>
          <c:showVal val="0"/>
          <c:showCatName val="0"/>
          <c:showSerName val="0"/>
          <c:showPercent val="0"/>
          <c:showBubbleSize val="0"/>
        </c:dLbls>
        <c:axId val="2044669184"/>
        <c:axId val="58891328"/>
      </c:scatterChart>
      <c:valAx>
        <c:axId val="20446691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8891328"/>
        <c:crosses val="autoZero"/>
        <c:crossBetween val="midCat"/>
      </c:valAx>
      <c:valAx>
        <c:axId val="588913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46691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1027777777777764E-2"/>
          <c:y val="3.703703703703703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'Dif PAS Desp-Ant, r Inc-año'!$G$288</c:f>
              <c:strCache>
                <c:ptCount val="1"/>
                <c:pt idx="0">
                  <c:v>Y = EnfRenTerm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1.0572914435959996E-2"/>
                  <c:y val="-0.47533494483402339"/>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'Dif PAS Desp-Ant, r Inc-año'!$F$289:$F$298</c:f>
              <c:numCache>
                <c:formatCode>0.00</c:formatCode>
                <c:ptCount val="10"/>
                <c:pt idx="0">
                  <c:v>10</c:v>
                </c:pt>
                <c:pt idx="1">
                  <c:v>-4.5</c:v>
                </c:pt>
                <c:pt idx="2">
                  <c:v>-6.6999999999999886</c:v>
                </c:pt>
                <c:pt idx="3">
                  <c:v>-18.699999999999989</c:v>
                </c:pt>
                <c:pt idx="4">
                  <c:v>-18.199999999999989</c:v>
                </c:pt>
                <c:pt idx="5">
                  <c:v>15</c:v>
                </c:pt>
                <c:pt idx="6">
                  <c:v>2.5</c:v>
                </c:pt>
                <c:pt idx="7">
                  <c:v>-2.6999999999999886</c:v>
                </c:pt>
                <c:pt idx="8">
                  <c:v>-5.6999999999999886</c:v>
                </c:pt>
                <c:pt idx="9">
                  <c:v>-5.0999999999999943</c:v>
                </c:pt>
              </c:numCache>
            </c:numRef>
          </c:xVal>
          <c:yVal>
            <c:numRef>
              <c:f>'Dif PAS Desp-Ant, r Inc-año'!$G$289:$G$298</c:f>
              <c:numCache>
                <c:formatCode>0.00%</c:formatCode>
                <c:ptCount val="10"/>
                <c:pt idx="0">
                  <c:v>4.8309178743961352E-2</c:v>
                </c:pt>
                <c:pt idx="1">
                  <c:v>0.10005973715651134</c:v>
                </c:pt>
                <c:pt idx="2">
                  <c:v>0.14221556886227546</c:v>
                </c:pt>
                <c:pt idx="3">
                  <c:v>5.3146449997297637E-3</c:v>
                </c:pt>
                <c:pt idx="4">
                  <c:v>1.2655505341541272E-2</c:v>
                </c:pt>
                <c:pt idx="5">
                  <c:v>1.6563146997929608E-2</c:v>
                </c:pt>
                <c:pt idx="6">
                  <c:v>0.11306135357368755</c:v>
                </c:pt>
                <c:pt idx="7">
                  <c:v>0.13764880952380951</c:v>
                </c:pt>
                <c:pt idx="8">
                  <c:v>5.2047345136714013E-3</c:v>
                </c:pt>
                <c:pt idx="9">
                  <c:v>7.663798964797618E-3</c:v>
                </c:pt>
              </c:numCache>
            </c:numRef>
          </c:yVal>
          <c:smooth val="0"/>
          <c:extLst>
            <c:ext xmlns:c16="http://schemas.microsoft.com/office/drawing/2014/chart" uri="{C3380CC4-5D6E-409C-BE32-E72D297353CC}">
              <c16:uniqueId val="{00000000-5F19-420E-8E2D-221F556CE591}"/>
            </c:ext>
          </c:extLst>
        </c:ser>
        <c:dLbls>
          <c:showLegendKey val="0"/>
          <c:showVal val="0"/>
          <c:showCatName val="0"/>
          <c:showSerName val="0"/>
          <c:showPercent val="0"/>
          <c:showBubbleSize val="0"/>
        </c:dLbls>
        <c:axId val="168868032"/>
        <c:axId val="58886336"/>
      </c:scatterChart>
      <c:valAx>
        <c:axId val="1688680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8886336"/>
        <c:crosses val="autoZero"/>
        <c:crossBetween val="midCat"/>
      </c:valAx>
      <c:valAx>
        <c:axId val="58886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88680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6295033184546206E-2"/>
          <c:y val="2.765431668640938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'Dif PAS Desp-Ant, r Inc-año'!$G$247</c:f>
              <c:strCache>
                <c:ptCount val="1"/>
                <c:pt idx="0">
                  <c:v>Y = InsCard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9.2785662938629485E-2"/>
                  <c:y val="-0.4027078211011457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'Dif PAS Desp-Ant, r Inc-año'!$F$248:$F$265</c:f>
              <c:numCache>
                <c:formatCode>0.00</c:formatCode>
                <c:ptCount val="18"/>
                <c:pt idx="0">
                  <c:v>-30.300000000000011</c:v>
                </c:pt>
                <c:pt idx="1">
                  <c:v>-23</c:v>
                </c:pt>
                <c:pt idx="2">
                  <c:v>-8</c:v>
                </c:pt>
                <c:pt idx="3">
                  <c:v>-35.699999999999989</c:v>
                </c:pt>
                <c:pt idx="4">
                  <c:v>-27.300000000000011</c:v>
                </c:pt>
                <c:pt idx="5">
                  <c:v>-18.699999999999989</c:v>
                </c:pt>
                <c:pt idx="6">
                  <c:v>-20.5</c:v>
                </c:pt>
                <c:pt idx="7">
                  <c:v>-18.199999999999989</c:v>
                </c:pt>
                <c:pt idx="8">
                  <c:v>-15.699999999999989</c:v>
                </c:pt>
                <c:pt idx="9">
                  <c:v>-27.400000000000006</c:v>
                </c:pt>
                <c:pt idx="10">
                  <c:v>-17</c:v>
                </c:pt>
                <c:pt idx="11">
                  <c:v>1</c:v>
                </c:pt>
                <c:pt idx="12">
                  <c:v>-26</c:v>
                </c:pt>
                <c:pt idx="13">
                  <c:v>-25.5</c:v>
                </c:pt>
                <c:pt idx="14">
                  <c:v>-5.6999999999999886</c:v>
                </c:pt>
                <c:pt idx="15">
                  <c:v>-9.5</c:v>
                </c:pt>
                <c:pt idx="16">
                  <c:v>-5.0999999999999943</c:v>
                </c:pt>
                <c:pt idx="17">
                  <c:v>-13.400000000000006</c:v>
                </c:pt>
              </c:numCache>
            </c:numRef>
          </c:xVal>
          <c:yVal>
            <c:numRef>
              <c:f>'Dif PAS Desp-Ant, r Inc-año'!$G$248:$G$265</c:f>
              <c:numCache>
                <c:formatCode>0.00%</c:formatCode>
                <c:ptCount val="18"/>
                <c:pt idx="0">
                  <c:v>7.9846694346854044E-4</c:v>
                </c:pt>
                <c:pt idx="1">
                  <c:v>7.5949367088607592E-3</c:v>
                </c:pt>
                <c:pt idx="2">
                  <c:v>1.0126582278481013E-2</c:v>
                </c:pt>
                <c:pt idx="3">
                  <c:v>1.8001800180018001E-3</c:v>
                </c:pt>
                <c:pt idx="4">
                  <c:v>2.6929982046678637E-3</c:v>
                </c:pt>
                <c:pt idx="5">
                  <c:v>7.4765344911452616E-3</c:v>
                </c:pt>
                <c:pt idx="6">
                  <c:v>1.6666666666666666E-2</c:v>
                </c:pt>
                <c:pt idx="7">
                  <c:v>4.0654991252619625E-3</c:v>
                </c:pt>
                <c:pt idx="8">
                  <c:v>0</c:v>
                </c:pt>
                <c:pt idx="9">
                  <c:v>7.3519526786314454E-4</c:v>
                </c:pt>
                <c:pt idx="10">
                  <c:v>7.725321888412017E-3</c:v>
                </c:pt>
                <c:pt idx="11">
                  <c:v>9.0534979423868307E-3</c:v>
                </c:pt>
                <c:pt idx="12">
                  <c:v>1.5865820489573889E-3</c:v>
                </c:pt>
                <c:pt idx="13">
                  <c:v>6.3291139240506328E-3</c:v>
                </c:pt>
                <c:pt idx="14">
                  <c:v>8.0763121763866574E-3</c:v>
                </c:pt>
                <c:pt idx="15">
                  <c:v>1.3838748495788207E-2</c:v>
                </c:pt>
                <c:pt idx="16">
                  <c:v>6.5502555254680489E-3</c:v>
                </c:pt>
                <c:pt idx="17">
                  <c:v>0</c:v>
                </c:pt>
              </c:numCache>
            </c:numRef>
          </c:yVal>
          <c:smooth val="0"/>
          <c:extLst>
            <c:ext xmlns:c16="http://schemas.microsoft.com/office/drawing/2014/chart" uri="{C3380CC4-5D6E-409C-BE32-E72D297353CC}">
              <c16:uniqueId val="{00000000-E016-43FB-BC17-8E2AD3741984}"/>
            </c:ext>
          </c:extLst>
        </c:ser>
        <c:dLbls>
          <c:showLegendKey val="0"/>
          <c:showVal val="0"/>
          <c:showCatName val="0"/>
          <c:showSerName val="0"/>
          <c:showPercent val="0"/>
          <c:showBubbleSize val="0"/>
        </c:dLbls>
        <c:axId val="944705472"/>
        <c:axId val="923566288"/>
      </c:scatterChart>
      <c:valAx>
        <c:axId val="94470547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23566288"/>
        <c:crosses val="autoZero"/>
        <c:crossBetween val="midCat"/>
      </c:valAx>
      <c:valAx>
        <c:axId val="9235662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447054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0985956663203607E-2"/>
          <c:y val="3.51187816745535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'Dif PAS Desp-Ant, r Inc-año'!$G$321</c:f>
              <c:strCache>
                <c:ptCount val="1"/>
                <c:pt idx="0">
                  <c:v>Y = EfAdv grav atrib /año</c:v>
                </c:pt>
              </c:strCache>
            </c:strRef>
          </c:tx>
          <c:spPr>
            <a:ln w="19050" cap="rnd">
              <a:no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FF0066"/>
                </a:solidFill>
                <a:prstDash val="sysDot"/>
              </a:ln>
              <a:effectLst/>
            </c:spPr>
            <c:trendlineType val="linear"/>
            <c:dispRSqr val="1"/>
            <c:dispEq val="1"/>
            <c:trendlineLbl>
              <c:layout>
                <c:manualLayout>
                  <c:x val="-2.9901049439937984E-2"/>
                  <c:y val="-0.60914652669718727"/>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trendline>
            <c:spPr>
              <a:ln w="19050" cap="rnd">
                <a:solidFill>
                  <a:schemeClr val="accent1"/>
                </a:solidFill>
                <a:prstDash val="sysDot"/>
              </a:ln>
              <a:effectLst/>
            </c:spPr>
            <c:trendlineType val="linear"/>
            <c:dispRSqr val="0"/>
            <c:dispEq val="0"/>
          </c:trendline>
          <c:xVal>
            <c:numRef>
              <c:f>'Dif PAS Desp-Ant, r Inc-año'!$F$322:$F$327</c:f>
              <c:numCache>
                <c:formatCode>0.00</c:formatCode>
                <c:ptCount val="6"/>
                <c:pt idx="0">
                  <c:v>-18.699999999999989</c:v>
                </c:pt>
                <c:pt idx="1">
                  <c:v>-32.900000000000006</c:v>
                </c:pt>
                <c:pt idx="2">
                  <c:v>-18.199999999999989</c:v>
                </c:pt>
                <c:pt idx="3">
                  <c:v>-5.6999999999999886</c:v>
                </c:pt>
                <c:pt idx="4">
                  <c:v>-27.5</c:v>
                </c:pt>
                <c:pt idx="5">
                  <c:v>-5.0999999999999943</c:v>
                </c:pt>
              </c:numCache>
            </c:numRef>
          </c:xVal>
          <c:yVal>
            <c:numRef>
              <c:f>'Dif PAS Desp-Ant, r Inc-año'!$G$322:$G$327</c:f>
              <c:numCache>
                <c:formatCode>0.00%</c:formatCode>
                <c:ptCount val="6"/>
                <c:pt idx="0">
                  <c:v>6.9360621182913869E-3</c:v>
                </c:pt>
                <c:pt idx="1">
                  <c:v>1.81314105604925E-2</c:v>
                </c:pt>
                <c:pt idx="2">
                  <c:v>1.4425964638026319E-2</c:v>
                </c:pt>
                <c:pt idx="3">
                  <c:v>2.6921040587955525E-3</c:v>
                </c:pt>
                <c:pt idx="4">
                  <c:v>1.4226925837371373E-2</c:v>
                </c:pt>
                <c:pt idx="5">
                  <c:v>7.7293015200522982E-3</c:v>
                </c:pt>
              </c:numCache>
            </c:numRef>
          </c:yVal>
          <c:smooth val="0"/>
          <c:extLst>
            <c:ext xmlns:c16="http://schemas.microsoft.com/office/drawing/2014/chart" uri="{C3380CC4-5D6E-409C-BE32-E72D297353CC}">
              <c16:uniqueId val="{00000000-7678-4F80-9BDA-FA825298FD76}"/>
            </c:ext>
          </c:extLst>
        </c:ser>
        <c:dLbls>
          <c:showLegendKey val="0"/>
          <c:showVal val="0"/>
          <c:showCatName val="0"/>
          <c:showSerName val="0"/>
          <c:showPercent val="0"/>
          <c:showBubbleSize val="0"/>
        </c:dLbls>
        <c:axId val="669886543"/>
        <c:axId val="504055983"/>
      </c:scatterChart>
      <c:valAx>
        <c:axId val="66988654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4055983"/>
        <c:crosses val="autoZero"/>
        <c:crossBetween val="midCat"/>
      </c:valAx>
      <c:valAx>
        <c:axId val="50405598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988654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9379199004996187E-2"/>
          <c:y val="2.500686352609715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scatterChart>
        <c:scatterStyle val="lineMarker"/>
        <c:varyColors val="0"/>
        <c:ser>
          <c:idx val="0"/>
          <c:order val="0"/>
          <c:tx>
            <c:strRef>
              <c:f>'PAS Alcanz, r Inc-año'!$G$9</c:f>
              <c:strCache>
                <c:ptCount val="1"/>
                <c:pt idx="0">
                  <c:v>Y = Mort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1.7260091231076225E-3"/>
                  <c:y val="-0.59229361039475403"/>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'PAS Alcanz, r Inc-año'!$F$10:$F$45</c:f>
              <c:numCache>
                <c:formatCode>0.00</c:formatCode>
                <c:ptCount val="36"/>
                <c:pt idx="0">
                  <c:v>133</c:v>
                </c:pt>
                <c:pt idx="1">
                  <c:v>139.69999999999999</c:v>
                </c:pt>
                <c:pt idx="2">
                  <c:v>144</c:v>
                </c:pt>
                <c:pt idx="3">
                  <c:v>132</c:v>
                </c:pt>
                <c:pt idx="4">
                  <c:v>128</c:v>
                </c:pt>
                <c:pt idx="5">
                  <c:v>126</c:v>
                </c:pt>
                <c:pt idx="6">
                  <c:v>130</c:v>
                </c:pt>
                <c:pt idx="7">
                  <c:v>118</c:v>
                </c:pt>
                <c:pt idx="8">
                  <c:v>135.9</c:v>
                </c:pt>
                <c:pt idx="9">
                  <c:v>136</c:v>
                </c:pt>
                <c:pt idx="10">
                  <c:v>120.5</c:v>
                </c:pt>
                <c:pt idx="11">
                  <c:v>136.6</c:v>
                </c:pt>
                <c:pt idx="12">
                  <c:v>130</c:v>
                </c:pt>
                <c:pt idx="13">
                  <c:v>128.69999999999999</c:v>
                </c:pt>
                <c:pt idx="14">
                  <c:v>135.69999999999999</c:v>
                </c:pt>
                <c:pt idx="15">
                  <c:v>123</c:v>
                </c:pt>
                <c:pt idx="16">
                  <c:v>121.5</c:v>
                </c:pt>
                <c:pt idx="17">
                  <c:v>126.9</c:v>
                </c:pt>
                <c:pt idx="18">
                  <c:v>138</c:v>
                </c:pt>
                <c:pt idx="19">
                  <c:v>142.6</c:v>
                </c:pt>
                <c:pt idx="20">
                  <c:v>154</c:v>
                </c:pt>
                <c:pt idx="21">
                  <c:v>138</c:v>
                </c:pt>
                <c:pt idx="22">
                  <c:v>137</c:v>
                </c:pt>
                <c:pt idx="23">
                  <c:v>133</c:v>
                </c:pt>
                <c:pt idx="24">
                  <c:v>134</c:v>
                </c:pt>
                <c:pt idx="25">
                  <c:v>124</c:v>
                </c:pt>
                <c:pt idx="26">
                  <c:v>145.6</c:v>
                </c:pt>
                <c:pt idx="27">
                  <c:v>137.80000000000001</c:v>
                </c:pt>
                <c:pt idx="28">
                  <c:v>133.5</c:v>
                </c:pt>
                <c:pt idx="29">
                  <c:v>142</c:v>
                </c:pt>
                <c:pt idx="30">
                  <c:v>141</c:v>
                </c:pt>
                <c:pt idx="31">
                  <c:v>130.4</c:v>
                </c:pt>
                <c:pt idx="32">
                  <c:v>149.69999999999999</c:v>
                </c:pt>
                <c:pt idx="33">
                  <c:v>137</c:v>
                </c:pt>
                <c:pt idx="34">
                  <c:v>134.6</c:v>
                </c:pt>
                <c:pt idx="35">
                  <c:v>129.19999999999999</c:v>
                </c:pt>
              </c:numCache>
            </c:numRef>
          </c:xVal>
          <c:yVal>
            <c:numRef>
              <c:f>'PAS Alcanz, r Inc-año'!$G$10:$G$45</c:f>
              <c:numCache>
                <c:formatCode>0.00%</c:formatCode>
                <c:ptCount val="36"/>
                <c:pt idx="0">
                  <c:v>6.901311249137336E-3</c:v>
                </c:pt>
                <c:pt idx="1">
                  <c:v>8.6570626502378602E-3</c:v>
                </c:pt>
                <c:pt idx="2">
                  <c:v>2.1045357456966958E-2</c:v>
                </c:pt>
                <c:pt idx="3">
                  <c:v>1.0970464135021098E-2</c:v>
                </c:pt>
                <c:pt idx="4">
                  <c:v>1.5189873417721518E-2</c:v>
                </c:pt>
                <c:pt idx="5">
                  <c:v>1.6427718040621264E-2</c:v>
                </c:pt>
                <c:pt idx="6">
                  <c:v>7.4850299401197605E-3</c:v>
                </c:pt>
                <c:pt idx="7">
                  <c:v>7.9744816586921861E-3</c:v>
                </c:pt>
                <c:pt idx="8">
                  <c:v>2.0252025202520253E-3</c:v>
                </c:pt>
                <c:pt idx="9">
                  <c:v>3.5906642728904849E-3</c:v>
                </c:pt>
                <c:pt idx="10">
                  <c:v>1.3511809321346857E-2</c:v>
                </c:pt>
                <c:pt idx="11">
                  <c:v>5.0599285285095356E-3</c:v>
                </c:pt>
                <c:pt idx="12">
                  <c:v>2.3456790123456792E-2</c:v>
                </c:pt>
                <c:pt idx="13">
                  <c:v>3.1325776473181653E-3</c:v>
                </c:pt>
                <c:pt idx="14">
                  <c:v>3.5123966942148761E-2</c:v>
                </c:pt>
                <c:pt idx="15">
                  <c:v>1.9086374849199634E-2</c:v>
                </c:pt>
                <c:pt idx="16">
                  <c:v>1.0163747813154907E-2</c:v>
                </c:pt>
                <c:pt idx="17">
                  <c:v>7.5187969924812026E-3</c:v>
                </c:pt>
                <c:pt idx="18">
                  <c:v>0</c:v>
                </c:pt>
                <c:pt idx="19">
                  <c:v>8.0451367883309817E-3</c:v>
                </c:pt>
                <c:pt idx="20">
                  <c:v>2.5335775335775336E-2</c:v>
                </c:pt>
                <c:pt idx="21">
                  <c:v>2.1459227467811159E-2</c:v>
                </c:pt>
                <c:pt idx="22">
                  <c:v>1.646090534979424E-2</c:v>
                </c:pt>
                <c:pt idx="23">
                  <c:v>1.0278304870335231E-2</c:v>
                </c:pt>
                <c:pt idx="24">
                  <c:v>1.1160714285714286E-2</c:v>
                </c:pt>
                <c:pt idx="25">
                  <c:v>0</c:v>
                </c:pt>
                <c:pt idx="26">
                  <c:v>1.8132366273798731E-3</c:v>
                </c:pt>
                <c:pt idx="27">
                  <c:v>4.5207956600361665E-3</c:v>
                </c:pt>
                <c:pt idx="28">
                  <c:v>1.2922099482218652E-2</c:v>
                </c:pt>
                <c:pt idx="29">
                  <c:v>6.3702653003155406E-3</c:v>
                </c:pt>
                <c:pt idx="30">
                  <c:v>2.6474127557160047E-2</c:v>
                </c:pt>
                <c:pt idx="31">
                  <c:v>3.5966632246986342E-3</c:v>
                </c:pt>
                <c:pt idx="32">
                  <c:v>6.0249307479224377E-2</c:v>
                </c:pt>
                <c:pt idx="33">
                  <c:v>1.7970570965962669E-2</c:v>
                </c:pt>
                <c:pt idx="34">
                  <c:v>1.3755536603482903E-2</c:v>
                </c:pt>
                <c:pt idx="35">
                  <c:v>3.8022813688212928E-3</c:v>
                </c:pt>
              </c:numCache>
            </c:numRef>
          </c:yVal>
          <c:smooth val="0"/>
          <c:extLst>
            <c:ext xmlns:c16="http://schemas.microsoft.com/office/drawing/2014/chart" uri="{C3380CC4-5D6E-409C-BE32-E72D297353CC}">
              <c16:uniqueId val="{00000000-07BB-4FF2-97D8-703AA48539CE}"/>
            </c:ext>
          </c:extLst>
        </c:ser>
        <c:dLbls>
          <c:showLegendKey val="0"/>
          <c:showVal val="0"/>
          <c:showCatName val="0"/>
          <c:showSerName val="0"/>
          <c:showPercent val="0"/>
          <c:showBubbleSize val="0"/>
        </c:dLbls>
        <c:axId val="415777231"/>
        <c:axId val="313211103"/>
      </c:scatterChart>
      <c:valAx>
        <c:axId val="415777231"/>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3211103"/>
        <c:crosses val="autoZero"/>
        <c:crossBetween val="midCat"/>
      </c:valAx>
      <c:valAx>
        <c:axId val="31321110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1577723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9562029579075488E-2"/>
          <c:y val="2.788518330665577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scatterChart>
        <c:scatterStyle val="lineMarker"/>
        <c:varyColors val="0"/>
        <c:ser>
          <c:idx val="0"/>
          <c:order val="0"/>
          <c:tx>
            <c:strRef>
              <c:f>'PAS Alcanz, r Inc-año'!$G$101</c:f>
              <c:strCache>
                <c:ptCount val="1"/>
                <c:pt idx="0">
                  <c:v>Y = MortCV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1.1845493904493482E-2"/>
                  <c:y val="-0.517473251083021"/>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'PAS Alcanz, r Inc-año'!$F$102:$F$127</c:f>
              <c:numCache>
                <c:formatCode>0.00</c:formatCode>
                <c:ptCount val="26"/>
                <c:pt idx="0">
                  <c:v>139.69999999999999</c:v>
                </c:pt>
                <c:pt idx="1">
                  <c:v>144</c:v>
                </c:pt>
                <c:pt idx="2">
                  <c:v>128</c:v>
                </c:pt>
                <c:pt idx="3">
                  <c:v>130</c:v>
                </c:pt>
                <c:pt idx="4">
                  <c:v>135.9</c:v>
                </c:pt>
                <c:pt idx="5">
                  <c:v>120.5</c:v>
                </c:pt>
                <c:pt idx="6">
                  <c:v>136.6</c:v>
                </c:pt>
                <c:pt idx="7">
                  <c:v>130</c:v>
                </c:pt>
                <c:pt idx="8">
                  <c:v>128.69999999999999</c:v>
                </c:pt>
                <c:pt idx="9">
                  <c:v>135.69999999999999</c:v>
                </c:pt>
                <c:pt idx="10">
                  <c:v>123</c:v>
                </c:pt>
                <c:pt idx="11">
                  <c:v>121.5</c:v>
                </c:pt>
                <c:pt idx="12">
                  <c:v>126.9</c:v>
                </c:pt>
                <c:pt idx="13">
                  <c:v>142.6</c:v>
                </c:pt>
                <c:pt idx="14">
                  <c:v>154</c:v>
                </c:pt>
                <c:pt idx="15">
                  <c:v>137</c:v>
                </c:pt>
                <c:pt idx="16">
                  <c:v>134</c:v>
                </c:pt>
                <c:pt idx="17">
                  <c:v>145.6</c:v>
                </c:pt>
                <c:pt idx="18">
                  <c:v>133.5</c:v>
                </c:pt>
                <c:pt idx="19">
                  <c:v>142</c:v>
                </c:pt>
                <c:pt idx="20">
                  <c:v>141</c:v>
                </c:pt>
                <c:pt idx="21">
                  <c:v>130.4</c:v>
                </c:pt>
                <c:pt idx="22">
                  <c:v>149.69999999999999</c:v>
                </c:pt>
                <c:pt idx="23">
                  <c:v>137</c:v>
                </c:pt>
                <c:pt idx="24">
                  <c:v>134.6</c:v>
                </c:pt>
                <c:pt idx="25">
                  <c:v>129.19999999999999</c:v>
                </c:pt>
              </c:numCache>
            </c:numRef>
          </c:xVal>
          <c:yVal>
            <c:numRef>
              <c:f>'PAS Alcanz, r Inc-año'!$G$102:$G$127</c:f>
              <c:numCache>
                <c:formatCode>0.00%</c:formatCode>
                <c:ptCount val="26"/>
                <c:pt idx="0">
                  <c:v>4.0343592933147305E-3</c:v>
                </c:pt>
                <c:pt idx="1">
                  <c:v>1.0836788541274029E-2</c:v>
                </c:pt>
                <c:pt idx="2">
                  <c:v>1.0970464135021098E-2</c:v>
                </c:pt>
                <c:pt idx="3">
                  <c:v>3.7425149700598802E-3</c:v>
                </c:pt>
                <c:pt idx="4">
                  <c:v>2.0252025202520253E-3</c:v>
                </c:pt>
                <c:pt idx="5">
                  <c:v>5.4047237285387434E-3</c:v>
                </c:pt>
                <c:pt idx="6">
                  <c:v>2.3191339089002035E-3</c:v>
                </c:pt>
                <c:pt idx="7">
                  <c:v>9.876543209876543E-3</c:v>
                </c:pt>
                <c:pt idx="8">
                  <c:v>3.4806418303535172E-4</c:v>
                </c:pt>
                <c:pt idx="9">
                  <c:v>9.0026827994742437E-4</c:v>
                </c:pt>
                <c:pt idx="10">
                  <c:v>6.482165043124404E-3</c:v>
                </c:pt>
                <c:pt idx="11">
                  <c:v>2.4261849618498811E-3</c:v>
                </c:pt>
                <c:pt idx="12">
                  <c:v>0</c:v>
                </c:pt>
                <c:pt idx="13">
                  <c:v>3.717987497479331E-3</c:v>
                </c:pt>
                <c:pt idx="14">
                  <c:v>1.6483516483516484E-2</c:v>
                </c:pt>
                <c:pt idx="15">
                  <c:v>7.4074074074074077E-3</c:v>
                </c:pt>
                <c:pt idx="16">
                  <c:v>7.4404761904761901E-3</c:v>
                </c:pt>
                <c:pt idx="17">
                  <c:v>1.5865820489573889E-3</c:v>
                </c:pt>
                <c:pt idx="18">
                  <c:v>5.2047345136714013E-3</c:v>
                </c:pt>
                <c:pt idx="19">
                  <c:v>2.3357639434490314E-3</c:v>
                </c:pt>
                <c:pt idx="20">
                  <c:v>9.0252707581227436E-3</c:v>
                </c:pt>
                <c:pt idx="21">
                  <c:v>5.8010697172558622E-4</c:v>
                </c:pt>
                <c:pt idx="22">
                  <c:v>1.8105118316948201E-3</c:v>
                </c:pt>
                <c:pt idx="23">
                  <c:v>7.2949842535095987E-3</c:v>
                </c:pt>
                <c:pt idx="24">
                  <c:v>4.2576660915542323E-3</c:v>
                </c:pt>
                <c:pt idx="25">
                  <c:v>3.8022813688212928E-3</c:v>
                </c:pt>
              </c:numCache>
            </c:numRef>
          </c:yVal>
          <c:smooth val="0"/>
          <c:extLst>
            <c:ext xmlns:c16="http://schemas.microsoft.com/office/drawing/2014/chart" uri="{C3380CC4-5D6E-409C-BE32-E72D297353CC}">
              <c16:uniqueId val="{00000000-40B7-42E7-BF93-EE191598D31C}"/>
            </c:ext>
          </c:extLst>
        </c:ser>
        <c:dLbls>
          <c:showLegendKey val="0"/>
          <c:showVal val="0"/>
          <c:showCatName val="0"/>
          <c:showSerName val="0"/>
          <c:showPercent val="0"/>
          <c:showBubbleSize val="0"/>
        </c:dLbls>
        <c:axId val="90273551"/>
        <c:axId val="242935679"/>
      </c:scatterChart>
      <c:valAx>
        <c:axId val="90273551"/>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2935679"/>
        <c:crosses val="autoZero"/>
        <c:crossBetween val="midCat"/>
      </c:valAx>
      <c:valAx>
        <c:axId val="242935679"/>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02735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8.0410446574056438E-2"/>
          <c:y val="2.097582742344442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scatterChart>
        <c:scatterStyle val="lineMarker"/>
        <c:varyColors val="0"/>
        <c:ser>
          <c:idx val="0"/>
          <c:order val="0"/>
          <c:tx>
            <c:strRef>
              <c:f>'PAS Alcanz, r Inc-año'!$G$150</c:f>
              <c:strCache>
                <c:ptCount val="1"/>
                <c:pt idx="0">
                  <c:v>Y = IAM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1.1827944884175146E-2"/>
                  <c:y val="-0.65922676273338709"/>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'PAS Alcanz, r Inc-año'!$F$151:$F$176</c:f>
              <c:numCache>
                <c:formatCode>0.00</c:formatCode>
                <c:ptCount val="26"/>
                <c:pt idx="0">
                  <c:v>139.69999999999999</c:v>
                </c:pt>
                <c:pt idx="1">
                  <c:v>144</c:v>
                </c:pt>
                <c:pt idx="2">
                  <c:v>132</c:v>
                </c:pt>
                <c:pt idx="3">
                  <c:v>128</c:v>
                </c:pt>
                <c:pt idx="4">
                  <c:v>135.9</c:v>
                </c:pt>
                <c:pt idx="5">
                  <c:v>136</c:v>
                </c:pt>
                <c:pt idx="6">
                  <c:v>120.5</c:v>
                </c:pt>
                <c:pt idx="7">
                  <c:v>136.6</c:v>
                </c:pt>
                <c:pt idx="8">
                  <c:v>128.69999999999999</c:v>
                </c:pt>
                <c:pt idx="9">
                  <c:v>135.69999999999999</c:v>
                </c:pt>
                <c:pt idx="10">
                  <c:v>123</c:v>
                </c:pt>
                <c:pt idx="11">
                  <c:v>121.5</c:v>
                </c:pt>
                <c:pt idx="12">
                  <c:v>126.9</c:v>
                </c:pt>
                <c:pt idx="13">
                  <c:v>142.6</c:v>
                </c:pt>
                <c:pt idx="14">
                  <c:v>154</c:v>
                </c:pt>
                <c:pt idx="15">
                  <c:v>138</c:v>
                </c:pt>
                <c:pt idx="16">
                  <c:v>137</c:v>
                </c:pt>
                <c:pt idx="17">
                  <c:v>145.6</c:v>
                </c:pt>
                <c:pt idx="18">
                  <c:v>137.80000000000001</c:v>
                </c:pt>
                <c:pt idx="19">
                  <c:v>133.5</c:v>
                </c:pt>
                <c:pt idx="20">
                  <c:v>142</c:v>
                </c:pt>
                <c:pt idx="21">
                  <c:v>130.4</c:v>
                </c:pt>
                <c:pt idx="22">
                  <c:v>149.69999999999999</c:v>
                </c:pt>
                <c:pt idx="23">
                  <c:v>137</c:v>
                </c:pt>
                <c:pt idx="24">
                  <c:v>134.6</c:v>
                </c:pt>
                <c:pt idx="25">
                  <c:v>129.19999999999999</c:v>
                </c:pt>
              </c:numCache>
            </c:numRef>
          </c:xVal>
          <c:yVal>
            <c:numRef>
              <c:f>'PAS Alcanz, r Inc-año'!$G$151:$G$176</c:f>
              <c:numCache>
                <c:formatCode>0.00%</c:formatCode>
                <c:ptCount val="26"/>
                <c:pt idx="0">
                  <c:v>4.1604330212308164E-3</c:v>
                </c:pt>
                <c:pt idx="1">
                  <c:v>3.8801800403538726E-3</c:v>
                </c:pt>
                <c:pt idx="2">
                  <c:v>1.350210970464135E-2</c:v>
                </c:pt>
                <c:pt idx="3">
                  <c:v>1.6033755274261603E-2</c:v>
                </c:pt>
                <c:pt idx="4">
                  <c:v>1.3501350135013501E-3</c:v>
                </c:pt>
                <c:pt idx="5">
                  <c:v>3.5906642728904849E-3</c:v>
                </c:pt>
                <c:pt idx="6">
                  <c:v>1.134991982993136E-2</c:v>
                </c:pt>
                <c:pt idx="7">
                  <c:v>1.0541517767728198E-3</c:v>
                </c:pt>
                <c:pt idx="8">
                  <c:v>2.9005348586279307E-3</c:v>
                </c:pt>
                <c:pt idx="9">
                  <c:v>6.1983471074380167E-3</c:v>
                </c:pt>
                <c:pt idx="10">
                  <c:v>2.2507517510848625E-2</c:v>
                </c:pt>
                <c:pt idx="11">
                  <c:v>6.4797990594271052E-3</c:v>
                </c:pt>
                <c:pt idx="12">
                  <c:v>3.7593984962406013E-3</c:v>
                </c:pt>
                <c:pt idx="13">
                  <c:v>5.0833501377965992E-3</c:v>
                </c:pt>
                <c:pt idx="14">
                  <c:v>5.2036199095022627E-2</c:v>
                </c:pt>
                <c:pt idx="15">
                  <c:v>1.201716738197425E-2</c:v>
                </c:pt>
                <c:pt idx="16">
                  <c:v>1.2345679012345678E-2</c:v>
                </c:pt>
                <c:pt idx="17">
                  <c:v>1.3599274705349048E-3</c:v>
                </c:pt>
                <c:pt idx="18">
                  <c:v>5.4249547920433997E-3</c:v>
                </c:pt>
                <c:pt idx="19">
                  <c:v>1.3101573086138355E-2</c:v>
                </c:pt>
                <c:pt idx="20">
                  <c:v>8.4936870670873871E-4</c:v>
                </c:pt>
                <c:pt idx="21">
                  <c:v>3.2485990416632827E-3</c:v>
                </c:pt>
                <c:pt idx="22">
                  <c:v>6.2326869806094186E-3</c:v>
                </c:pt>
                <c:pt idx="23">
                  <c:v>2.704481967154778E-2</c:v>
                </c:pt>
                <c:pt idx="24">
                  <c:v>7.740764467221866E-3</c:v>
                </c:pt>
                <c:pt idx="25">
                  <c:v>3.8022813688212928E-3</c:v>
                </c:pt>
              </c:numCache>
            </c:numRef>
          </c:yVal>
          <c:smooth val="0"/>
          <c:extLst>
            <c:ext xmlns:c16="http://schemas.microsoft.com/office/drawing/2014/chart" uri="{C3380CC4-5D6E-409C-BE32-E72D297353CC}">
              <c16:uniqueId val="{00000000-D11E-4251-BB43-F111BCA2FB1C}"/>
            </c:ext>
          </c:extLst>
        </c:ser>
        <c:dLbls>
          <c:showLegendKey val="0"/>
          <c:showVal val="0"/>
          <c:showCatName val="0"/>
          <c:showSerName val="0"/>
          <c:showPercent val="0"/>
          <c:showBubbleSize val="0"/>
        </c:dLbls>
        <c:axId val="370052431"/>
        <c:axId val="389773535"/>
      </c:scatterChart>
      <c:valAx>
        <c:axId val="370052431"/>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9773535"/>
        <c:crosses val="autoZero"/>
        <c:crossBetween val="midCat"/>
      </c:valAx>
      <c:valAx>
        <c:axId val="3897735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005243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8.2760192008677569E-2"/>
          <c:y val="2.379721029238714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scatterChart>
        <c:scatterStyle val="lineMarker"/>
        <c:varyColors val="0"/>
        <c:ser>
          <c:idx val="0"/>
          <c:order val="0"/>
          <c:tx>
            <c:strRef>
              <c:f>'PAS Alcanz, r Inc-año'!$G$321</c:f>
              <c:strCache>
                <c:ptCount val="1"/>
                <c:pt idx="0">
                  <c:v>Y = EnfRenTerm /año</c:v>
                </c:pt>
              </c:strCache>
            </c:strRef>
          </c:tx>
          <c:spPr>
            <a:ln w="19050" cap="rnd">
              <a:no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1"/>
            <c:dispEq val="1"/>
            <c:trendlineLbl>
              <c:layout>
                <c:manualLayout>
                  <c:x val="-6.3589901110953279E-2"/>
                  <c:y val="-0.49748505335322057"/>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trendline>
            <c:spPr>
              <a:ln w="28575" cap="rnd">
                <a:solidFill>
                  <a:srgbClr val="FF0066"/>
                </a:solidFill>
                <a:prstDash val="sysDot"/>
              </a:ln>
              <a:effectLst/>
            </c:spPr>
            <c:trendlineType val="linear"/>
            <c:dispRSqr val="0"/>
            <c:dispEq val="0"/>
          </c:trendline>
          <c:xVal>
            <c:numRef>
              <c:f>'PAS Alcanz, r Inc-año'!$F$322:$F$331</c:f>
              <c:numCache>
                <c:formatCode>0.00</c:formatCode>
                <c:ptCount val="10"/>
                <c:pt idx="0">
                  <c:v>133</c:v>
                </c:pt>
                <c:pt idx="1">
                  <c:v>126</c:v>
                </c:pt>
                <c:pt idx="2">
                  <c:v>130</c:v>
                </c:pt>
                <c:pt idx="3">
                  <c:v>120.5</c:v>
                </c:pt>
                <c:pt idx="4">
                  <c:v>121.5</c:v>
                </c:pt>
                <c:pt idx="5">
                  <c:v>138</c:v>
                </c:pt>
                <c:pt idx="6">
                  <c:v>133</c:v>
                </c:pt>
                <c:pt idx="7">
                  <c:v>134</c:v>
                </c:pt>
                <c:pt idx="8">
                  <c:v>133.5</c:v>
                </c:pt>
                <c:pt idx="9">
                  <c:v>134.6</c:v>
                </c:pt>
              </c:numCache>
            </c:numRef>
          </c:xVal>
          <c:yVal>
            <c:numRef>
              <c:f>'PAS Alcanz, r Inc-año'!$G$322:$G$331</c:f>
              <c:numCache>
                <c:formatCode>0.00%</c:formatCode>
                <c:ptCount val="10"/>
                <c:pt idx="0">
                  <c:v>4.8309178743961352E-2</c:v>
                </c:pt>
                <c:pt idx="1">
                  <c:v>0.10005973715651134</c:v>
                </c:pt>
                <c:pt idx="2">
                  <c:v>0.14221556886227546</c:v>
                </c:pt>
                <c:pt idx="3">
                  <c:v>5.3146449997297637E-3</c:v>
                </c:pt>
                <c:pt idx="4">
                  <c:v>1.2655505341541272E-2</c:v>
                </c:pt>
                <c:pt idx="5">
                  <c:v>1.6563146997929608E-2</c:v>
                </c:pt>
                <c:pt idx="6">
                  <c:v>0.11306135357368755</c:v>
                </c:pt>
                <c:pt idx="7">
                  <c:v>0.13764880952380951</c:v>
                </c:pt>
                <c:pt idx="8">
                  <c:v>5.2047345136714013E-3</c:v>
                </c:pt>
                <c:pt idx="9">
                  <c:v>7.663798964797618E-3</c:v>
                </c:pt>
              </c:numCache>
            </c:numRef>
          </c:yVal>
          <c:smooth val="0"/>
          <c:extLst>
            <c:ext xmlns:c16="http://schemas.microsoft.com/office/drawing/2014/chart" uri="{C3380CC4-5D6E-409C-BE32-E72D297353CC}">
              <c16:uniqueId val="{00000000-9760-467D-AB37-55909135D292}"/>
            </c:ext>
          </c:extLst>
        </c:ser>
        <c:dLbls>
          <c:showLegendKey val="0"/>
          <c:showVal val="0"/>
          <c:showCatName val="0"/>
          <c:showSerName val="0"/>
          <c:showPercent val="0"/>
          <c:showBubbleSize val="0"/>
        </c:dLbls>
        <c:axId val="387455135"/>
        <c:axId val="389769791"/>
      </c:scatterChart>
      <c:valAx>
        <c:axId val="387455135"/>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9769791"/>
        <c:crosses val="autoZero"/>
        <c:crossBetween val="midCat"/>
      </c:valAx>
      <c:valAx>
        <c:axId val="38976979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74551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0165966754155731"/>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scatterChart>
        <c:scatterStyle val="lineMarker"/>
        <c:varyColors val="0"/>
        <c:ser>
          <c:idx val="0"/>
          <c:order val="0"/>
          <c:tx>
            <c:strRef>
              <c:f>'PAS Alcanz, r Inc-año'!$G$199</c:f>
              <c:strCache>
                <c:ptCount val="1"/>
                <c:pt idx="0">
                  <c:v>Y = ACV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3.1785315712136272E-3"/>
                  <c:y val="-0.48700163159436055"/>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'PAS Alcanz, r Inc-año'!$F$200:$F$225</c:f>
              <c:numCache>
                <c:formatCode>0.00</c:formatCode>
                <c:ptCount val="26"/>
                <c:pt idx="0">
                  <c:v>139.69999999999999</c:v>
                </c:pt>
                <c:pt idx="1">
                  <c:v>144</c:v>
                </c:pt>
                <c:pt idx="2">
                  <c:v>132</c:v>
                </c:pt>
                <c:pt idx="3">
                  <c:v>128</c:v>
                </c:pt>
                <c:pt idx="4">
                  <c:v>135.9</c:v>
                </c:pt>
                <c:pt idx="5">
                  <c:v>120.5</c:v>
                </c:pt>
                <c:pt idx="6">
                  <c:v>136.6</c:v>
                </c:pt>
                <c:pt idx="7">
                  <c:v>130</c:v>
                </c:pt>
                <c:pt idx="8">
                  <c:v>128.69999999999999</c:v>
                </c:pt>
                <c:pt idx="9">
                  <c:v>135.69999999999999</c:v>
                </c:pt>
                <c:pt idx="10">
                  <c:v>123</c:v>
                </c:pt>
                <c:pt idx="11">
                  <c:v>121.5</c:v>
                </c:pt>
                <c:pt idx="12">
                  <c:v>126.9</c:v>
                </c:pt>
                <c:pt idx="13">
                  <c:v>142.6</c:v>
                </c:pt>
                <c:pt idx="14">
                  <c:v>154</c:v>
                </c:pt>
                <c:pt idx="15">
                  <c:v>138</c:v>
                </c:pt>
                <c:pt idx="16">
                  <c:v>137</c:v>
                </c:pt>
                <c:pt idx="17">
                  <c:v>145.6</c:v>
                </c:pt>
                <c:pt idx="18">
                  <c:v>133.5</c:v>
                </c:pt>
                <c:pt idx="19">
                  <c:v>142</c:v>
                </c:pt>
                <c:pt idx="20">
                  <c:v>141</c:v>
                </c:pt>
                <c:pt idx="21">
                  <c:v>130.4</c:v>
                </c:pt>
                <c:pt idx="22">
                  <c:v>149.69999999999999</c:v>
                </c:pt>
                <c:pt idx="23">
                  <c:v>137</c:v>
                </c:pt>
                <c:pt idx="24">
                  <c:v>134.6</c:v>
                </c:pt>
                <c:pt idx="25">
                  <c:v>129.19999999999999</c:v>
                </c:pt>
              </c:numCache>
            </c:numRef>
          </c:xVal>
          <c:yVal>
            <c:numRef>
              <c:f>'PAS Alcanz, r Inc-año'!$G$200:$G$225</c:f>
              <c:numCache>
                <c:formatCode>0.00%</c:formatCode>
                <c:ptCount val="26"/>
                <c:pt idx="0">
                  <c:v>3.7401872615105314E-3</c:v>
                </c:pt>
                <c:pt idx="1">
                  <c:v>5.9680864430204797E-3</c:v>
                </c:pt>
                <c:pt idx="2">
                  <c:v>7.5949367088607592E-3</c:v>
                </c:pt>
                <c:pt idx="3">
                  <c:v>3.3755274261603376E-3</c:v>
                </c:pt>
                <c:pt idx="4">
                  <c:v>1.1701170117011701E-2</c:v>
                </c:pt>
                <c:pt idx="5">
                  <c:v>3.0626767795052879E-3</c:v>
                </c:pt>
                <c:pt idx="6">
                  <c:v>3.3732856856730233E-3</c:v>
                </c:pt>
                <c:pt idx="7">
                  <c:v>1.6049382716049384E-2</c:v>
                </c:pt>
                <c:pt idx="8">
                  <c:v>2.3204278869023449E-3</c:v>
                </c:pt>
                <c:pt idx="9">
                  <c:v>1.4462809917355372E-2</c:v>
                </c:pt>
                <c:pt idx="10">
                  <c:v>6.482165043124404E-3</c:v>
                </c:pt>
                <c:pt idx="11">
                  <c:v>4.0654991252619625E-3</c:v>
                </c:pt>
                <c:pt idx="12">
                  <c:v>0</c:v>
                </c:pt>
                <c:pt idx="13">
                  <c:v>4.3061437117698463E-3</c:v>
                </c:pt>
                <c:pt idx="14">
                  <c:v>1.0378510378510378E-2</c:v>
                </c:pt>
                <c:pt idx="15">
                  <c:v>7.725321888412017E-3</c:v>
                </c:pt>
                <c:pt idx="16">
                  <c:v>1.0699588477366255E-2</c:v>
                </c:pt>
                <c:pt idx="17">
                  <c:v>1.1106074342701723E-2</c:v>
                </c:pt>
                <c:pt idx="18">
                  <c:v>4.9355241077918459E-3</c:v>
                </c:pt>
                <c:pt idx="19">
                  <c:v>3.3974748268349548E-3</c:v>
                </c:pt>
                <c:pt idx="20">
                  <c:v>1.7448856799037304E-2</c:v>
                </c:pt>
                <c:pt idx="21">
                  <c:v>1.8563423095218758E-3</c:v>
                </c:pt>
                <c:pt idx="22">
                  <c:v>2.4930747922437674E-2</c:v>
                </c:pt>
                <c:pt idx="23">
                  <c:v>6.405352027471843E-3</c:v>
                </c:pt>
                <c:pt idx="24">
                  <c:v>4.5851788678276349E-3</c:v>
                </c:pt>
                <c:pt idx="25">
                  <c:v>1.1406844106463879E-2</c:v>
                </c:pt>
              </c:numCache>
            </c:numRef>
          </c:yVal>
          <c:smooth val="0"/>
          <c:extLst>
            <c:ext xmlns:c16="http://schemas.microsoft.com/office/drawing/2014/chart" uri="{C3380CC4-5D6E-409C-BE32-E72D297353CC}">
              <c16:uniqueId val="{00000000-E5BA-4A95-B822-8D3630341526}"/>
            </c:ext>
          </c:extLst>
        </c:ser>
        <c:dLbls>
          <c:showLegendKey val="0"/>
          <c:showVal val="0"/>
          <c:showCatName val="0"/>
          <c:showSerName val="0"/>
          <c:showPercent val="0"/>
          <c:showBubbleSize val="0"/>
        </c:dLbls>
        <c:axId val="556090735"/>
        <c:axId val="389758975"/>
      </c:scatterChart>
      <c:valAx>
        <c:axId val="556090735"/>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9758975"/>
        <c:crosses val="autoZero"/>
        <c:crossBetween val="midCat"/>
      </c:valAx>
      <c:valAx>
        <c:axId val="38975897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560907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'Dif PAS Int-Con, r RAR'!$G$50</c:f>
              <c:strCache>
                <c:ptCount val="1"/>
                <c:pt idx="0">
                  <c:v>Y = RAR en MortCV</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5400" cap="rnd">
                <a:solidFill>
                  <a:srgbClr val="FF0066"/>
                </a:solidFill>
                <a:prstDash val="sysDot"/>
              </a:ln>
              <a:effectLst/>
            </c:spPr>
            <c:trendlineType val="linear"/>
            <c:dispRSqr val="1"/>
            <c:dispEq val="1"/>
            <c:trendlineLbl>
              <c:layout>
                <c:manualLayout>
                  <c:x val="2.5739121305283212E-2"/>
                  <c:y val="-0.50370759051409708"/>
                </c:manualLayout>
              </c:layout>
              <c:tx>
                <c:rich>
                  <a:bodyPr rot="0" spcFirstLastPara="1" vertOverflow="ellipsis" vert="horz" wrap="square" anchor="ctr" anchorCtr="1"/>
                  <a:lstStyle/>
                  <a:p>
                    <a:pPr>
                      <a:defRPr sz="900" b="0" i="0" u="none" strike="noStrike" kern="1200" baseline="0">
                        <a:solidFill>
                          <a:srgbClr val="993300"/>
                        </a:solidFill>
                        <a:latin typeface="+mn-lt"/>
                        <a:ea typeface="+mn-ea"/>
                        <a:cs typeface="+mn-cs"/>
                      </a:defRPr>
                    </a:pPr>
                    <a:r>
                      <a:rPr lang="en-US" sz="1050" baseline="0">
                        <a:solidFill>
                          <a:srgbClr val="993300"/>
                        </a:solidFill>
                      </a:rPr>
                      <a:t>y = 0,0019x - 0,0069</a:t>
                    </a:r>
                    <a:br>
                      <a:rPr lang="en-US" sz="1050" baseline="0">
                        <a:solidFill>
                          <a:srgbClr val="993300"/>
                        </a:solidFill>
                      </a:rPr>
                    </a:br>
                    <a:r>
                      <a:rPr lang="en-US" sz="1050" baseline="0">
                        <a:solidFill>
                          <a:srgbClr val="993300"/>
                        </a:solidFill>
                      </a:rPr>
                      <a:t>R² = 0,1306</a:t>
                    </a:r>
                    <a:endParaRPr lang="en-US" sz="1050">
                      <a:solidFill>
                        <a:srgbClr val="993300"/>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rgbClr val="993300"/>
                      </a:solidFill>
                      <a:latin typeface="+mn-lt"/>
                      <a:ea typeface="+mn-ea"/>
                      <a:cs typeface="+mn-cs"/>
                    </a:defRPr>
                  </a:pPr>
                  <a:endParaRPr lang="es-ES"/>
                </a:p>
              </c:txPr>
            </c:trendlineLbl>
          </c:trendline>
          <c:xVal>
            <c:numRef>
              <c:f>'Dif PAS Int-Con, r RAR'!$F$51:$F$63</c:f>
              <c:numCache>
                <c:formatCode>0.00</c:formatCode>
                <c:ptCount val="13"/>
                <c:pt idx="0">
                  <c:v>2.9</c:v>
                </c:pt>
                <c:pt idx="1">
                  <c:v>10</c:v>
                </c:pt>
                <c:pt idx="2">
                  <c:v>7</c:v>
                </c:pt>
                <c:pt idx="3">
                  <c:v>5</c:v>
                </c:pt>
                <c:pt idx="4">
                  <c:v>9.6999999999999993</c:v>
                </c:pt>
                <c:pt idx="5">
                  <c:v>13.1</c:v>
                </c:pt>
                <c:pt idx="6">
                  <c:v>5.6</c:v>
                </c:pt>
                <c:pt idx="7">
                  <c:v>14</c:v>
                </c:pt>
                <c:pt idx="8">
                  <c:v>1.4</c:v>
                </c:pt>
                <c:pt idx="9">
                  <c:v>14</c:v>
                </c:pt>
                <c:pt idx="10">
                  <c:v>11</c:v>
                </c:pt>
                <c:pt idx="11">
                  <c:v>13.1</c:v>
                </c:pt>
                <c:pt idx="12">
                  <c:v>3</c:v>
                </c:pt>
              </c:numCache>
            </c:numRef>
          </c:xVal>
          <c:yVal>
            <c:numRef>
              <c:f>'Dif PAS Int-Con, r RAR'!$G$51:$G$63</c:f>
              <c:numCache>
                <c:formatCode>0.00%</c:formatCode>
                <c:ptCount val="13"/>
                <c:pt idx="0">
                  <c:v>-1.1999999999999999E-3</c:v>
                </c:pt>
                <c:pt idx="1">
                  <c:v>4.7399999999999998E-2</c:v>
                </c:pt>
                <c:pt idx="2">
                  <c:v>-1.78E-2</c:v>
                </c:pt>
                <c:pt idx="3">
                  <c:v>5.8999999999999999E-3</c:v>
                </c:pt>
                <c:pt idx="4">
                  <c:v>-8.9999999999999998E-4</c:v>
                </c:pt>
                <c:pt idx="5">
                  <c:v>-8.9999999999999998E-4</c:v>
                </c:pt>
                <c:pt idx="6">
                  <c:v>1E-4</c:v>
                </c:pt>
                <c:pt idx="7">
                  <c:v>-2.5999999999999999E-3</c:v>
                </c:pt>
                <c:pt idx="8">
                  <c:v>1.1000000000000001E-3</c:v>
                </c:pt>
                <c:pt idx="9">
                  <c:v>6.9599999999999995E-2</c:v>
                </c:pt>
                <c:pt idx="10">
                  <c:v>3.0000000000000001E-3</c:v>
                </c:pt>
                <c:pt idx="11">
                  <c:v>6.0000000000000001E-3</c:v>
                </c:pt>
                <c:pt idx="12">
                  <c:v>3.8E-3</c:v>
                </c:pt>
              </c:numCache>
            </c:numRef>
          </c:yVal>
          <c:smooth val="0"/>
          <c:extLst>
            <c:ext xmlns:c16="http://schemas.microsoft.com/office/drawing/2014/chart" uri="{C3380CC4-5D6E-409C-BE32-E72D297353CC}">
              <c16:uniqueId val="{00000000-845F-47A7-A173-33F4EA8AD27D}"/>
            </c:ext>
          </c:extLst>
        </c:ser>
        <c:dLbls>
          <c:showLegendKey val="0"/>
          <c:showVal val="0"/>
          <c:showCatName val="0"/>
          <c:showSerName val="0"/>
          <c:showPercent val="0"/>
          <c:showBubbleSize val="0"/>
        </c:dLbls>
        <c:axId val="757882527"/>
        <c:axId val="520758527"/>
      </c:scatterChart>
      <c:valAx>
        <c:axId val="75788252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r>
                  <a:rPr lang="es-ES" sz="1500" b="1">
                    <a:solidFill>
                      <a:sysClr val="windowText" lastClr="000000"/>
                    </a:solidFill>
                    <a:effectLst/>
                  </a:rPr>
                  <a:t>X: Diferencia en mm Hg en la PAS entre Intensivo y Convencional </a:t>
                </a:r>
              </a:p>
            </c:rich>
          </c:tx>
          <c:layout>
            <c:manualLayout>
              <c:xMode val="edge"/>
              <c:yMode val="edge"/>
              <c:x val="0.12547501263262401"/>
              <c:y val="0.88325710432366367"/>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20758527"/>
        <c:crosses val="autoZero"/>
        <c:crossBetween val="midCat"/>
      </c:valAx>
      <c:valAx>
        <c:axId val="520758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s-ES" sz="1500">
                    <a:solidFill>
                      <a:schemeClr val="tx1"/>
                    </a:solidFill>
                    <a:effectLst/>
                  </a:rPr>
                  <a:t>Y: RAR en Mort CV </a:t>
                </a:r>
              </a:p>
            </c:rich>
          </c:tx>
          <c:overlay val="0"/>
          <c:spPr>
            <a:noFill/>
            <a:ln>
              <a:noFill/>
            </a:ln>
            <a:effectLst/>
          </c:spPr>
          <c:txPr>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5788252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6612982980722546E-2"/>
          <c:y val="3.204901733170480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scatterChart>
        <c:scatterStyle val="lineMarker"/>
        <c:varyColors val="0"/>
        <c:ser>
          <c:idx val="0"/>
          <c:order val="0"/>
          <c:tx>
            <c:strRef>
              <c:f>'PAS Alcanz, r Inc-año'!$G$280</c:f>
              <c:strCache>
                <c:ptCount val="1"/>
                <c:pt idx="0">
                  <c:v>Y = InsCard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4.6238354113373265E-2"/>
                  <c:y val="-0.61585530499560903"/>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'PAS Alcanz, r Inc-año'!$F$281:$F$298</c:f>
              <c:numCache>
                <c:formatCode>0.00</c:formatCode>
                <c:ptCount val="18"/>
                <c:pt idx="0">
                  <c:v>139.69999999999999</c:v>
                </c:pt>
                <c:pt idx="1">
                  <c:v>132</c:v>
                </c:pt>
                <c:pt idx="2">
                  <c:v>128</c:v>
                </c:pt>
                <c:pt idx="3">
                  <c:v>135.9</c:v>
                </c:pt>
                <c:pt idx="4">
                  <c:v>136</c:v>
                </c:pt>
                <c:pt idx="5">
                  <c:v>120.5</c:v>
                </c:pt>
                <c:pt idx="6">
                  <c:v>130</c:v>
                </c:pt>
                <c:pt idx="7">
                  <c:v>121.5</c:v>
                </c:pt>
                <c:pt idx="8">
                  <c:v>126.9</c:v>
                </c:pt>
                <c:pt idx="9">
                  <c:v>142.6</c:v>
                </c:pt>
                <c:pt idx="10">
                  <c:v>138</c:v>
                </c:pt>
                <c:pt idx="11">
                  <c:v>137</c:v>
                </c:pt>
                <c:pt idx="12">
                  <c:v>145.6</c:v>
                </c:pt>
                <c:pt idx="13">
                  <c:v>137.80000000000001</c:v>
                </c:pt>
                <c:pt idx="14">
                  <c:v>133.5</c:v>
                </c:pt>
                <c:pt idx="15">
                  <c:v>141</c:v>
                </c:pt>
                <c:pt idx="16">
                  <c:v>134.6</c:v>
                </c:pt>
                <c:pt idx="17">
                  <c:v>129.19999999999999</c:v>
                </c:pt>
              </c:numCache>
            </c:numRef>
          </c:xVal>
          <c:yVal>
            <c:numRef>
              <c:f>'PAS Alcanz, r Inc-año'!$G$281:$G$298</c:f>
              <c:numCache>
                <c:formatCode>0.00%</c:formatCode>
                <c:ptCount val="18"/>
                <c:pt idx="0">
                  <c:v>7.9846694346854044E-4</c:v>
                </c:pt>
                <c:pt idx="1">
                  <c:v>7.5949367088607592E-3</c:v>
                </c:pt>
                <c:pt idx="2">
                  <c:v>1.0126582278481013E-2</c:v>
                </c:pt>
                <c:pt idx="3">
                  <c:v>1.8001800180018001E-3</c:v>
                </c:pt>
                <c:pt idx="4">
                  <c:v>2.6929982046678637E-3</c:v>
                </c:pt>
                <c:pt idx="5">
                  <c:v>7.4765344911452616E-3</c:v>
                </c:pt>
                <c:pt idx="6">
                  <c:v>1.6666666666666666E-2</c:v>
                </c:pt>
                <c:pt idx="7">
                  <c:v>4.0654991252619625E-3</c:v>
                </c:pt>
                <c:pt idx="8">
                  <c:v>0</c:v>
                </c:pt>
                <c:pt idx="9">
                  <c:v>7.3519526786314454E-4</c:v>
                </c:pt>
                <c:pt idx="10">
                  <c:v>7.725321888412017E-3</c:v>
                </c:pt>
                <c:pt idx="11">
                  <c:v>9.0534979423868307E-3</c:v>
                </c:pt>
                <c:pt idx="12">
                  <c:v>1.5865820489573889E-3</c:v>
                </c:pt>
                <c:pt idx="13">
                  <c:v>6.3291139240506328E-3</c:v>
                </c:pt>
                <c:pt idx="14">
                  <c:v>8.0763121763866574E-3</c:v>
                </c:pt>
                <c:pt idx="15">
                  <c:v>1.3838748495788207E-2</c:v>
                </c:pt>
                <c:pt idx="16">
                  <c:v>6.5502555254680489E-3</c:v>
                </c:pt>
                <c:pt idx="17">
                  <c:v>0</c:v>
                </c:pt>
              </c:numCache>
            </c:numRef>
          </c:yVal>
          <c:smooth val="0"/>
          <c:extLst>
            <c:ext xmlns:c16="http://schemas.microsoft.com/office/drawing/2014/chart" uri="{C3380CC4-5D6E-409C-BE32-E72D297353CC}">
              <c16:uniqueId val="{00000000-0320-4D39-B48C-7BA34EE1135B}"/>
            </c:ext>
          </c:extLst>
        </c:ser>
        <c:dLbls>
          <c:showLegendKey val="0"/>
          <c:showVal val="0"/>
          <c:showCatName val="0"/>
          <c:showSerName val="0"/>
          <c:showPercent val="0"/>
          <c:showBubbleSize val="0"/>
        </c:dLbls>
        <c:axId val="590263343"/>
        <c:axId val="504055567"/>
      </c:scatterChart>
      <c:valAx>
        <c:axId val="59026334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4055567"/>
        <c:crosses val="autoZero"/>
        <c:crossBetween val="midCat"/>
      </c:valAx>
      <c:valAx>
        <c:axId val="50405556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9026334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4506230192102165E-2"/>
          <c:y val="3.559142010566928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'PAS Alcanz, r Inc-año'!$G$354</c:f>
              <c:strCache>
                <c:ptCount val="1"/>
                <c:pt idx="0">
                  <c:v>Y = EfAdv grav atrib /año</c:v>
                </c:pt>
              </c:strCache>
            </c:strRef>
          </c:tx>
          <c:spPr>
            <a:ln w="19050" cap="rnd">
              <a:no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FF0066"/>
                </a:solidFill>
                <a:prstDash val="sysDot"/>
              </a:ln>
              <a:effectLst/>
            </c:spPr>
            <c:trendlineType val="linear"/>
            <c:dispRSqr val="1"/>
            <c:dispEq val="1"/>
            <c:trendlineLbl>
              <c:layout>
                <c:manualLayout>
                  <c:x val="-2.4349933713547042E-2"/>
                  <c:y val="-0.35581371234525838"/>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'PAS Alcanz, r Inc-año'!$F$355:$F$360</c:f>
              <c:numCache>
                <c:formatCode>0.00</c:formatCode>
                <c:ptCount val="6"/>
                <c:pt idx="0">
                  <c:v>120.5</c:v>
                </c:pt>
                <c:pt idx="1">
                  <c:v>136.6</c:v>
                </c:pt>
                <c:pt idx="2">
                  <c:v>121.5</c:v>
                </c:pt>
                <c:pt idx="3">
                  <c:v>133.5</c:v>
                </c:pt>
                <c:pt idx="4">
                  <c:v>142</c:v>
                </c:pt>
                <c:pt idx="5">
                  <c:v>134.6</c:v>
                </c:pt>
              </c:numCache>
            </c:numRef>
          </c:xVal>
          <c:yVal>
            <c:numRef>
              <c:f>'PAS Alcanz, r Inc-año'!$G$355:$G$360</c:f>
              <c:numCache>
                <c:formatCode>0.00%</c:formatCode>
                <c:ptCount val="6"/>
                <c:pt idx="0">
                  <c:v>6.9360621182913869E-3</c:v>
                </c:pt>
                <c:pt idx="1">
                  <c:v>1.81314105604925E-2</c:v>
                </c:pt>
                <c:pt idx="2">
                  <c:v>1.4425964638026319E-2</c:v>
                </c:pt>
                <c:pt idx="3">
                  <c:v>2.6921040587955525E-3</c:v>
                </c:pt>
                <c:pt idx="4">
                  <c:v>1.4226925837371373E-2</c:v>
                </c:pt>
                <c:pt idx="5">
                  <c:v>7.7293015200522982E-3</c:v>
                </c:pt>
              </c:numCache>
            </c:numRef>
          </c:yVal>
          <c:smooth val="0"/>
          <c:extLst>
            <c:ext xmlns:c16="http://schemas.microsoft.com/office/drawing/2014/chart" uri="{C3380CC4-5D6E-409C-BE32-E72D297353CC}">
              <c16:uniqueId val="{00000000-84A4-47FE-8637-2FBA91B528E8}"/>
            </c:ext>
          </c:extLst>
        </c:ser>
        <c:dLbls>
          <c:showLegendKey val="0"/>
          <c:showVal val="0"/>
          <c:showCatName val="0"/>
          <c:showSerName val="0"/>
          <c:showPercent val="0"/>
          <c:showBubbleSize val="0"/>
        </c:dLbls>
        <c:axId val="590267743"/>
        <c:axId val="504044751"/>
      </c:scatterChart>
      <c:valAx>
        <c:axId val="59026774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4044751"/>
        <c:crosses val="autoZero"/>
        <c:crossBetween val="midCat"/>
      </c:valAx>
      <c:valAx>
        <c:axId val="50404475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9026774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'Dif PAS Int-Con, r RAR'!$G$86</c:f>
              <c:strCache>
                <c:ptCount val="1"/>
                <c:pt idx="0">
                  <c:v>Y = RAR en IAM</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0"/>
          </c:trendline>
          <c:trendline>
            <c:spPr>
              <a:ln w="31750" cap="rnd">
                <a:solidFill>
                  <a:srgbClr val="FF0066"/>
                </a:solidFill>
                <a:prstDash val="sysDot"/>
              </a:ln>
              <a:effectLst/>
            </c:spPr>
            <c:trendlineType val="linear"/>
            <c:dispRSqr val="1"/>
            <c:dispEq val="1"/>
            <c:trendlineLbl>
              <c:layout>
                <c:manualLayout>
                  <c:x val="-5.0538713910761153E-2"/>
                  <c:y val="-0.62652522601341498"/>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baseline="0">
                        <a:solidFill>
                          <a:srgbClr val="993300"/>
                        </a:solidFill>
                      </a:rPr>
                      <a:t>y = 0,0021x - 0,0025</a:t>
                    </a:r>
                    <a:br>
                      <a:rPr lang="en-US" sz="1100" baseline="0">
                        <a:solidFill>
                          <a:srgbClr val="993300"/>
                        </a:solidFill>
                      </a:rPr>
                    </a:br>
                    <a:r>
                      <a:rPr lang="en-US" sz="1100" baseline="0">
                        <a:solidFill>
                          <a:srgbClr val="993300"/>
                        </a:solidFill>
                      </a:rPr>
                      <a:t>R² = 0,0374</a:t>
                    </a:r>
                    <a:endParaRPr lang="en-US" sz="1100">
                      <a:solidFill>
                        <a:srgbClr val="993300"/>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rendlineLbl>
          </c:trendline>
          <c:xVal>
            <c:numRef>
              <c:f>'Dif PAS Int-Con, r RAR'!$F$87:$F$99</c:f>
              <c:numCache>
                <c:formatCode>0.00</c:formatCode>
                <c:ptCount val="13"/>
                <c:pt idx="0">
                  <c:v>2.9</c:v>
                </c:pt>
                <c:pt idx="1">
                  <c:v>10</c:v>
                </c:pt>
                <c:pt idx="2">
                  <c:v>6.82</c:v>
                </c:pt>
                <c:pt idx="3">
                  <c:v>7</c:v>
                </c:pt>
                <c:pt idx="4">
                  <c:v>9.6999999999999993</c:v>
                </c:pt>
                <c:pt idx="5">
                  <c:v>3.8</c:v>
                </c:pt>
                <c:pt idx="6">
                  <c:v>13.1</c:v>
                </c:pt>
                <c:pt idx="7">
                  <c:v>5.6</c:v>
                </c:pt>
                <c:pt idx="8">
                  <c:v>1.4</c:v>
                </c:pt>
                <c:pt idx="9">
                  <c:v>14</c:v>
                </c:pt>
                <c:pt idx="10">
                  <c:v>11</c:v>
                </c:pt>
                <c:pt idx="11">
                  <c:v>13.1</c:v>
                </c:pt>
                <c:pt idx="12">
                  <c:v>3</c:v>
                </c:pt>
              </c:numCache>
            </c:numRef>
          </c:xVal>
          <c:yVal>
            <c:numRef>
              <c:f>'Dif PAS Int-Con, r RAR'!$G$87:$G$99</c:f>
              <c:numCache>
                <c:formatCode>0.00%</c:formatCode>
                <c:ptCount val="13"/>
                <c:pt idx="0">
                  <c:v>3.5000000000000001E-3</c:v>
                </c:pt>
                <c:pt idx="1">
                  <c:v>0.16370000000000001</c:v>
                </c:pt>
                <c:pt idx="2">
                  <c:v>-7.4000000000000003E-3</c:v>
                </c:pt>
                <c:pt idx="3">
                  <c:v>-1.84E-2</c:v>
                </c:pt>
                <c:pt idx="4">
                  <c:v>0</c:v>
                </c:pt>
                <c:pt idx="5">
                  <c:v>3.7000000000000002E-3</c:v>
                </c:pt>
                <c:pt idx="6">
                  <c:v>8.2000000000000007E-3</c:v>
                </c:pt>
                <c:pt idx="7">
                  <c:v>-5.9999999999999995E-4</c:v>
                </c:pt>
                <c:pt idx="8">
                  <c:v>1.6999999999999999E-3</c:v>
                </c:pt>
                <c:pt idx="9">
                  <c:v>1E-4</c:v>
                </c:pt>
                <c:pt idx="10">
                  <c:v>1.6799999999999999E-2</c:v>
                </c:pt>
                <c:pt idx="11">
                  <c:v>4.0000000000000001E-3</c:v>
                </c:pt>
                <c:pt idx="12">
                  <c:v>0</c:v>
                </c:pt>
              </c:numCache>
            </c:numRef>
          </c:yVal>
          <c:smooth val="0"/>
          <c:extLst>
            <c:ext xmlns:c16="http://schemas.microsoft.com/office/drawing/2014/chart" uri="{C3380CC4-5D6E-409C-BE32-E72D297353CC}">
              <c16:uniqueId val="{00000000-5FC9-464F-9425-0EF7D8F77B5B}"/>
            </c:ext>
          </c:extLst>
        </c:ser>
        <c:dLbls>
          <c:showLegendKey val="0"/>
          <c:showVal val="0"/>
          <c:showCatName val="0"/>
          <c:showSerName val="0"/>
          <c:showPercent val="0"/>
          <c:showBubbleSize val="0"/>
        </c:dLbls>
        <c:axId val="763055183"/>
        <c:axId val="755390239"/>
      </c:scatterChart>
      <c:valAx>
        <c:axId val="76305518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n-US" sz="1500" b="1">
                    <a:solidFill>
                      <a:schemeClr val="tx1"/>
                    </a:solidFill>
                  </a:rPr>
                  <a:t>X:</a:t>
                </a:r>
                <a:r>
                  <a:rPr lang="en-US" sz="1500" b="1" baseline="0">
                    <a:solidFill>
                      <a:schemeClr val="tx1"/>
                    </a:solidFill>
                  </a:rPr>
                  <a:t> Diferencia en mm Hg en la PAS entre Intensivo y Convencional</a:t>
                </a:r>
                <a:endParaRPr lang="en-US" sz="1500" b="1">
                  <a:solidFill>
                    <a:schemeClr val="tx1"/>
                  </a:solidFill>
                </a:endParaRPr>
              </a:p>
            </c:rich>
          </c:tx>
          <c:layout>
            <c:manualLayout>
              <c:xMode val="edge"/>
              <c:yMode val="edge"/>
              <c:x val="0.11615569379243749"/>
              <c:y val="0.89303752439987782"/>
            </c:manualLayout>
          </c:layout>
          <c:overlay val="0"/>
          <c:spPr>
            <a:noFill/>
            <a:ln>
              <a:noFill/>
            </a:ln>
            <a:effectLst/>
          </c:spPr>
          <c:txPr>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55390239"/>
        <c:crosses val="autoZero"/>
        <c:crossBetween val="midCat"/>
      </c:valAx>
      <c:valAx>
        <c:axId val="7553902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n-US" sz="1500" b="1">
                    <a:solidFill>
                      <a:schemeClr val="tx1"/>
                    </a:solidFill>
                  </a:rPr>
                  <a:t>Y: RAR en IAM</a:t>
                </a:r>
              </a:p>
            </c:rich>
          </c:tx>
          <c:layout>
            <c:manualLayout>
              <c:xMode val="edge"/>
              <c:yMode val="edge"/>
              <c:x val="1.4801728946835133E-2"/>
              <c:y val="0.26765958834502773"/>
            </c:manualLayout>
          </c:layout>
          <c:overlay val="0"/>
          <c:spPr>
            <a:noFill/>
            <a:ln>
              <a:noFill/>
            </a:ln>
            <a:effectLst/>
          </c:spPr>
          <c:txPr>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6305518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24570622118216"/>
          <c:y val="7.4972987916770012E-2"/>
          <c:w val="0.85328312513534599"/>
          <c:h val="0.81113404982098114"/>
        </c:manualLayout>
      </c:layout>
      <c:scatterChart>
        <c:scatterStyle val="lineMarker"/>
        <c:varyColors val="0"/>
        <c:ser>
          <c:idx val="0"/>
          <c:order val="0"/>
          <c:tx>
            <c:strRef>
              <c:f>'Dif PAS Int-Con, r RAR'!$G$122</c:f>
              <c:strCache>
                <c:ptCount val="1"/>
                <c:pt idx="0">
                  <c:v>Y = RAR en ACV</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intercept val="0"/>
            <c:dispRSqr val="1"/>
            <c:dispEq val="1"/>
            <c:trendlineLbl>
              <c:layout>
                <c:manualLayout>
                  <c:x val="-7.5515408561529815E-2"/>
                  <c:y val="-0.52642298170105306"/>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'Dif PAS Int-Con, r RAR'!$F$123:$F$135</c:f>
              <c:numCache>
                <c:formatCode>0.00</c:formatCode>
                <c:ptCount val="13"/>
                <c:pt idx="0">
                  <c:v>2.9</c:v>
                </c:pt>
                <c:pt idx="1">
                  <c:v>10</c:v>
                </c:pt>
                <c:pt idx="2">
                  <c:v>6.82</c:v>
                </c:pt>
                <c:pt idx="3">
                  <c:v>7</c:v>
                </c:pt>
                <c:pt idx="4">
                  <c:v>9.6999999999999993</c:v>
                </c:pt>
                <c:pt idx="5">
                  <c:v>13.1</c:v>
                </c:pt>
                <c:pt idx="6">
                  <c:v>5.6</c:v>
                </c:pt>
                <c:pt idx="7">
                  <c:v>14</c:v>
                </c:pt>
                <c:pt idx="8">
                  <c:v>1.4</c:v>
                </c:pt>
                <c:pt idx="9">
                  <c:v>14</c:v>
                </c:pt>
                <c:pt idx="10">
                  <c:v>11</c:v>
                </c:pt>
                <c:pt idx="11">
                  <c:v>13.1</c:v>
                </c:pt>
                <c:pt idx="12">
                  <c:v>3</c:v>
                </c:pt>
              </c:numCache>
            </c:numRef>
          </c:xVal>
          <c:yVal>
            <c:numRef>
              <c:f>'Dif PAS Int-Con, r RAR'!$G$123:$G$135</c:f>
              <c:numCache>
                <c:formatCode>0.00%</c:formatCode>
                <c:ptCount val="13"/>
                <c:pt idx="0">
                  <c:v>2.2000000000000001E-3</c:v>
                </c:pt>
                <c:pt idx="1">
                  <c:v>3.6999999999999998E-2</c:v>
                </c:pt>
                <c:pt idx="2">
                  <c:v>6.9999999999999999E-4</c:v>
                </c:pt>
                <c:pt idx="3">
                  <c:v>3.6600000000000001E-2</c:v>
                </c:pt>
                <c:pt idx="4">
                  <c:v>-1.1999999999999999E-3</c:v>
                </c:pt>
                <c:pt idx="5">
                  <c:v>8.8000000000000005E-3</c:v>
                </c:pt>
                <c:pt idx="6">
                  <c:v>1E-4</c:v>
                </c:pt>
                <c:pt idx="7">
                  <c:v>4.1999999999999997E-3</c:v>
                </c:pt>
                <c:pt idx="8">
                  <c:v>-2.3E-3</c:v>
                </c:pt>
                <c:pt idx="9">
                  <c:v>4.19E-2</c:v>
                </c:pt>
                <c:pt idx="10">
                  <c:v>-2.9999999999999997E-4</c:v>
                </c:pt>
                <c:pt idx="11">
                  <c:v>1.6999999999999999E-3</c:v>
                </c:pt>
                <c:pt idx="12">
                  <c:v>1.14E-2</c:v>
                </c:pt>
              </c:numCache>
            </c:numRef>
          </c:yVal>
          <c:smooth val="0"/>
          <c:extLst>
            <c:ext xmlns:c16="http://schemas.microsoft.com/office/drawing/2014/chart" uri="{C3380CC4-5D6E-409C-BE32-E72D297353CC}">
              <c16:uniqueId val="{00000000-46BC-4E5A-B9ED-FABBC6452AC7}"/>
            </c:ext>
          </c:extLst>
        </c:ser>
        <c:dLbls>
          <c:showLegendKey val="0"/>
          <c:showVal val="0"/>
          <c:showCatName val="0"/>
          <c:showSerName val="0"/>
          <c:showPercent val="0"/>
          <c:showBubbleSize val="0"/>
        </c:dLbls>
        <c:axId val="628147663"/>
        <c:axId val="631591487"/>
      </c:scatterChart>
      <c:valAx>
        <c:axId val="62814766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s-ES" sz="1500" b="1">
                    <a:solidFill>
                      <a:schemeClr val="tx1"/>
                    </a:solidFill>
                  </a:rPr>
                  <a:t>X:</a:t>
                </a:r>
                <a:r>
                  <a:rPr lang="es-ES" sz="1500" b="1" baseline="0">
                    <a:solidFill>
                      <a:schemeClr val="tx1"/>
                    </a:solidFill>
                  </a:rPr>
                  <a:t> Diferencia en mm Hg en la PAS entre Intensivo y Convencional</a:t>
                </a:r>
                <a:endParaRPr lang="es-ES" sz="1500" b="1">
                  <a:solidFill>
                    <a:schemeClr val="tx1"/>
                  </a:solidFill>
                </a:endParaRPr>
              </a:p>
            </c:rich>
          </c:tx>
          <c:layout>
            <c:manualLayout>
              <c:xMode val="edge"/>
              <c:yMode val="edge"/>
              <c:x val="0.11540489813547998"/>
              <c:y val="0.91279318237902995"/>
            </c:manualLayout>
          </c:layout>
          <c:overlay val="0"/>
          <c:spPr>
            <a:noFill/>
            <a:ln>
              <a:noFill/>
            </a:ln>
            <a:effectLst/>
          </c:spPr>
          <c:txPr>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31591487"/>
        <c:crosses val="autoZero"/>
        <c:crossBetween val="midCat"/>
      </c:valAx>
      <c:valAx>
        <c:axId val="6315914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s-ES" sz="1500" b="1">
                    <a:solidFill>
                      <a:schemeClr val="tx1"/>
                    </a:solidFill>
                  </a:rPr>
                  <a:t>Y= RAR en ACV</a:t>
                </a:r>
              </a:p>
            </c:rich>
          </c:tx>
          <c:layout>
            <c:manualLayout>
              <c:xMode val="edge"/>
              <c:yMode val="edge"/>
              <c:x val="1.4426535501393124E-2"/>
              <c:y val="0.29450159536734272"/>
            </c:manualLayout>
          </c:layout>
          <c:overlay val="0"/>
          <c:spPr>
            <a:noFill/>
            <a:ln>
              <a:noFill/>
            </a:ln>
            <a:effectLst/>
          </c:spPr>
          <c:txPr>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2814766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'Dif PAS Int-Con, r RAR'!$G$158</c:f>
              <c:strCache>
                <c:ptCount val="1"/>
                <c:pt idx="0">
                  <c:v>Y = RAR en InsCard</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1.2467629046369205E-2"/>
                  <c:y val="-0.4864916885389326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rgbClr val="993300"/>
                      </a:solidFill>
                      <a:latin typeface="+mn-lt"/>
                      <a:ea typeface="+mn-ea"/>
                      <a:cs typeface="+mn-cs"/>
                    </a:defRPr>
                  </a:pPr>
                  <a:endParaRPr lang="es-ES"/>
                </a:p>
              </c:txPr>
            </c:trendlineLbl>
          </c:trendline>
          <c:xVal>
            <c:numRef>
              <c:f>'Dif PAS Int-Con, r RAR'!$F$159:$F$167</c:f>
              <c:numCache>
                <c:formatCode>0.00</c:formatCode>
                <c:ptCount val="9"/>
                <c:pt idx="0">
                  <c:v>2.9</c:v>
                </c:pt>
                <c:pt idx="1">
                  <c:v>6.82</c:v>
                </c:pt>
                <c:pt idx="2">
                  <c:v>7</c:v>
                </c:pt>
                <c:pt idx="3">
                  <c:v>9.6999999999999993</c:v>
                </c:pt>
                <c:pt idx="4">
                  <c:v>3.8</c:v>
                </c:pt>
                <c:pt idx="5">
                  <c:v>13.1</c:v>
                </c:pt>
                <c:pt idx="6">
                  <c:v>14</c:v>
                </c:pt>
                <c:pt idx="7">
                  <c:v>13.1</c:v>
                </c:pt>
                <c:pt idx="8">
                  <c:v>3</c:v>
                </c:pt>
              </c:numCache>
            </c:numRef>
          </c:xVal>
          <c:yVal>
            <c:numRef>
              <c:f>'Dif PAS Int-Con, r RAR'!$G$159:$G$167</c:f>
              <c:numCache>
                <c:formatCode>0.00%</c:formatCode>
                <c:ptCount val="9"/>
                <c:pt idx="0">
                  <c:v>-2.0000000000000001E-4</c:v>
                </c:pt>
                <c:pt idx="1">
                  <c:v>6.9999999999999999E-4</c:v>
                </c:pt>
                <c:pt idx="2">
                  <c:v>-5.4000000000000003E-3</c:v>
                </c:pt>
                <c:pt idx="3">
                  <c:v>-4.0000000000000002E-4</c:v>
                </c:pt>
                <c:pt idx="4">
                  <c:v>7.3000000000000001E-3</c:v>
                </c:pt>
                <c:pt idx="5">
                  <c:v>2.8E-3</c:v>
                </c:pt>
                <c:pt idx="6">
                  <c:v>-8.5000000000000006E-3</c:v>
                </c:pt>
                <c:pt idx="7">
                  <c:v>8.0999999999999996E-3</c:v>
                </c:pt>
                <c:pt idx="8">
                  <c:v>0</c:v>
                </c:pt>
              </c:numCache>
            </c:numRef>
          </c:yVal>
          <c:smooth val="0"/>
          <c:extLst>
            <c:ext xmlns:c16="http://schemas.microsoft.com/office/drawing/2014/chart" uri="{C3380CC4-5D6E-409C-BE32-E72D297353CC}">
              <c16:uniqueId val="{00000000-6DC0-46F8-ACAF-5C4902AE4A13}"/>
            </c:ext>
          </c:extLst>
        </c:ser>
        <c:dLbls>
          <c:showLegendKey val="0"/>
          <c:showVal val="0"/>
          <c:showCatName val="0"/>
          <c:showSerName val="0"/>
          <c:showPercent val="0"/>
          <c:showBubbleSize val="0"/>
        </c:dLbls>
        <c:axId val="828925167"/>
        <c:axId val="513010655"/>
      </c:scatterChart>
      <c:valAx>
        <c:axId val="8289251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n-US" sz="1500" b="1">
                    <a:solidFill>
                      <a:schemeClr val="tx1"/>
                    </a:solidFill>
                  </a:rPr>
                  <a:t>X: Diferencia en mm Hg en PAS entre Intensivo y Convencional</a:t>
                </a:r>
              </a:p>
            </c:rich>
          </c:tx>
          <c:layout>
            <c:manualLayout>
              <c:xMode val="edge"/>
              <c:yMode val="edge"/>
              <c:x val="0.11044323186146053"/>
              <c:y val="0.89820011667318023"/>
            </c:manualLayout>
          </c:layout>
          <c:overlay val="0"/>
          <c:spPr>
            <a:solidFill>
              <a:sysClr val="window" lastClr="FFFFFF"/>
            </a:solidFill>
            <a:ln>
              <a:noFill/>
            </a:ln>
            <a:effectLst/>
          </c:spPr>
          <c:txPr>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3010655"/>
        <c:crosses val="autoZero"/>
        <c:crossBetween val="midCat"/>
      </c:valAx>
      <c:valAx>
        <c:axId val="5130106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n-US" sz="1500" b="1">
                    <a:solidFill>
                      <a:schemeClr val="tx1"/>
                    </a:solidFill>
                  </a:rPr>
                  <a:t>Y: RAR en InsCard</a:t>
                </a:r>
              </a:p>
            </c:rich>
          </c:tx>
          <c:overlay val="0"/>
          <c:spPr>
            <a:noFill/>
            <a:ln>
              <a:noFill/>
            </a:ln>
            <a:effectLst/>
          </c:spPr>
          <c:txPr>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289251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'Dif PAS Int-Con, r RAR'!$G$190</c:f>
              <c:strCache>
                <c:ptCount val="1"/>
                <c:pt idx="0">
                  <c:v>Y = RAR en EnfRenTerm</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2.1159886264216974E-2"/>
                  <c:y val="-0.4157141294838145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rgbClr val="993300"/>
                      </a:solidFill>
                      <a:latin typeface="+mn-lt"/>
                      <a:ea typeface="+mn-ea"/>
                      <a:cs typeface="+mn-cs"/>
                    </a:defRPr>
                  </a:pPr>
                  <a:endParaRPr lang="es-ES"/>
                </a:p>
              </c:txPr>
            </c:trendlineLbl>
          </c:trendline>
          <c:xVal>
            <c:numRef>
              <c:f>'Dif PAS Int-Con, r RAR'!$F$191:$F$195</c:f>
              <c:numCache>
                <c:formatCode>0.00</c:formatCode>
                <c:ptCount val="5"/>
                <c:pt idx="0">
                  <c:v>7</c:v>
                </c:pt>
                <c:pt idx="1">
                  <c:v>6.8</c:v>
                </c:pt>
                <c:pt idx="2">
                  <c:v>5</c:v>
                </c:pt>
                <c:pt idx="3">
                  <c:v>13.1</c:v>
                </c:pt>
                <c:pt idx="4">
                  <c:v>13.1</c:v>
                </c:pt>
              </c:numCache>
            </c:numRef>
          </c:xVal>
          <c:yVal>
            <c:numRef>
              <c:f>'Dif PAS Int-Con, r RAR'!$G$191:$G$195</c:f>
              <c:numCache>
                <c:formatCode>0.00%</c:formatCode>
                <c:ptCount val="5"/>
                <c:pt idx="0">
                  <c:v>-0.1095</c:v>
                </c:pt>
                <c:pt idx="1">
                  <c:v>8.0600000000000005E-2</c:v>
                </c:pt>
                <c:pt idx="2">
                  <c:v>-7.3000000000000001E-3</c:v>
                </c:pt>
                <c:pt idx="3">
                  <c:v>-5.0000000000000001E-4</c:v>
                </c:pt>
                <c:pt idx="4">
                  <c:v>-1.6299999999999999E-2</c:v>
                </c:pt>
              </c:numCache>
            </c:numRef>
          </c:yVal>
          <c:smooth val="0"/>
          <c:extLst>
            <c:ext xmlns:c16="http://schemas.microsoft.com/office/drawing/2014/chart" uri="{C3380CC4-5D6E-409C-BE32-E72D297353CC}">
              <c16:uniqueId val="{00000000-98A0-4551-BE39-3AEC98907071}"/>
            </c:ext>
          </c:extLst>
        </c:ser>
        <c:dLbls>
          <c:showLegendKey val="0"/>
          <c:showVal val="0"/>
          <c:showCatName val="0"/>
          <c:showSerName val="0"/>
          <c:showPercent val="0"/>
          <c:showBubbleSize val="0"/>
        </c:dLbls>
        <c:axId val="822504191"/>
        <c:axId val="527034079"/>
      </c:scatterChart>
      <c:valAx>
        <c:axId val="82250419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n-US" sz="1500" b="1">
                    <a:solidFill>
                      <a:schemeClr val="tx1"/>
                    </a:solidFill>
                  </a:rPr>
                  <a:t>X: Diferencia en mm Hg en la</a:t>
                </a:r>
                <a:r>
                  <a:rPr lang="en-US" sz="1500" b="1" baseline="0">
                    <a:solidFill>
                      <a:schemeClr val="tx1"/>
                    </a:solidFill>
                  </a:rPr>
                  <a:t> PAS entre Intensivo y Convencional</a:t>
                </a:r>
                <a:endParaRPr lang="en-US" sz="1500" b="1">
                  <a:solidFill>
                    <a:schemeClr val="tx1"/>
                  </a:solidFill>
                </a:endParaRPr>
              </a:p>
            </c:rich>
          </c:tx>
          <c:layout>
            <c:manualLayout>
              <c:xMode val="edge"/>
              <c:yMode val="edge"/>
              <c:x val="0.12382700797159527"/>
              <c:y val="0.86500866005581889"/>
            </c:manualLayout>
          </c:layout>
          <c:overlay val="0"/>
          <c:spPr>
            <a:noFill/>
            <a:ln>
              <a:noFill/>
            </a:ln>
            <a:effectLst/>
          </c:spPr>
          <c:txPr>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27034079"/>
        <c:crosses val="autoZero"/>
        <c:crossBetween val="midCat"/>
      </c:valAx>
      <c:valAx>
        <c:axId val="527034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n-US" sz="1500" b="1">
                    <a:solidFill>
                      <a:schemeClr val="tx1"/>
                    </a:solidFill>
                  </a:rPr>
                  <a:t>Y: RAR en EnfRenTerm</a:t>
                </a:r>
              </a:p>
            </c:rich>
          </c:tx>
          <c:overlay val="0"/>
          <c:spPr>
            <a:noFill/>
            <a:ln>
              <a:noFill/>
            </a:ln>
            <a:effectLst/>
          </c:spPr>
          <c:txPr>
            <a:bodyPr rot="-540000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2250419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94313210848643"/>
          <c:y val="0.16982452904534745"/>
          <c:w val="0.82886701662292217"/>
          <c:h val="0.70819103263624106"/>
        </c:manualLayout>
      </c:layout>
      <c:scatterChart>
        <c:scatterStyle val="lineMarker"/>
        <c:varyColors val="0"/>
        <c:ser>
          <c:idx val="0"/>
          <c:order val="0"/>
          <c:tx>
            <c:strRef>
              <c:f>'Dif PAS Int-Con, r RAR'!$G$218</c:f>
              <c:strCache>
                <c:ptCount val="1"/>
                <c:pt idx="0">
                  <c:v>Y = RAR en EfAdv grav atrib</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rgbClr val="FF0066"/>
                </a:solidFill>
                <a:prstDash val="sysDot"/>
              </a:ln>
              <a:effectLst/>
            </c:spPr>
            <c:trendlineType val="linear"/>
            <c:dispRSqr val="1"/>
            <c:dispEq val="1"/>
            <c:trendlineLbl>
              <c:layout>
                <c:manualLayout>
                  <c:x val="-3.478317293671624E-2"/>
                  <c:y val="-0.71541778671700951"/>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'Dif PAS Int-Con, r RAR'!$F$219:$F$221</c:f>
              <c:numCache>
                <c:formatCode>0.00</c:formatCode>
                <c:ptCount val="3"/>
                <c:pt idx="0">
                  <c:v>13.1</c:v>
                </c:pt>
                <c:pt idx="1">
                  <c:v>5.6</c:v>
                </c:pt>
                <c:pt idx="2">
                  <c:v>13.1</c:v>
                </c:pt>
              </c:numCache>
            </c:numRef>
          </c:xVal>
          <c:yVal>
            <c:numRef>
              <c:f>'Dif PAS Int-Con, r RAR'!$G$219:$G$221</c:f>
              <c:numCache>
                <c:formatCode>0.00%</c:formatCode>
                <c:ptCount val="3"/>
                <c:pt idx="0">
                  <c:v>-1.9900000000000001E-2</c:v>
                </c:pt>
                <c:pt idx="1">
                  <c:v>-1.2E-2</c:v>
                </c:pt>
                <c:pt idx="2">
                  <c:v>-2.18E-2</c:v>
                </c:pt>
              </c:numCache>
            </c:numRef>
          </c:yVal>
          <c:smooth val="0"/>
          <c:extLst>
            <c:ext xmlns:c16="http://schemas.microsoft.com/office/drawing/2014/chart" uri="{C3380CC4-5D6E-409C-BE32-E72D297353CC}">
              <c16:uniqueId val="{00000000-C84A-4E5D-8C33-C00815BEF36C}"/>
            </c:ext>
          </c:extLst>
        </c:ser>
        <c:dLbls>
          <c:showLegendKey val="0"/>
          <c:showVal val="0"/>
          <c:showCatName val="0"/>
          <c:showSerName val="0"/>
          <c:showPercent val="0"/>
          <c:showBubbleSize val="0"/>
        </c:dLbls>
        <c:axId val="497892655"/>
        <c:axId val="630348255"/>
      </c:scatterChart>
      <c:valAx>
        <c:axId val="4978926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r>
                  <a:rPr lang="en-US" sz="1500" b="1">
                    <a:solidFill>
                      <a:schemeClr val="tx1"/>
                    </a:solidFill>
                  </a:rPr>
                  <a:t>X: Diferencia en mm Hg en la PAS entre Intensivo y Convencional</a:t>
                </a:r>
              </a:p>
            </c:rich>
          </c:tx>
          <c:overlay val="0"/>
          <c:spPr>
            <a:noFill/>
            <a:ln>
              <a:noFill/>
            </a:ln>
            <a:effectLst/>
          </c:spPr>
          <c:txPr>
            <a:bodyPr rot="0" spcFirstLastPara="1" vertOverflow="ellipsis" vert="horz" wrap="square" anchor="ctr" anchorCtr="1"/>
            <a:lstStyle/>
            <a:p>
              <a:pPr>
                <a:defRPr sz="15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30348255"/>
        <c:crosses val="autoZero"/>
        <c:crossBetween val="midCat"/>
      </c:valAx>
      <c:valAx>
        <c:axId val="6303482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a:solidFill>
                      <a:schemeClr val="tx1"/>
                    </a:solidFill>
                  </a:rPr>
                  <a:t>Y: RAR en EfAdv grav atrib</a:t>
                </a:r>
              </a:p>
            </c:rich>
          </c:tx>
          <c:layout>
            <c:manualLayout>
              <c:xMode val="edge"/>
              <c:yMode val="edge"/>
              <c:x val="7.6204432779235932E-3"/>
              <c:y val="0.1262673685606473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789265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3597112860892406E-2"/>
          <c:y val="3.240740740740740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'Dif PAS Desp-Ant, r Inc-año'!$G$9</c:f>
              <c:strCache>
                <c:ptCount val="1"/>
                <c:pt idx="0">
                  <c:v>Y = Mort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5400" cap="rnd">
                <a:solidFill>
                  <a:srgbClr val="FF0066"/>
                </a:solidFill>
                <a:prstDash val="sysDot"/>
              </a:ln>
              <a:effectLst/>
            </c:spPr>
            <c:trendlineType val="linear"/>
            <c:dispRSqr val="1"/>
            <c:dispEq val="1"/>
            <c:trendlineLbl>
              <c:layout>
                <c:manualLayout>
                  <c:x val="4.8540797898610676E-2"/>
                  <c:y val="-0.64880717030265378"/>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'Dif PAS Desp-Ant, r Inc-año'!$F$10:$F$45</c:f>
              <c:numCache>
                <c:formatCode>0.00</c:formatCode>
                <c:ptCount val="36"/>
                <c:pt idx="0">
                  <c:v>10</c:v>
                </c:pt>
                <c:pt idx="1">
                  <c:v>-30.300000000000011</c:v>
                </c:pt>
                <c:pt idx="2">
                  <c:v>-15</c:v>
                </c:pt>
                <c:pt idx="3">
                  <c:v>-23</c:v>
                </c:pt>
                <c:pt idx="4">
                  <c:v>-8</c:v>
                </c:pt>
                <c:pt idx="5">
                  <c:v>-4.5</c:v>
                </c:pt>
                <c:pt idx="6">
                  <c:v>-6.6999999999999886</c:v>
                </c:pt>
                <c:pt idx="7">
                  <c:v>-8</c:v>
                </c:pt>
                <c:pt idx="8">
                  <c:v>-35.699999999999989</c:v>
                </c:pt>
                <c:pt idx="9">
                  <c:v>-27.300000000000011</c:v>
                </c:pt>
                <c:pt idx="10">
                  <c:v>-18.699999999999989</c:v>
                </c:pt>
                <c:pt idx="11">
                  <c:v>-32.900000000000006</c:v>
                </c:pt>
                <c:pt idx="12">
                  <c:v>-20.5</c:v>
                </c:pt>
                <c:pt idx="13">
                  <c:v>-23.599999999999994</c:v>
                </c:pt>
                <c:pt idx="14">
                  <c:v>-23.800000000000011</c:v>
                </c:pt>
                <c:pt idx="15">
                  <c:v>-20.5</c:v>
                </c:pt>
                <c:pt idx="16">
                  <c:v>-18.199999999999989</c:v>
                </c:pt>
                <c:pt idx="17">
                  <c:v>-15.699999999999989</c:v>
                </c:pt>
                <c:pt idx="18">
                  <c:v>15</c:v>
                </c:pt>
                <c:pt idx="19">
                  <c:v>-27.400000000000006</c:v>
                </c:pt>
                <c:pt idx="20">
                  <c:v>-5</c:v>
                </c:pt>
                <c:pt idx="21">
                  <c:v>-17</c:v>
                </c:pt>
                <c:pt idx="22">
                  <c:v>1</c:v>
                </c:pt>
                <c:pt idx="23">
                  <c:v>2.5</c:v>
                </c:pt>
                <c:pt idx="24">
                  <c:v>-2.6999999999999886</c:v>
                </c:pt>
                <c:pt idx="25">
                  <c:v>-2</c:v>
                </c:pt>
                <c:pt idx="26">
                  <c:v>-26</c:v>
                </c:pt>
                <c:pt idx="27">
                  <c:v>-25.5</c:v>
                </c:pt>
                <c:pt idx="28">
                  <c:v>-5.6999999999999886</c:v>
                </c:pt>
                <c:pt idx="29">
                  <c:v>-27.5</c:v>
                </c:pt>
                <c:pt idx="30">
                  <c:v>-9.5</c:v>
                </c:pt>
                <c:pt idx="31">
                  <c:v>-21.199999999999989</c:v>
                </c:pt>
                <c:pt idx="32">
                  <c:v>-9.8000000000000114</c:v>
                </c:pt>
                <c:pt idx="33">
                  <c:v>-6.5</c:v>
                </c:pt>
                <c:pt idx="34">
                  <c:v>-5.0999999999999943</c:v>
                </c:pt>
                <c:pt idx="35">
                  <c:v>-13.400000000000006</c:v>
                </c:pt>
              </c:numCache>
            </c:numRef>
          </c:xVal>
          <c:yVal>
            <c:numRef>
              <c:f>'Dif PAS Desp-Ant, r Inc-año'!$G$10:$G$45</c:f>
              <c:numCache>
                <c:formatCode>0.00%</c:formatCode>
                <c:ptCount val="36"/>
                <c:pt idx="0">
                  <c:v>6.901311249137336E-3</c:v>
                </c:pt>
                <c:pt idx="1">
                  <c:v>8.6570626502378602E-3</c:v>
                </c:pt>
                <c:pt idx="2">
                  <c:v>2.1045357456966958E-2</c:v>
                </c:pt>
                <c:pt idx="3">
                  <c:v>1.0970464135021098E-2</c:v>
                </c:pt>
                <c:pt idx="4">
                  <c:v>1.5189873417721518E-2</c:v>
                </c:pt>
                <c:pt idx="5">
                  <c:v>1.6427718040621264E-2</c:v>
                </c:pt>
                <c:pt idx="6">
                  <c:v>7.4850299401197605E-3</c:v>
                </c:pt>
                <c:pt idx="7">
                  <c:v>7.9744816586921861E-3</c:v>
                </c:pt>
                <c:pt idx="8">
                  <c:v>2.0252025202520253E-3</c:v>
                </c:pt>
                <c:pt idx="9">
                  <c:v>3.5906642728904849E-3</c:v>
                </c:pt>
                <c:pt idx="10">
                  <c:v>1.3511809321346857E-2</c:v>
                </c:pt>
                <c:pt idx="11">
                  <c:v>5.0599285285095356E-3</c:v>
                </c:pt>
                <c:pt idx="12">
                  <c:v>2.3456790123456792E-2</c:v>
                </c:pt>
                <c:pt idx="13">
                  <c:v>3.1325776473181653E-3</c:v>
                </c:pt>
                <c:pt idx="14">
                  <c:v>3.5123966942148761E-2</c:v>
                </c:pt>
                <c:pt idx="15">
                  <c:v>1.9086374849199634E-2</c:v>
                </c:pt>
                <c:pt idx="16">
                  <c:v>1.0163747813154907E-2</c:v>
                </c:pt>
                <c:pt idx="17">
                  <c:v>7.5187969924812026E-3</c:v>
                </c:pt>
                <c:pt idx="18">
                  <c:v>0</c:v>
                </c:pt>
                <c:pt idx="19">
                  <c:v>8.0451367883309817E-3</c:v>
                </c:pt>
                <c:pt idx="20">
                  <c:v>2.5335775335775336E-2</c:v>
                </c:pt>
                <c:pt idx="21">
                  <c:v>2.1459227467811159E-2</c:v>
                </c:pt>
                <c:pt idx="22">
                  <c:v>1.646090534979424E-2</c:v>
                </c:pt>
                <c:pt idx="23">
                  <c:v>1.0278304870335231E-2</c:v>
                </c:pt>
                <c:pt idx="24">
                  <c:v>1.1160714285714286E-2</c:v>
                </c:pt>
                <c:pt idx="25">
                  <c:v>0</c:v>
                </c:pt>
                <c:pt idx="26">
                  <c:v>1.8132366273798731E-3</c:v>
                </c:pt>
                <c:pt idx="27">
                  <c:v>4.5207956600361665E-3</c:v>
                </c:pt>
                <c:pt idx="28">
                  <c:v>1.2922099482218652E-2</c:v>
                </c:pt>
                <c:pt idx="29">
                  <c:v>6.3702653003155406E-3</c:v>
                </c:pt>
                <c:pt idx="30">
                  <c:v>2.6474127557160047E-2</c:v>
                </c:pt>
                <c:pt idx="31">
                  <c:v>3.5966632246986342E-3</c:v>
                </c:pt>
                <c:pt idx="32">
                  <c:v>6.0249307479224377E-2</c:v>
                </c:pt>
                <c:pt idx="33">
                  <c:v>1.7970570965962669E-2</c:v>
                </c:pt>
                <c:pt idx="34">
                  <c:v>1.3755536603482903E-2</c:v>
                </c:pt>
                <c:pt idx="35">
                  <c:v>3.8022813688212928E-3</c:v>
                </c:pt>
              </c:numCache>
            </c:numRef>
          </c:yVal>
          <c:smooth val="0"/>
          <c:extLst>
            <c:ext xmlns:c16="http://schemas.microsoft.com/office/drawing/2014/chart" uri="{C3380CC4-5D6E-409C-BE32-E72D297353CC}">
              <c16:uniqueId val="{00000000-3812-4584-9B9E-6B42E6D79EED}"/>
            </c:ext>
          </c:extLst>
        </c:ser>
        <c:dLbls>
          <c:showLegendKey val="0"/>
          <c:showVal val="0"/>
          <c:showCatName val="0"/>
          <c:showSerName val="0"/>
          <c:showPercent val="0"/>
          <c:showBubbleSize val="0"/>
        </c:dLbls>
        <c:axId val="1598187775"/>
        <c:axId val="1630173439"/>
      </c:scatterChart>
      <c:valAx>
        <c:axId val="1598187775"/>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30173439"/>
        <c:crosses val="autoZero"/>
        <c:crossBetween val="midCat"/>
      </c:valAx>
      <c:valAx>
        <c:axId val="1630173439"/>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59818777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1638888888888909E-2"/>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'Dif PAS Desp-Ant, r Inc-año'!$G$68</c:f>
              <c:strCache>
                <c:ptCount val="1"/>
                <c:pt idx="0">
                  <c:v>Y = MortCV /año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5400" cap="rnd">
                <a:solidFill>
                  <a:srgbClr val="FF0066"/>
                </a:solidFill>
                <a:prstDash val="sysDot"/>
              </a:ln>
              <a:effectLst/>
            </c:spPr>
            <c:trendlineType val="linear"/>
            <c:dispRSqr val="1"/>
            <c:dispEq val="1"/>
            <c:trendlineLbl>
              <c:layout>
                <c:manualLayout>
                  <c:x val="-0.11347699759738901"/>
                  <c:y val="-0.4680915360807155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993300"/>
                      </a:solidFill>
                      <a:latin typeface="+mn-lt"/>
                      <a:ea typeface="+mn-ea"/>
                      <a:cs typeface="+mn-cs"/>
                    </a:defRPr>
                  </a:pPr>
                  <a:endParaRPr lang="es-ES"/>
                </a:p>
              </c:txPr>
            </c:trendlineLbl>
          </c:trendline>
          <c:xVal>
            <c:numRef>
              <c:f>'Dif PAS Desp-Ant, r Inc-año'!$F$69:$F$94</c:f>
              <c:numCache>
                <c:formatCode>0.00</c:formatCode>
                <c:ptCount val="26"/>
                <c:pt idx="0">
                  <c:v>-30.300000000000011</c:v>
                </c:pt>
                <c:pt idx="1">
                  <c:v>-15</c:v>
                </c:pt>
                <c:pt idx="2">
                  <c:v>-8</c:v>
                </c:pt>
                <c:pt idx="3">
                  <c:v>-6.6999999999999886</c:v>
                </c:pt>
                <c:pt idx="4">
                  <c:v>-35.699999999999989</c:v>
                </c:pt>
                <c:pt idx="5">
                  <c:v>-18.699999999999989</c:v>
                </c:pt>
                <c:pt idx="6">
                  <c:v>-32.900000000000006</c:v>
                </c:pt>
                <c:pt idx="7">
                  <c:v>-20.5</c:v>
                </c:pt>
                <c:pt idx="8">
                  <c:v>-23.599999999999994</c:v>
                </c:pt>
                <c:pt idx="9">
                  <c:v>-23.800000000000011</c:v>
                </c:pt>
                <c:pt idx="10">
                  <c:v>-20.5</c:v>
                </c:pt>
                <c:pt idx="11">
                  <c:v>-18.199999999999989</c:v>
                </c:pt>
                <c:pt idx="12">
                  <c:v>-15.699999999999989</c:v>
                </c:pt>
                <c:pt idx="13">
                  <c:v>-27.400000000000006</c:v>
                </c:pt>
                <c:pt idx="14">
                  <c:v>-5</c:v>
                </c:pt>
                <c:pt idx="15">
                  <c:v>1</c:v>
                </c:pt>
                <c:pt idx="16">
                  <c:v>-2.6999999999999886</c:v>
                </c:pt>
                <c:pt idx="17">
                  <c:v>-26</c:v>
                </c:pt>
                <c:pt idx="18">
                  <c:v>-5.6999999999999886</c:v>
                </c:pt>
                <c:pt idx="19">
                  <c:v>-27.5</c:v>
                </c:pt>
                <c:pt idx="20">
                  <c:v>-9.5</c:v>
                </c:pt>
                <c:pt idx="21">
                  <c:v>-21.199999999999989</c:v>
                </c:pt>
                <c:pt idx="22">
                  <c:v>-9.8000000000000114</c:v>
                </c:pt>
                <c:pt idx="23">
                  <c:v>-6.5</c:v>
                </c:pt>
                <c:pt idx="24">
                  <c:v>-5.0999999999999943</c:v>
                </c:pt>
                <c:pt idx="25">
                  <c:v>-13.400000000000006</c:v>
                </c:pt>
              </c:numCache>
            </c:numRef>
          </c:xVal>
          <c:yVal>
            <c:numRef>
              <c:f>'Dif PAS Desp-Ant, r Inc-año'!$G$69:$G$94</c:f>
              <c:numCache>
                <c:formatCode>0.00%</c:formatCode>
                <c:ptCount val="26"/>
                <c:pt idx="0">
                  <c:v>4.0343592933147305E-3</c:v>
                </c:pt>
                <c:pt idx="1">
                  <c:v>1.0836788541274029E-2</c:v>
                </c:pt>
                <c:pt idx="2">
                  <c:v>1.0970464135021098E-2</c:v>
                </c:pt>
                <c:pt idx="3">
                  <c:v>3.7425149700598802E-3</c:v>
                </c:pt>
                <c:pt idx="4">
                  <c:v>2.0252025202520253E-3</c:v>
                </c:pt>
                <c:pt idx="5">
                  <c:v>5.4047237285387434E-3</c:v>
                </c:pt>
                <c:pt idx="6">
                  <c:v>2.3191339089002035E-3</c:v>
                </c:pt>
                <c:pt idx="7">
                  <c:v>9.876543209876543E-3</c:v>
                </c:pt>
                <c:pt idx="8">
                  <c:v>3.4806418303535172E-4</c:v>
                </c:pt>
                <c:pt idx="9">
                  <c:v>9.0026827994742437E-4</c:v>
                </c:pt>
                <c:pt idx="10">
                  <c:v>6.482165043124404E-3</c:v>
                </c:pt>
                <c:pt idx="11">
                  <c:v>2.4261849618498811E-3</c:v>
                </c:pt>
                <c:pt idx="12">
                  <c:v>0</c:v>
                </c:pt>
                <c:pt idx="13">
                  <c:v>3.717987497479331E-3</c:v>
                </c:pt>
                <c:pt idx="14">
                  <c:v>1.6483516483516484E-2</c:v>
                </c:pt>
                <c:pt idx="15">
                  <c:v>7.4074074074074077E-3</c:v>
                </c:pt>
                <c:pt idx="16">
                  <c:v>7.4404761904761901E-3</c:v>
                </c:pt>
                <c:pt idx="17">
                  <c:v>1.5865820489573889E-3</c:v>
                </c:pt>
                <c:pt idx="18">
                  <c:v>5.2047345136714013E-3</c:v>
                </c:pt>
                <c:pt idx="19">
                  <c:v>2.3357639434490314E-3</c:v>
                </c:pt>
                <c:pt idx="20">
                  <c:v>9.0252707581227436E-3</c:v>
                </c:pt>
                <c:pt idx="21">
                  <c:v>5.8010697172558622E-4</c:v>
                </c:pt>
                <c:pt idx="22">
                  <c:v>1.8105118316948201E-3</c:v>
                </c:pt>
                <c:pt idx="23">
                  <c:v>7.2949842535095987E-3</c:v>
                </c:pt>
                <c:pt idx="24">
                  <c:v>4.2576660915542323E-3</c:v>
                </c:pt>
                <c:pt idx="25">
                  <c:v>3.8022813688212928E-3</c:v>
                </c:pt>
              </c:numCache>
            </c:numRef>
          </c:yVal>
          <c:smooth val="0"/>
          <c:extLst>
            <c:ext xmlns:c16="http://schemas.microsoft.com/office/drawing/2014/chart" uri="{C3380CC4-5D6E-409C-BE32-E72D297353CC}">
              <c16:uniqueId val="{00000000-0D6B-4D4F-BBC6-28681FEB714C}"/>
            </c:ext>
          </c:extLst>
        </c:ser>
        <c:dLbls>
          <c:showLegendKey val="0"/>
          <c:showVal val="0"/>
          <c:showCatName val="0"/>
          <c:showSerName val="0"/>
          <c:showPercent val="0"/>
          <c:showBubbleSize val="0"/>
        </c:dLbls>
        <c:axId val="1203779840"/>
        <c:axId val="1234940320"/>
      </c:scatterChart>
      <c:valAx>
        <c:axId val="120377984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34940320"/>
        <c:crosses val="autoZero"/>
        <c:crossBetween val="midCat"/>
      </c:valAx>
      <c:valAx>
        <c:axId val="12349403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037798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14</xdr:col>
      <xdr:colOff>266698</xdr:colOff>
      <xdr:row>6</xdr:row>
      <xdr:rowOff>71436</xdr:rowOff>
    </xdr:from>
    <xdr:to>
      <xdr:col>23</xdr:col>
      <xdr:colOff>599209</xdr:colOff>
      <xdr:row>24</xdr:row>
      <xdr:rowOff>104775</xdr:rowOff>
    </xdr:to>
    <xdr:graphicFrame macro="">
      <xdr:nvGraphicFramePr>
        <xdr:cNvPr id="2" name="Gráfico 1">
          <a:extLst>
            <a:ext uri="{FF2B5EF4-FFF2-40B4-BE49-F238E27FC236}">
              <a16:creationId xmlns:a16="http://schemas.microsoft.com/office/drawing/2014/main" id="{254C1724-7F51-40EF-8EC1-C66A258363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34373</xdr:colOff>
      <xdr:row>48</xdr:row>
      <xdr:rowOff>59427</xdr:rowOff>
    </xdr:from>
    <xdr:to>
      <xdr:col>23</xdr:col>
      <xdr:colOff>648303</xdr:colOff>
      <xdr:row>61</xdr:row>
      <xdr:rowOff>1034</xdr:rowOff>
    </xdr:to>
    <xdr:graphicFrame macro="">
      <xdr:nvGraphicFramePr>
        <xdr:cNvPr id="4" name="Gráfico 3">
          <a:extLst>
            <a:ext uri="{FF2B5EF4-FFF2-40B4-BE49-F238E27FC236}">
              <a16:creationId xmlns:a16="http://schemas.microsoft.com/office/drawing/2014/main" id="{DF57F06E-A621-4CF0-85FF-052BDD44C9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57149</xdr:colOff>
      <xdr:row>84</xdr:row>
      <xdr:rowOff>42862</xdr:rowOff>
    </xdr:from>
    <xdr:to>
      <xdr:col>24</xdr:col>
      <xdr:colOff>34637</xdr:colOff>
      <xdr:row>98</xdr:row>
      <xdr:rowOff>66675</xdr:rowOff>
    </xdr:to>
    <xdr:graphicFrame macro="">
      <xdr:nvGraphicFramePr>
        <xdr:cNvPr id="7" name="Gráfico 6">
          <a:extLst>
            <a:ext uri="{FF2B5EF4-FFF2-40B4-BE49-F238E27FC236}">
              <a16:creationId xmlns:a16="http://schemas.microsoft.com/office/drawing/2014/main" id="{3AAC553B-841C-44F1-B030-C62405377D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47625</xdr:colOff>
      <xdr:row>120</xdr:row>
      <xdr:rowOff>23812</xdr:rowOff>
    </xdr:from>
    <xdr:to>
      <xdr:col>23</xdr:col>
      <xdr:colOff>692728</xdr:colOff>
      <xdr:row>135</xdr:row>
      <xdr:rowOff>95250</xdr:rowOff>
    </xdr:to>
    <xdr:graphicFrame macro="">
      <xdr:nvGraphicFramePr>
        <xdr:cNvPr id="10" name="Gráfico 9">
          <a:extLst>
            <a:ext uri="{FF2B5EF4-FFF2-40B4-BE49-F238E27FC236}">
              <a16:creationId xmlns:a16="http://schemas.microsoft.com/office/drawing/2014/main" id="{A85AF6C9-090F-4FED-9924-780B0BF65C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19050</xdr:colOff>
      <xdr:row>156</xdr:row>
      <xdr:rowOff>14287</xdr:rowOff>
    </xdr:from>
    <xdr:to>
      <xdr:col>23</xdr:col>
      <xdr:colOff>744682</xdr:colOff>
      <xdr:row>171</xdr:row>
      <xdr:rowOff>38100</xdr:rowOff>
    </xdr:to>
    <xdr:graphicFrame macro="">
      <xdr:nvGraphicFramePr>
        <xdr:cNvPr id="13" name="Gráfico 12">
          <a:extLst>
            <a:ext uri="{FF2B5EF4-FFF2-40B4-BE49-F238E27FC236}">
              <a16:creationId xmlns:a16="http://schemas.microsoft.com/office/drawing/2014/main" id="{F2251CA1-8E58-47F2-B537-32E40D20C4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28574</xdr:colOff>
      <xdr:row>188</xdr:row>
      <xdr:rowOff>4762</xdr:rowOff>
    </xdr:from>
    <xdr:to>
      <xdr:col>23</xdr:col>
      <xdr:colOff>692728</xdr:colOff>
      <xdr:row>200</xdr:row>
      <xdr:rowOff>152400</xdr:rowOff>
    </xdr:to>
    <xdr:graphicFrame macro="">
      <xdr:nvGraphicFramePr>
        <xdr:cNvPr id="17" name="Gráfico 16">
          <a:extLst>
            <a:ext uri="{FF2B5EF4-FFF2-40B4-BE49-F238E27FC236}">
              <a16:creationId xmlns:a16="http://schemas.microsoft.com/office/drawing/2014/main" id="{364BEDAB-FEAB-432D-852F-B8495AD450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247650</xdr:colOff>
      <xdr:row>215</xdr:row>
      <xdr:rowOff>166687</xdr:rowOff>
    </xdr:from>
    <xdr:to>
      <xdr:col>23</xdr:col>
      <xdr:colOff>676275</xdr:colOff>
      <xdr:row>227</xdr:row>
      <xdr:rowOff>152400</xdr:rowOff>
    </xdr:to>
    <xdr:graphicFrame macro="">
      <xdr:nvGraphicFramePr>
        <xdr:cNvPr id="3" name="Gráfico 2">
          <a:extLst>
            <a:ext uri="{FF2B5EF4-FFF2-40B4-BE49-F238E27FC236}">
              <a16:creationId xmlns:a16="http://schemas.microsoft.com/office/drawing/2014/main" id="{2A421A61-5B5E-4EAA-95E4-2C608CD626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348192</xdr:colOff>
      <xdr:row>15</xdr:row>
      <xdr:rowOff>101600</xdr:rowOff>
    </xdr:from>
    <xdr:to>
      <xdr:col>23</xdr:col>
      <xdr:colOff>686859</xdr:colOff>
      <xdr:row>15</xdr:row>
      <xdr:rowOff>133350</xdr:rowOff>
    </xdr:to>
    <xdr:cxnSp macro="">
      <xdr:nvCxnSpPr>
        <xdr:cNvPr id="6" name="Conector recto 5">
          <a:extLst>
            <a:ext uri="{FF2B5EF4-FFF2-40B4-BE49-F238E27FC236}">
              <a16:creationId xmlns:a16="http://schemas.microsoft.com/office/drawing/2014/main" id="{771044F9-EBB2-4A50-8C00-CAE8EBC07E1A}"/>
            </a:ext>
          </a:extLst>
        </xdr:cNvPr>
        <xdr:cNvCxnSpPr/>
      </xdr:nvCxnSpPr>
      <xdr:spPr>
        <a:xfrm flipV="1">
          <a:off x="13006917" y="3321050"/>
          <a:ext cx="6463242" cy="3175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470959</xdr:colOff>
      <xdr:row>7</xdr:row>
      <xdr:rowOff>273050</xdr:rowOff>
    </xdr:from>
    <xdr:to>
      <xdr:col>19</xdr:col>
      <xdr:colOff>483753</xdr:colOff>
      <xdr:row>22</xdr:row>
      <xdr:rowOff>28574</xdr:rowOff>
    </xdr:to>
    <xdr:cxnSp macro="">
      <xdr:nvCxnSpPr>
        <xdr:cNvPr id="9" name="Conector recto 8">
          <a:extLst>
            <a:ext uri="{FF2B5EF4-FFF2-40B4-BE49-F238E27FC236}">
              <a16:creationId xmlns:a16="http://schemas.microsoft.com/office/drawing/2014/main" id="{57933321-BC85-40E9-A613-093B1BA67C65}"/>
            </a:ext>
          </a:extLst>
        </xdr:cNvPr>
        <xdr:cNvCxnSpPr/>
      </xdr:nvCxnSpPr>
      <xdr:spPr>
        <a:xfrm>
          <a:off x="16206259" y="1597025"/>
          <a:ext cx="12794" cy="2917824"/>
        </a:xfrm>
        <a:prstGeom prst="line">
          <a:avLst/>
        </a:prstGeom>
        <a:ln>
          <a:solidFill>
            <a:srgbClr val="CC00CC"/>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1656</xdr:colOff>
      <xdr:row>8</xdr:row>
      <xdr:rowOff>16565</xdr:rowOff>
    </xdr:from>
    <xdr:to>
      <xdr:col>22</xdr:col>
      <xdr:colOff>124240</xdr:colOff>
      <xdr:row>24</xdr:row>
      <xdr:rowOff>124239</xdr:rowOff>
    </xdr:to>
    <xdr:graphicFrame macro="">
      <xdr:nvGraphicFramePr>
        <xdr:cNvPr id="9" name="Gráfico 8">
          <a:extLst>
            <a:ext uri="{FF2B5EF4-FFF2-40B4-BE49-F238E27FC236}">
              <a16:creationId xmlns:a16="http://schemas.microsoft.com/office/drawing/2014/main" id="{BC4BCC50-701C-4A22-B791-8E5EFC6191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298172</xdr:colOff>
      <xdr:row>67</xdr:row>
      <xdr:rowOff>24848</xdr:rowOff>
    </xdr:from>
    <xdr:to>
      <xdr:col>23</xdr:col>
      <xdr:colOff>710046</xdr:colOff>
      <xdr:row>84</xdr:row>
      <xdr:rowOff>140803</xdr:rowOff>
    </xdr:to>
    <xdr:graphicFrame macro="">
      <xdr:nvGraphicFramePr>
        <xdr:cNvPr id="2" name="Gráfico 1">
          <a:extLst>
            <a:ext uri="{FF2B5EF4-FFF2-40B4-BE49-F238E27FC236}">
              <a16:creationId xmlns:a16="http://schemas.microsoft.com/office/drawing/2014/main" id="{A11A87E6-AC2C-49C5-82A5-2672D02706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292571</xdr:colOff>
      <xdr:row>195</xdr:row>
      <xdr:rowOff>17198</xdr:rowOff>
    </xdr:from>
    <xdr:to>
      <xdr:col>24</xdr:col>
      <xdr:colOff>0</xdr:colOff>
      <xdr:row>210</xdr:row>
      <xdr:rowOff>47624</xdr:rowOff>
    </xdr:to>
    <xdr:graphicFrame macro="">
      <xdr:nvGraphicFramePr>
        <xdr:cNvPr id="4" name="Gráfico 3">
          <a:extLst>
            <a:ext uri="{FF2B5EF4-FFF2-40B4-BE49-F238E27FC236}">
              <a16:creationId xmlns:a16="http://schemas.microsoft.com/office/drawing/2014/main" id="{77D91AF2-D99A-4D11-BA3B-C0A86C9C61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33129</xdr:colOff>
      <xdr:row>146</xdr:row>
      <xdr:rowOff>28162</xdr:rowOff>
    </xdr:from>
    <xdr:to>
      <xdr:col>23</xdr:col>
      <xdr:colOff>640773</xdr:colOff>
      <xdr:row>163</xdr:row>
      <xdr:rowOff>17318</xdr:rowOff>
    </xdr:to>
    <xdr:graphicFrame macro="">
      <xdr:nvGraphicFramePr>
        <xdr:cNvPr id="3" name="Gráfico 2">
          <a:extLst>
            <a:ext uri="{FF2B5EF4-FFF2-40B4-BE49-F238E27FC236}">
              <a16:creationId xmlns:a16="http://schemas.microsoft.com/office/drawing/2014/main" id="{14B34D33-EF5A-49F1-AED6-A93AB6170C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19050</xdr:colOff>
      <xdr:row>286</xdr:row>
      <xdr:rowOff>14286</xdr:rowOff>
    </xdr:from>
    <xdr:to>
      <xdr:col>23</xdr:col>
      <xdr:colOff>692727</xdr:colOff>
      <xdr:row>301</xdr:row>
      <xdr:rowOff>23811</xdr:rowOff>
    </xdr:to>
    <xdr:graphicFrame macro="">
      <xdr:nvGraphicFramePr>
        <xdr:cNvPr id="12" name="Gráfico 11">
          <a:extLst>
            <a:ext uri="{FF2B5EF4-FFF2-40B4-BE49-F238E27FC236}">
              <a16:creationId xmlns:a16="http://schemas.microsoft.com/office/drawing/2014/main" id="{6AC63215-5F48-4218-8236-9564E26FEB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104775</xdr:colOff>
      <xdr:row>245</xdr:row>
      <xdr:rowOff>42862</xdr:rowOff>
    </xdr:from>
    <xdr:to>
      <xdr:col>23</xdr:col>
      <xdr:colOff>675409</xdr:colOff>
      <xdr:row>260</xdr:row>
      <xdr:rowOff>95250</xdr:rowOff>
    </xdr:to>
    <xdr:graphicFrame macro="">
      <xdr:nvGraphicFramePr>
        <xdr:cNvPr id="5" name="Gráfico 4">
          <a:extLst>
            <a:ext uri="{FF2B5EF4-FFF2-40B4-BE49-F238E27FC236}">
              <a16:creationId xmlns:a16="http://schemas.microsoft.com/office/drawing/2014/main" id="{E613A0AB-B7EC-4DF5-A610-170E2AA438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44823</xdr:colOff>
      <xdr:row>318</xdr:row>
      <xdr:rowOff>169208</xdr:rowOff>
    </xdr:from>
    <xdr:to>
      <xdr:col>23</xdr:col>
      <xdr:colOff>705970</xdr:colOff>
      <xdr:row>330</xdr:row>
      <xdr:rowOff>78441</xdr:rowOff>
    </xdr:to>
    <xdr:graphicFrame macro="">
      <xdr:nvGraphicFramePr>
        <xdr:cNvPr id="6" name="Gráfico 5">
          <a:extLst>
            <a:ext uri="{FF2B5EF4-FFF2-40B4-BE49-F238E27FC236}">
              <a16:creationId xmlns:a16="http://schemas.microsoft.com/office/drawing/2014/main" id="{BE44C32C-F07E-4D78-AFE3-08EC4137A8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32971</xdr:colOff>
      <xdr:row>7</xdr:row>
      <xdr:rowOff>13188</xdr:rowOff>
    </xdr:from>
    <xdr:to>
      <xdr:col>23</xdr:col>
      <xdr:colOff>754672</xdr:colOff>
      <xdr:row>24</xdr:row>
      <xdr:rowOff>7327</xdr:rowOff>
    </xdr:to>
    <xdr:graphicFrame macro="">
      <xdr:nvGraphicFramePr>
        <xdr:cNvPr id="8" name="Gráfico 7">
          <a:extLst>
            <a:ext uri="{FF2B5EF4-FFF2-40B4-BE49-F238E27FC236}">
              <a16:creationId xmlns:a16="http://schemas.microsoft.com/office/drawing/2014/main" id="{F2EDAE93-035C-4606-9EAA-31FC27307E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292554</xdr:colOff>
      <xdr:row>99</xdr:row>
      <xdr:rowOff>16329</xdr:rowOff>
    </xdr:from>
    <xdr:to>
      <xdr:col>23</xdr:col>
      <xdr:colOff>710046</xdr:colOff>
      <xdr:row>116</xdr:row>
      <xdr:rowOff>152400</xdr:rowOff>
    </xdr:to>
    <xdr:graphicFrame macro="">
      <xdr:nvGraphicFramePr>
        <xdr:cNvPr id="9" name="Gráfico 8">
          <a:extLst>
            <a:ext uri="{FF2B5EF4-FFF2-40B4-BE49-F238E27FC236}">
              <a16:creationId xmlns:a16="http://schemas.microsoft.com/office/drawing/2014/main" id="{1B430084-C6A7-4502-9C3C-3B8B3C7E36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33130</xdr:colOff>
      <xdr:row>148</xdr:row>
      <xdr:rowOff>19877</xdr:rowOff>
    </xdr:from>
    <xdr:to>
      <xdr:col>23</xdr:col>
      <xdr:colOff>744682</xdr:colOff>
      <xdr:row>165</xdr:row>
      <xdr:rowOff>107673</xdr:rowOff>
    </xdr:to>
    <xdr:graphicFrame macro="">
      <xdr:nvGraphicFramePr>
        <xdr:cNvPr id="10" name="Gráfico 9">
          <a:extLst>
            <a:ext uri="{FF2B5EF4-FFF2-40B4-BE49-F238E27FC236}">
              <a16:creationId xmlns:a16="http://schemas.microsoft.com/office/drawing/2014/main" id="{B5CC6F9B-F947-4BE0-8029-ADB7BD1477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298172</xdr:colOff>
      <xdr:row>319</xdr:row>
      <xdr:rowOff>28161</xdr:rowOff>
    </xdr:from>
    <xdr:to>
      <xdr:col>23</xdr:col>
      <xdr:colOff>640772</xdr:colOff>
      <xdr:row>334</xdr:row>
      <xdr:rowOff>82826</xdr:rowOff>
    </xdr:to>
    <xdr:graphicFrame macro="">
      <xdr:nvGraphicFramePr>
        <xdr:cNvPr id="11" name="Gráfico 10">
          <a:extLst>
            <a:ext uri="{FF2B5EF4-FFF2-40B4-BE49-F238E27FC236}">
              <a16:creationId xmlns:a16="http://schemas.microsoft.com/office/drawing/2014/main" id="{55F3CAE8-7A47-4508-AD9C-E9FBB443D6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41412</xdr:colOff>
      <xdr:row>197</xdr:row>
      <xdr:rowOff>11594</xdr:rowOff>
    </xdr:from>
    <xdr:to>
      <xdr:col>23</xdr:col>
      <xdr:colOff>727364</xdr:colOff>
      <xdr:row>212</xdr:row>
      <xdr:rowOff>57977</xdr:rowOff>
    </xdr:to>
    <xdr:graphicFrame macro="">
      <xdr:nvGraphicFramePr>
        <xdr:cNvPr id="13" name="Gráfico 12">
          <a:extLst>
            <a:ext uri="{FF2B5EF4-FFF2-40B4-BE49-F238E27FC236}">
              <a16:creationId xmlns:a16="http://schemas.microsoft.com/office/drawing/2014/main" id="{5F550355-8996-43FC-8D31-20564B54EF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285749</xdr:colOff>
      <xdr:row>278</xdr:row>
      <xdr:rowOff>57150</xdr:rowOff>
    </xdr:from>
    <xdr:to>
      <xdr:col>23</xdr:col>
      <xdr:colOff>739587</xdr:colOff>
      <xdr:row>293</xdr:row>
      <xdr:rowOff>78441</xdr:rowOff>
    </xdr:to>
    <xdr:graphicFrame macro="">
      <xdr:nvGraphicFramePr>
        <xdr:cNvPr id="2" name="Gráfico 1">
          <a:extLst>
            <a:ext uri="{FF2B5EF4-FFF2-40B4-BE49-F238E27FC236}">
              <a16:creationId xmlns:a16="http://schemas.microsoft.com/office/drawing/2014/main" id="{A1DB93D4-82E7-448D-B4FC-572AEDA14A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5601</xdr:colOff>
      <xdr:row>352</xdr:row>
      <xdr:rowOff>34737</xdr:rowOff>
    </xdr:from>
    <xdr:to>
      <xdr:col>23</xdr:col>
      <xdr:colOff>683558</xdr:colOff>
      <xdr:row>363</xdr:row>
      <xdr:rowOff>89647</xdr:rowOff>
    </xdr:to>
    <xdr:graphicFrame macro="">
      <xdr:nvGraphicFramePr>
        <xdr:cNvPr id="3" name="Gráfico 2">
          <a:extLst>
            <a:ext uri="{FF2B5EF4-FFF2-40B4-BE49-F238E27FC236}">
              <a16:creationId xmlns:a16="http://schemas.microsoft.com/office/drawing/2014/main" id="{A7DF6C24-81C7-4C62-9C1C-3D51EE8F78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E4BE9-EC10-41E3-8695-E22C263934D7}">
  <dimension ref="A1:Z234"/>
  <sheetViews>
    <sheetView tabSelected="1" zoomScaleNormal="100" workbookViewId="0"/>
  </sheetViews>
  <sheetFormatPr baseColWidth="10" defaultRowHeight="14.25"/>
  <cols>
    <col min="1" max="1" width="20.28515625" style="2" customWidth="1"/>
    <col min="2" max="2" width="22.7109375" style="2" customWidth="1"/>
    <col min="3" max="3" width="13.28515625" style="2" customWidth="1"/>
    <col min="4" max="4" width="11.85546875" style="2" customWidth="1"/>
    <col min="5" max="9" width="11.42578125" style="2"/>
    <col min="10" max="10" width="11.7109375" style="2" customWidth="1"/>
    <col min="11" max="13" width="11.42578125" style="2"/>
    <col min="14" max="14" width="14" style="3" customWidth="1"/>
    <col min="15" max="15" width="4.5703125" style="2" customWidth="1"/>
    <col min="16" max="16" width="11.42578125" style="2"/>
    <col min="17" max="17" width="11.5703125" style="2" customWidth="1"/>
    <col min="18" max="18" width="11.42578125" style="2"/>
    <col min="19" max="19" width="11.7109375" style="2" customWidth="1"/>
    <col min="20" max="256" width="11.42578125" style="2"/>
    <col min="257" max="257" width="20.28515625" style="2" customWidth="1"/>
    <col min="258" max="259" width="11.42578125" style="2"/>
    <col min="260" max="260" width="11.85546875" style="2" customWidth="1"/>
    <col min="261" max="265" width="11.42578125" style="2"/>
    <col min="266" max="266" width="11.7109375" style="2" customWidth="1"/>
    <col min="267" max="269" width="11.42578125" style="2"/>
    <col min="270" max="270" width="14" style="2" customWidth="1"/>
    <col min="271" max="271" width="4.5703125" style="2" customWidth="1"/>
    <col min="272" max="272" width="11.42578125" style="2"/>
    <col min="273" max="273" width="11.5703125" style="2" customWidth="1"/>
    <col min="274" max="274" width="11.42578125" style="2"/>
    <col min="275" max="275" width="11.7109375" style="2" customWidth="1"/>
    <col min="276" max="512" width="11.42578125" style="2"/>
    <col min="513" max="513" width="20.28515625" style="2" customWidth="1"/>
    <col min="514" max="515" width="11.42578125" style="2"/>
    <col min="516" max="516" width="11.85546875" style="2" customWidth="1"/>
    <col min="517" max="521" width="11.42578125" style="2"/>
    <col min="522" max="522" width="11.7109375" style="2" customWidth="1"/>
    <col min="523" max="525" width="11.42578125" style="2"/>
    <col min="526" max="526" width="14" style="2" customWidth="1"/>
    <col min="527" max="527" width="4.5703125" style="2" customWidth="1"/>
    <col min="528" max="528" width="11.42578125" style="2"/>
    <col min="529" max="529" width="11.5703125" style="2" customWidth="1"/>
    <col min="530" max="530" width="11.42578125" style="2"/>
    <col min="531" max="531" width="11.7109375" style="2" customWidth="1"/>
    <col min="532" max="768" width="11.42578125" style="2"/>
    <col min="769" max="769" width="20.28515625" style="2" customWidth="1"/>
    <col min="770" max="771" width="11.42578125" style="2"/>
    <col min="772" max="772" width="11.85546875" style="2" customWidth="1"/>
    <col min="773" max="777" width="11.42578125" style="2"/>
    <col min="778" max="778" width="11.7109375" style="2" customWidth="1"/>
    <col min="779" max="781" width="11.42578125" style="2"/>
    <col min="782" max="782" width="14" style="2" customWidth="1"/>
    <col min="783" max="783" width="4.5703125" style="2" customWidth="1"/>
    <col min="784" max="784" width="11.42578125" style="2"/>
    <col min="785" max="785" width="11.5703125" style="2" customWidth="1"/>
    <col min="786" max="786" width="11.42578125" style="2"/>
    <col min="787" max="787" width="11.7109375" style="2" customWidth="1"/>
    <col min="788" max="1024" width="11.42578125" style="2"/>
    <col min="1025" max="1025" width="20.28515625" style="2" customWidth="1"/>
    <col min="1026" max="1027" width="11.42578125" style="2"/>
    <col min="1028" max="1028" width="11.85546875" style="2" customWidth="1"/>
    <col min="1029" max="1033" width="11.42578125" style="2"/>
    <col min="1034" max="1034" width="11.7109375" style="2" customWidth="1"/>
    <col min="1035" max="1037" width="11.42578125" style="2"/>
    <col min="1038" max="1038" width="14" style="2" customWidth="1"/>
    <col min="1039" max="1039" width="4.5703125" style="2" customWidth="1"/>
    <col min="1040" max="1040" width="11.42578125" style="2"/>
    <col min="1041" max="1041" width="11.5703125" style="2" customWidth="1"/>
    <col min="1042" max="1042" width="11.42578125" style="2"/>
    <col min="1043" max="1043" width="11.7109375" style="2" customWidth="1"/>
    <col min="1044" max="1280" width="11.42578125" style="2"/>
    <col min="1281" max="1281" width="20.28515625" style="2" customWidth="1"/>
    <col min="1282" max="1283" width="11.42578125" style="2"/>
    <col min="1284" max="1284" width="11.85546875" style="2" customWidth="1"/>
    <col min="1285" max="1289" width="11.42578125" style="2"/>
    <col min="1290" max="1290" width="11.7109375" style="2" customWidth="1"/>
    <col min="1291" max="1293" width="11.42578125" style="2"/>
    <col min="1294" max="1294" width="14" style="2" customWidth="1"/>
    <col min="1295" max="1295" width="4.5703125" style="2" customWidth="1"/>
    <col min="1296" max="1296" width="11.42578125" style="2"/>
    <col min="1297" max="1297" width="11.5703125" style="2" customWidth="1"/>
    <col min="1298" max="1298" width="11.42578125" style="2"/>
    <col min="1299" max="1299" width="11.7109375" style="2" customWidth="1"/>
    <col min="1300" max="1536" width="11.42578125" style="2"/>
    <col min="1537" max="1537" width="20.28515625" style="2" customWidth="1"/>
    <col min="1538" max="1539" width="11.42578125" style="2"/>
    <col min="1540" max="1540" width="11.85546875" style="2" customWidth="1"/>
    <col min="1541" max="1545" width="11.42578125" style="2"/>
    <col min="1546" max="1546" width="11.7109375" style="2" customWidth="1"/>
    <col min="1547" max="1549" width="11.42578125" style="2"/>
    <col min="1550" max="1550" width="14" style="2" customWidth="1"/>
    <col min="1551" max="1551" width="4.5703125" style="2" customWidth="1"/>
    <col min="1552" max="1552" width="11.42578125" style="2"/>
    <col min="1553" max="1553" width="11.5703125" style="2" customWidth="1"/>
    <col min="1554" max="1554" width="11.42578125" style="2"/>
    <col min="1555" max="1555" width="11.7109375" style="2" customWidth="1"/>
    <col min="1556" max="1792" width="11.42578125" style="2"/>
    <col min="1793" max="1793" width="20.28515625" style="2" customWidth="1"/>
    <col min="1794" max="1795" width="11.42578125" style="2"/>
    <col min="1796" max="1796" width="11.85546875" style="2" customWidth="1"/>
    <col min="1797" max="1801" width="11.42578125" style="2"/>
    <col min="1802" max="1802" width="11.7109375" style="2" customWidth="1"/>
    <col min="1803" max="1805" width="11.42578125" style="2"/>
    <col min="1806" max="1806" width="14" style="2" customWidth="1"/>
    <col min="1807" max="1807" width="4.5703125" style="2" customWidth="1"/>
    <col min="1808" max="1808" width="11.42578125" style="2"/>
    <col min="1809" max="1809" width="11.5703125" style="2" customWidth="1"/>
    <col min="1810" max="1810" width="11.42578125" style="2"/>
    <col min="1811" max="1811" width="11.7109375" style="2" customWidth="1"/>
    <col min="1812" max="2048" width="11.42578125" style="2"/>
    <col min="2049" max="2049" width="20.28515625" style="2" customWidth="1"/>
    <col min="2050" max="2051" width="11.42578125" style="2"/>
    <col min="2052" max="2052" width="11.85546875" style="2" customWidth="1"/>
    <col min="2053" max="2057" width="11.42578125" style="2"/>
    <col min="2058" max="2058" width="11.7109375" style="2" customWidth="1"/>
    <col min="2059" max="2061" width="11.42578125" style="2"/>
    <col min="2062" max="2062" width="14" style="2" customWidth="1"/>
    <col min="2063" max="2063" width="4.5703125" style="2" customWidth="1"/>
    <col min="2064" max="2064" width="11.42578125" style="2"/>
    <col min="2065" max="2065" width="11.5703125" style="2" customWidth="1"/>
    <col min="2066" max="2066" width="11.42578125" style="2"/>
    <col min="2067" max="2067" width="11.7109375" style="2" customWidth="1"/>
    <col min="2068" max="2304" width="11.42578125" style="2"/>
    <col min="2305" max="2305" width="20.28515625" style="2" customWidth="1"/>
    <col min="2306" max="2307" width="11.42578125" style="2"/>
    <col min="2308" max="2308" width="11.85546875" style="2" customWidth="1"/>
    <col min="2309" max="2313" width="11.42578125" style="2"/>
    <col min="2314" max="2314" width="11.7109375" style="2" customWidth="1"/>
    <col min="2315" max="2317" width="11.42578125" style="2"/>
    <col min="2318" max="2318" width="14" style="2" customWidth="1"/>
    <col min="2319" max="2319" width="4.5703125" style="2" customWidth="1"/>
    <col min="2320" max="2320" width="11.42578125" style="2"/>
    <col min="2321" max="2321" width="11.5703125" style="2" customWidth="1"/>
    <col min="2322" max="2322" width="11.42578125" style="2"/>
    <col min="2323" max="2323" width="11.7109375" style="2" customWidth="1"/>
    <col min="2324" max="2560" width="11.42578125" style="2"/>
    <col min="2561" max="2561" width="20.28515625" style="2" customWidth="1"/>
    <col min="2562" max="2563" width="11.42578125" style="2"/>
    <col min="2564" max="2564" width="11.85546875" style="2" customWidth="1"/>
    <col min="2565" max="2569" width="11.42578125" style="2"/>
    <col min="2570" max="2570" width="11.7109375" style="2" customWidth="1"/>
    <col min="2571" max="2573" width="11.42578125" style="2"/>
    <col min="2574" max="2574" width="14" style="2" customWidth="1"/>
    <col min="2575" max="2575" width="4.5703125" style="2" customWidth="1"/>
    <col min="2576" max="2576" width="11.42578125" style="2"/>
    <col min="2577" max="2577" width="11.5703125" style="2" customWidth="1"/>
    <col min="2578" max="2578" width="11.42578125" style="2"/>
    <col min="2579" max="2579" width="11.7109375" style="2" customWidth="1"/>
    <col min="2580" max="2816" width="11.42578125" style="2"/>
    <col min="2817" max="2817" width="20.28515625" style="2" customWidth="1"/>
    <col min="2818" max="2819" width="11.42578125" style="2"/>
    <col min="2820" max="2820" width="11.85546875" style="2" customWidth="1"/>
    <col min="2821" max="2825" width="11.42578125" style="2"/>
    <col min="2826" max="2826" width="11.7109375" style="2" customWidth="1"/>
    <col min="2827" max="2829" width="11.42578125" style="2"/>
    <col min="2830" max="2830" width="14" style="2" customWidth="1"/>
    <col min="2831" max="2831" width="4.5703125" style="2" customWidth="1"/>
    <col min="2832" max="2832" width="11.42578125" style="2"/>
    <col min="2833" max="2833" width="11.5703125" style="2" customWidth="1"/>
    <col min="2834" max="2834" width="11.42578125" style="2"/>
    <col min="2835" max="2835" width="11.7109375" style="2" customWidth="1"/>
    <col min="2836" max="3072" width="11.42578125" style="2"/>
    <col min="3073" max="3073" width="20.28515625" style="2" customWidth="1"/>
    <col min="3074" max="3075" width="11.42578125" style="2"/>
    <col min="3076" max="3076" width="11.85546875" style="2" customWidth="1"/>
    <col min="3077" max="3081" width="11.42578125" style="2"/>
    <col min="3082" max="3082" width="11.7109375" style="2" customWidth="1"/>
    <col min="3083" max="3085" width="11.42578125" style="2"/>
    <col min="3086" max="3086" width="14" style="2" customWidth="1"/>
    <col min="3087" max="3087" width="4.5703125" style="2" customWidth="1"/>
    <col min="3088" max="3088" width="11.42578125" style="2"/>
    <col min="3089" max="3089" width="11.5703125" style="2" customWidth="1"/>
    <col min="3090" max="3090" width="11.42578125" style="2"/>
    <col min="3091" max="3091" width="11.7109375" style="2" customWidth="1"/>
    <col min="3092" max="3328" width="11.42578125" style="2"/>
    <col min="3329" max="3329" width="20.28515625" style="2" customWidth="1"/>
    <col min="3330" max="3331" width="11.42578125" style="2"/>
    <col min="3332" max="3332" width="11.85546875" style="2" customWidth="1"/>
    <col min="3333" max="3337" width="11.42578125" style="2"/>
    <col min="3338" max="3338" width="11.7109375" style="2" customWidth="1"/>
    <col min="3339" max="3341" width="11.42578125" style="2"/>
    <col min="3342" max="3342" width="14" style="2" customWidth="1"/>
    <col min="3343" max="3343" width="4.5703125" style="2" customWidth="1"/>
    <col min="3344" max="3344" width="11.42578125" style="2"/>
    <col min="3345" max="3345" width="11.5703125" style="2" customWidth="1"/>
    <col min="3346" max="3346" width="11.42578125" style="2"/>
    <col min="3347" max="3347" width="11.7109375" style="2" customWidth="1"/>
    <col min="3348" max="3584" width="11.42578125" style="2"/>
    <col min="3585" max="3585" width="20.28515625" style="2" customWidth="1"/>
    <col min="3586" max="3587" width="11.42578125" style="2"/>
    <col min="3588" max="3588" width="11.85546875" style="2" customWidth="1"/>
    <col min="3589" max="3593" width="11.42578125" style="2"/>
    <col min="3594" max="3594" width="11.7109375" style="2" customWidth="1"/>
    <col min="3595" max="3597" width="11.42578125" style="2"/>
    <col min="3598" max="3598" width="14" style="2" customWidth="1"/>
    <col min="3599" max="3599" width="4.5703125" style="2" customWidth="1"/>
    <col min="3600" max="3600" width="11.42578125" style="2"/>
    <col min="3601" max="3601" width="11.5703125" style="2" customWidth="1"/>
    <col min="3602" max="3602" width="11.42578125" style="2"/>
    <col min="3603" max="3603" width="11.7109375" style="2" customWidth="1"/>
    <col min="3604" max="3840" width="11.42578125" style="2"/>
    <col min="3841" max="3841" width="20.28515625" style="2" customWidth="1"/>
    <col min="3842" max="3843" width="11.42578125" style="2"/>
    <col min="3844" max="3844" width="11.85546875" style="2" customWidth="1"/>
    <col min="3845" max="3849" width="11.42578125" style="2"/>
    <col min="3850" max="3850" width="11.7109375" style="2" customWidth="1"/>
    <col min="3851" max="3853" width="11.42578125" style="2"/>
    <col min="3854" max="3854" width="14" style="2" customWidth="1"/>
    <col min="3855" max="3855" width="4.5703125" style="2" customWidth="1"/>
    <col min="3856" max="3856" width="11.42578125" style="2"/>
    <col min="3857" max="3857" width="11.5703125" style="2" customWidth="1"/>
    <col min="3858" max="3858" width="11.42578125" style="2"/>
    <col min="3859" max="3859" width="11.7109375" style="2" customWidth="1"/>
    <col min="3860" max="4096" width="11.42578125" style="2"/>
    <col min="4097" max="4097" width="20.28515625" style="2" customWidth="1"/>
    <col min="4098" max="4099" width="11.42578125" style="2"/>
    <col min="4100" max="4100" width="11.85546875" style="2" customWidth="1"/>
    <col min="4101" max="4105" width="11.42578125" style="2"/>
    <col min="4106" max="4106" width="11.7109375" style="2" customWidth="1"/>
    <col min="4107" max="4109" width="11.42578125" style="2"/>
    <col min="4110" max="4110" width="14" style="2" customWidth="1"/>
    <col min="4111" max="4111" width="4.5703125" style="2" customWidth="1"/>
    <col min="4112" max="4112" width="11.42578125" style="2"/>
    <col min="4113" max="4113" width="11.5703125" style="2" customWidth="1"/>
    <col min="4114" max="4114" width="11.42578125" style="2"/>
    <col min="4115" max="4115" width="11.7109375" style="2" customWidth="1"/>
    <col min="4116" max="4352" width="11.42578125" style="2"/>
    <col min="4353" max="4353" width="20.28515625" style="2" customWidth="1"/>
    <col min="4354" max="4355" width="11.42578125" style="2"/>
    <col min="4356" max="4356" width="11.85546875" style="2" customWidth="1"/>
    <col min="4357" max="4361" width="11.42578125" style="2"/>
    <col min="4362" max="4362" width="11.7109375" style="2" customWidth="1"/>
    <col min="4363" max="4365" width="11.42578125" style="2"/>
    <col min="4366" max="4366" width="14" style="2" customWidth="1"/>
    <col min="4367" max="4367" width="4.5703125" style="2" customWidth="1"/>
    <col min="4368" max="4368" width="11.42578125" style="2"/>
    <col min="4369" max="4369" width="11.5703125" style="2" customWidth="1"/>
    <col min="4370" max="4370" width="11.42578125" style="2"/>
    <col min="4371" max="4371" width="11.7109375" style="2" customWidth="1"/>
    <col min="4372" max="4608" width="11.42578125" style="2"/>
    <col min="4609" max="4609" width="20.28515625" style="2" customWidth="1"/>
    <col min="4610" max="4611" width="11.42578125" style="2"/>
    <col min="4612" max="4612" width="11.85546875" style="2" customWidth="1"/>
    <col min="4613" max="4617" width="11.42578125" style="2"/>
    <col min="4618" max="4618" width="11.7109375" style="2" customWidth="1"/>
    <col min="4619" max="4621" width="11.42578125" style="2"/>
    <col min="4622" max="4622" width="14" style="2" customWidth="1"/>
    <col min="4623" max="4623" width="4.5703125" style="2" customWidth="1"/>
    <col min="4624" max="4624" width="11.42578125" style="2"/>
    <col min="4625" max="4625" width="11.5703125" style="2" customWidth="1"/>
    <col min="4626" max="4626" width="11.42578125" style="2"/>
    <col min="4627" max="4627" width="11.7109375" style="2" customWidth="1"/>
    <col min="4628" max="4864" width="11.42578125" style="2"/>
    <col min="4865" max="4865" width="20.28515625" style="2" customWidth="1"/>
    <col min="4866" max="4867" width="11.42578125" style="2"/>
    <col min="4868" max="4868" width="11.85546875" style="2" customWidth="1"/>
    <col min="4869" max="4873" width="11.42578125" style="2"/>
    <col min="4874" max="4874" width="11.7109375" style="2" customWidth="1"/>
    <col min="4875" max="4877" width="11.42578125" style="2"/>
    <col min="4878" max="4878" width="14" style="2" customWidth="1"/>
    <col min="4879" max="4879" width="4.5703125" style="2" customWidth="1"/>
    <col min="4880" max="4880" width="11.42578125" style="2"/>
    <col min="4881" max="4881" width="11.5703125" style="2" customWidth="1"/>
    <col min="4882" max="4882" width="11.42578125" style="2"/>
    <col min="4883" max="4883" width="11.7109375" style="2" customWidth="1"/>
    <col min="4884" max="5120" width="11.42578125" style="2"/>
    <col min="5121" max="5121" width="20.28515625" style="2" customWidth="1"/>
    <col min="5122" max="5123" width="11.42578125" style="2"/>
    <col min="5124" max="5124" width="11.85546875" style="2" customWidth="1"/>
    <col min="5125" max="5129" width="11.42578125" style="2"/>
    <col min="5130" max="5130" width="11.7109375" style="2" customWidth="1"/>
    <col min="5131" max="5133" width="11.42578125" style="2"/>
    <col min="5134" max="5134" width="14" style="2" customWidth="1"/>
    <col min="5135" max="5135" width="4.5703125" style="2" customWidth="1"/>
    <col min="5136" max="5136" width="11.42578125" style="2"/>
    <col min="5137" max="5137" width="11.5703125" style="2" customWidth="1"/>
    <col min="5138" max="5138" width="11.42578125" style="2"/>
    <col min="5139" max="5139" width="11.7109375" style="2" customWidth="1"/>
    <col min="5140" max="5376" width="11.42578125" style="2"/>
    <col min="5377" max="5377" width="20.28515625" style="2" customWidth="1"/>
    <col min="5378" max="5379" width="11.42578125" style="2"/>
    <col min="5380" max="5380" width="11.85546875" style="2" customWidth="1"/>
    <col min="5381" max="5385" width="11.42578125" style="2"/>
    <col min="5386" max="5386" width="11.7109375" style="2" customWidth="1"/>
    <col min="5387" max="5389" width="11.42578125" style="2"/>
    <col min="5390" max="5390" width="14" style="2" customWidth="1"/>
    <col min="5391" max="5391" width="4.5703125" style="2" customWidth="1"/>
    <col min="5392" max="5392" width="11.42578125" style="2"/>
    <col min="5393" max="5393" width="11.5703125" style="2" customWidth="1"/>
    <col min="5394" max="5394" width="11.42578125" style="2"/>
    <col min="5395" max="5395" width="11.7109375" style="2" customWidth="1"/>
    <col min="5396" max="5632" width="11.42578125" style="2"/>
    <col min="5633" max="5633" width="20.28515625" style="2" customWidth="1"/>
    <col min="5634" max="5635" width="11.42578125" style="2"/>
    <col min="5636" max="5636" width="11.85546875" style="2" customWidth="1"/>
    <col min="5637" max="5641" width="11.42578125" style="2"/>
    <col min="5642" max="5642" width="11.7109375" style="2" customWidth="1"/>
    <col min="5643" max="5645" width="11.42578125" style="2"/>
    <col min="5646" max="5646" width="14" style="2" customWidth="1"/>
    <col min="5647" max="5647" width="4.5703125" style="2" customWidth="1"/>
    <col min="5648" max="5648" width="11.42578125" style="2"/>
    <col min="5649" max="5649" width="11.5703125" style="2" customWidth="1"/>
    <col min="5650" max="5650" width="11.42578125" style="2"/>
    <col min="5651" max="5651" width="11.7109375" style="2" customWidth="1"/>
    <col min="5652" max="5888" width="11.42578125" style="2"/>
    <col min="5889" max="5889" width="20.28515625" style="2" customWidth="1"/>
    <col min="5890" max="5891" width="11.42578125" style="2"/>
    <col min="5892" max="5892" width="11.85546875" style="2" customWidth="1"/>
    <col min="5893" max="5897" width="11.42578125" style="2"/>
    <col min="5898" max="5898" width="11.7109375" style="2" customWidth="1"/>
    <col min="5899" max="5901" width="11.42578125" style="2"/>
    <col min="5902" max="5902" width="14" style="2" customWidth="1"/>
    <col min="5903" max="5903" width="4.5703125" style="2" customWidth="1"/>
    <col min="5904" max="5904" width="11.42578125" style="2"/>
    <col min="5905" max="5905" width="11.5703125" style="2" customWidth="1"/>
    <col min="5906" max="5906" width="11.42578125" style="2"/>
    <col min="5907" max="5907" width="11.7109375" style="2" customWidth="1"/>
    <col min="5908" max="6144" width="11.42578125" style="2"/>
    <col min="6145" max="6145" width="20.28515625" style="2" customWidth="1"/>
    <col min="6146" max="6147" width="11.42578125" style="2"/>
    <col min="6148" max="6148" width="11.85546875" style="2" customWidth="1"/>
    <col min="6149" max="6153" width="11.42578125" style="2"/>
    <col min="6154" max="6154" width="11.7109375" style="2" customWidth="1"/>
    <col min="6155" max="6157" width="11.42578125" style="2"/>
    <col min="6158" max="6158" width="14" style="2" customWidth="1"/>
    <col min="6159" max="6159" width="4.5703125" style="2" customWidth="1"/>
    <col min="6160" max="6160" width="11.42578125" style="2"/>
    <col min="6161" max="6161" width="11.5703125" style="2" customWidth="1"/>
    <col min="6162" max="6162" width="11.42578125" style="2"/>
    <col min="6163" max="6163" width="11.7109375" style="2" customWidth="1"/>
    <col min="6164" max="6400" width="11.42578125" style="2"/>
    <col min="6401" max="6401" width="20.28515625" style="2" customWidth="1"/>
    <col min="6402" max="6403" width="11.42578125" style="2"/>
    <col min="6404" max="6404" width="11.85546875" style="2" customWidth="1"/>
    <col min="6405" max="6409" width="11.42578125" style="2"/>
    <col min="6410" max="6410" width="11.7109375" style="2" customWidth="1"/>
    <col min="6411" max="6413" width="11.42578125" style="2"/>
    <col min="6414" max="6414" width="14" style="2" customWidth="1"/>
    <col min="6415" max="6415" width="4.5703125" style="2" customWidth="1"/>
    <col min="6416" max="6416" width="11.42578125" style="2"/>
    <col min="6417" max="6417" width="11.5703125" style="2" customWidth="1"/>
    <col min="6418" max="6418" width="11.42578125" style="2"/>
    <col min="6419" max="6419" width="11.7109375" style="2" customWidth="1"/>
    <col min="6420" max="6656" width="11.42578125" style="2"/>
    <col min="6657" max="6657" width="20.28515625" style="2" customWidth="1"/>
    <col min="6658" max="6659" width="11.42578125" style="2"/>
    <col min="6660" max="6660" width="11.85546875" style="2" customWidth="1"/>
    <col min="6661" max="6665" width="11.42578125" style="2"/>
    <col min="6666" max="6666" width="11.7109375" style="2" customWidth="1"/>
    <col min="6667" max="6669" width="11.42578125" style="2"/>
    <col min="6670" max="6670" width="14" style="2" customWidth="1"/>
    <col min="6671" max="6671" width="4.5703125" style="2" customWidth="1"/>
    <col min="6672" max="6672" width="11.42578125" style="2"/>
    <col min="6673" max="6673" width="11.5703125" style="2" customWidth="1"/>
    <col min="6674" max="6674" width="11.42578125" style="2"/>
    <col min="6675" max="6675" width="11.7109375" style="2" customWidth="1"/>
    <col min="6676" max="6912" width="11.42578125" style="2"/>
    <col min="6913" max="6913" width="20.28515625" style="2" customWidth="1"/>
    <col min="6914" max="6915" width="11.42578125" style="2"/>
    <col min="6916" max="6916" width="11.85546875" style="2" customWidth="1"/>
    <col min="6917" max="6921" width="11.42578125" style="2"/>
    <col min="6922" max="6922" width="11.7109375" style="2" customWidth="1"/>
    <col min="6923" max="6925" width="11.42578125" style="2"/>
    <col min="6926" max="6926" width="14" style="2" customWidth="1"/>
    <col min="6927" max="6927" width="4.5703125" style="2" customWidth="1"/>
    <col min="6928" max="6928" width="11.42578125" style="2"/>
    <col min="6929" max="6929" width="11.5703125" style="2" customWidth="1"/>
    <col min="6930" max="6930" width="11.42578125" style="2"/>
    <col min="6931" max="6931" width="11.7109375" style="2" customWidth="1"/>
    <col min="6932" max="7168" width="11.42578125" style="2"/>
    <col min="7169" max="7169" width="20.28515625" style="2" customWidth="1"/>
    <col min="7170" max="7171" width="11.42578125" style="2"/>
    <col min="7172" max="7172" width="11.85546875" style="2" customWidth="1"/>
    <col min="7173" max="7177" width="11.42578125" style="2"/>
    <col min="7178" max="7178" width="11.7109375" style="2" customWidth="1"/>
    <col min="7179" max="7181" width="11.42578125" style="2"/>
    <col min="7182" max="7182" width="14" style="2" customWidth="1"/>
    <col min="7183" max="7183" width="4.5703125" style="2" customWidth="1"/>
    <col min="7184" max="7184" width="11.42578125" style="2"/>
    <col min="7185" max="7185" width="11.5703125" style="2" customWidth="1"/>
    <col min="7186" max="7186" width="11.42578125" style="2"/>
    <col min="7187" max="7187" width="11.7109375" style="2" customWidth="1"/>
    <col min="7188" max="7424" width="11.42578125" style="2"/>
    <col min="7425" max="7425" width="20.28515625" style="2" customWidth="1"/>
    <col min="7426" max="7427" width="11.42578125" style="2"/>
    <col min="7428" max="7428" width="11.85546875" style="2" customWidth="1"/>
    <col min="7429" max="7433" width="11.42578125" style="2"/>
    <col min="7434" max="7434" width="11.7109375" style="2" customWidth="1"/>
    <col min="7435" max="7437" width="11.42578125" style="2"/>
    <col min="7438" max="7438" width="14" style="2" customWidth="1"/>
    <col min="7439" max="7439" width="4.5703125" style="2" customWidth="1"/>
    <col min="7440" max="7440" width="11.42578125" style="2"/>
    <col min="7441" max="7441" width="11.5703125" style="2" customWidth="1"/>
    <col min="7442" max="7442" width="11.42578125" style="2"/>
    <col min="7443" max="7443" width="11.7109375" style="2" customWidth="1"/>
    <col min="7444" max="7680" width="11.42578125" style="2"/>
    <col min="7681" max="7681" width="20.28515625" style="2" customWidth="1"/>
    <col min="7682" max="7683" width="11.42578125" style="2"/>
    <col min="7684" max="7684" width="11.85546875" style="2" customWidth="1"/>
    <col min="7685" max="7689" width="11.42578125" style="2"/>
    <col min="7690" max="7690" width="11.7109375" style="2" customWidth="1"/>
    <col min="7691" max="7693" width="11.42578125" style="2"/>
    <col min="7694" max="7694" width="14" style="2" customWidth="1"/>
    <col min="7695" max="7695" width="4.5703125" style="2" customWidth="1"/>
    <col min="7696" max="7696" width="11.42578125" style="2"/>
    <col min="7697" max="7697" width="11.5703125" style="2" customWidth="1"/>
    <col min="7698" max="7698" width="11.42578125" style="2"/>
    <col min="7699" max="7699" width="11.7109375" style="2" customWidth="1"/>
    <col min="7700" max="7936" width="11.42578125" style="2"/>
    <col min="7937" max="7937" width="20.28515625" style="2" customWidth="1"/>
    <col min="7938" max="7939" width="11.42578125" style="2"/>
    <col min="7940" max="7940" width="11.85546875" style="2" customWidth="1"/>
    <col min="7941" max="7945" width="11.42578125" style="2"/>
    <col min="7946" max="7946" width="11.7109375" style="2" customWidth="1"/>
    <col min="7947" max="7949" width="11.42578125" style="2"/>
    <col min="7950" max="7950" width="14" style="2" customWidth="1"/>
    <col min="7951" max="7951" width="4.5703125" style="2" customWidth="1"/>
    <col min="7952" max="7952" width="11.42578125" style="2"/>
    <col min="7953" max="7953" width="11.5703125" style="2" customWidth="1"/>
    <col min="7954" max="7954" width="11.42578125" style="2"/>
    <col min="7955" max="7955" width="11.7109375" style="2" customWidth="1"/>
    <col min="7956" max="8192" width="11.42578125" style="2"/>
    <col min="8193" max="8193" width="20.28515625" style="2" customWidth="1"/>
    <col min="8194" max="8195" width="11.42578125" style="2"/>
    <col min="8196" max="8196" width="11.85546875" style="2" customWidth="1"/>
    <col min="8197" max="8201" width="11.42578125" style="2"/>
    <col min="8202" max="8202" width="11.7109375" style="2" customWidth="1"/>
    <col min="8203" max="8205" width="11.42578125" style="2"/>
    <col min="8206" max="8206" width="14" style="2" customWidth="1"/>
    <col min="8207" max="8207" width="4.5703125" style="2" customWidth="1"/>
    <col min="8208" max="8208" width="11.42578125" style="2"/>
    <col min="8209" max="8209" width="11.5703125" style="2" customWidth="1"/>
    <col min="8210" max="8210" width="11.42578125" style="2"/>
    <col min="8211" max="8211" width="11.7109375" style="2" customWidth="1"/>
    <col min="8212" max="8448" width="11.42578125" style="2"/>
    <col min="8449" max="8449" width="20.28515625" style="2" customWidth="1"/>
    <col min="8450" max="8451" width="11.42578125" style="2"/>
    <col min="8452" max="8452" width="11.85546875" style="2" customWidth="1"/>
    <col min="8453" max="8457" width="11.42578125" style="2"/>
    <col min="8458" max="8458" width="11.7109375" style="2" customWidth="1"/>
    <col min="8459" max="8461" width="11.42578125" style="2"/>
    <col min="8462" max="8462" width="14" style="2" customWidth="1"/>
    <col min="8463" max="8463" width="4.5703125" style="2" customWidth="1"/>
    <col min="8464" max="8464" width="11.42578125" style="2"/>
    <col min="8465" max="8465" width="11.5703125" style="2" customWidth="1"/>
    <col min="8466" max="8466" width="11.42578125" style="2"/>
    <col min="8467" max="8467" width="11.7109375" style="2" customWidth="1"/>
    <col min="8468" max="8704" width="11.42578125" style="2"/>
    <col min="8705" max="8705" width="20.28515625" style="2" customWidth="1"/>
    <col min="8706" max="8707" width="11.42578125" style="2"/>
    <col min="8708" max="8708" width="11.85546875" style="2" customWidth="1"/>
    <col min="8709" max="8713" width="11.42578125" style="2"/>
    <col min="8714" max="8714" width="11.7109375" style="2" customWidth="1"/>
    <col min="8715" max="8717" width="11.42578125" style="2"/>
    <col min="8718" max="8718" width="14" style="2" customWidth="1"/>
    <col min="8719" max="8719" width="4.5703125" style="2" customWidth="1"/>
    <col min="8720" max="8720" width="11.42578125" style="2"/>
    <col min="8721" max="8721" width="11.5703125" style="2" customWidth="1"/>
    <col min="8722" max="8722" width="11.42578125" style="2"/>
    <col min="8723" max="8723" width="11.7109375" style="2" customWidth="1"/>
    <col min="8724" max="8960" width="11.42578125" style="2"/>
    <col min="8961" max="8961" width="20.28515625" style="2" customWidth="1"/>
    <col min="8962" max="8963" width="11.42578125" style="2"/>
    <col min="8964" max="8964" width="11.85546875" style="2" customWidth="1"/>
    <col min="8965" max="8969" width="11.42578125" style="2"/>
    <col min="8970" max="8970" width="11.7109375" style="2" customWidth="1"/>
    <col min="8971" max="8973" width="11.42578125" style="2"/>
    <col min="8974" max="8974" width="14" style="2" customWidth="1"/>
    <col min="8975" max="8975" width="4.5703125" style="2" customWidth="1"/>
    <col min="8976" max="8976" width="11.42578125" style="2"/>
    <col min="8977" max="8977" width="11.5703125" style="2" customWidth="1"/>
    <col min="8978" max="8978" width="11.42578125" style="2"/>
    <col min="8979" max="8979" width="11.7109375" style="2" customWidth="1"/>
    <col min="8980" max="9216" width="11.42578125" style="2"/>
    <col min="9217" max="9217" width="20.28515625" style="2" customWidth="1"/>
    <col min="9218" max="9219" width="11.42578125" style="2"/>
    <col min="9220" max="9220" width="11.85546875" style="2" customWidth="1"/>
    <col min="9221" max="9225" width="11.42578125" style="2"/>
    <col min="9226" max="9226" width="11.7109375" style="2" customWidth="1"/>
    <col min="9227" max="9229" width="11.42578125" style="2"/>
    <col min="9230" max="9230" width="14" style="2" customWidth="1"/>
    <col min="9231" max="9231" width="4.5703125" style="2" customWidth="1"/>
    <col min="9232" max="9232" width="11.42578125" style="2"/>
    <col min="9233" max="9233" width="11.5703125" style="2" customWidth="1"/>
    <col min="9234" max="9234" width="11.42578125" style="2"/>
    <col min="9235" max="9235" width="11.7109375" style="2" customWidth="1"/>
    <col min="9236" max="9472" width="11.42578125" style="2"/>
    <col min="9473" max="9473" width="20.28515625" style="2" customWidth="1"/>
    <col min="9474" max="9475" width="11.42578125" style="2"/>
    <col min="9476" max="9476" width="11.85546875" style="2" customWidth="1"/>
    <col min="9477" max="9481" width="11.42578125" style="2"/>
    <col min="9482" max="9482" width="11.7109375" style="2" customWidth="1"/>
    <col min="9483" max="9485" width="11.42578125" style="2"/>
    <col min="9486" max="9486" width="14" style="2" customWidth="1"/>
    <col min="9487" max="9487" width="4.5703125" style="2" customWidth="1"/>
    <col min="9488" max="9488" width="11.42578125" style="2"/>
    <col min="9489" max="9489" width="11.5703125" style="2" customWidth="1"/>
    <col min="9490" max="9490" width="11.42578125" style="2"/>
    <col min="9491" max="9491" width="11.7109375" style="2" customWidth="1"/>
    <col min="9492" max="9728" width="11.42578125" style="2"/>
    <col min="9729" max="9729" width="20.28515625" style="2" customWidth="1"/>
    <col min="9730" max="9731" width="11.42578125" style="2"/>
    <col min="9732" max="9732" width="11.85546875" style="2" customWidth="1"/>
    <col min="9733" max="9737" width="11.42578125" style="2"/>
    <col min="9738" max="9738" width="11.7109375" style="2" customWidth="1"/>
    <col min="9739" max="9741" width="11.42578125" style="2"/>
    <col min="9742" max="9742" width="14" style="2" customWidth="1"/>
    <col min="9743" max="9743" width="4.5703125" style="2" customWidth="1"/>
    <col min="9744" max="9744" width="11.42578125" style="2"/>
    <col min="9745" max="9745" width="11.5703125" style="2" customWidth="1"/>
    <col min="9746" max="9746" width="11.42578125" style="2"/>
    <col min="9747" max="9747" width="11.7109375" style="2" customWidth="1"/>
    <col min="9748" max="9984" width="11.42578125" style="2"/>
    <col min="9985" max="9985" width="20.28515625" style="2" customWidth="1"/>
    <col min="9986" max="9987" width="11.42578125" style="2"/>
    <col min="9988" max="9988" width="11.85546875" style="2" customWidth="1"/>
    <col min="9989" max="9993" width="11.42578125" style="2"/>
    <col min="9994" max="9994" width="11.7109375" style="2" customWidth="1"/>
    <col min="9995" max="9997" width="11.42578125" style="2"/>
    <col min="9998" max="9998" width="14" style="2" customWidth="1"/>
    <col min="9999" max="9999" width="4.5703125" style="2" customWidth="1"/>
    <col min="10000" max="10000" width="11.42578125" style="2"/>
    <col min="10001" max="10001" width="11.5703125" style="2" customWidth="1"/>
    <col min="10002" max="10002" width="11.42578125" style="2"/>
    <col min="10003" max="10003" width="11.7109375" style="2" customWidth="1"/>
    <col min="10004" max="10240" width="11.42578125" style="2"/>
    <col min="10241" max="10241" width="20.28515625" style="2" customWidth="1"/>
    <col min="10242" max="10243" width="11.42578125" style="2"/>
    <col min="10244" max="10244" width="11.85546875" style="2" customWidth="1"/>
    <col min="10245" max="10249" width="11.42578125" style="2"/>
    <col min="10250" max="10250" width="11.7109375" style="2" customWidth="1"/>
    <col min="10251" max="10253" width="11.42578125" style="2"/>
    <col min="10254" max="10254" width="14" style="2" customWidth="1"/>
    <col min="10255" max="10255" width="4.5703125" style="2" customWidth="1"/>
    <col min="10256" max="10256" width="11.42578125" style="2"/>
    <col min="10257" max="10257" width="11.5703125" style="2" customWidth="1"/>
    <col min="10258" max="10258" width="11.42578125" style="2"/>
    <col min="10259" max="10259" width="11.7109375" style="2" customWidth="1"/>
    <col min="10260" max="10496" width="11.42578125" style="2"/>
    <col min="10497" max="10497" width="20.28515625" style="2" customWidth="1"/>
    <col min="10498" max="10499" width="11.42578125" style="2"/>
    <col min="10500" max="10500" width="11.85546875" style="2" customWidth="1"/>
    <col min="10501" max="10505" width="11.42578125" style="2"/>
    <col min="10506" max="10506" width="11.7109375" style="2" customWidth="1"/>
    <col min="10507" max="10509" width="11.42578125" style="2"/>
    <col min="10510" max="10510" width="14" style="2" customWidth="1"/>
    <col min="10511" max="10511" width="4.5703125" style="2" customWidth="1"/>
    <col min="10512" max="10512" width="11.42578125" style="2"/>
    <col min="10513" max="10513" width="11.5703125" style="2" customWidth="1"/>
    <col min="10514" max="10514" width="11.42578125" style="2"/>
    <col min="10515" max="10515" width="11.7109375" style="2" customWidth="1"/>
    <col min="10516" max="10752" width="11.42578125" style="2"/>
    <col min="10753" max="10753" width="20.28515625" style="2" customWidth="1"/>
    <col min="10754" max="10755" width="11.42578125" style="2"/>
    <col min="10756" max="10756" width="11.85546875" style="2" customWidth="1"/>
    <col min="10757" max="10761" width="11.42578125" style="2"/>
    <col min="10762" max="10762" width="11.7109375" style="2" customWidth="1"/>
    <col min="10763" max="10765" width="11.42578125" style="2"/>
    <col min="10766" max="10766" width="14" style="2" customWidth="1"/>
    <col min="10767" max="10767" width="4.5703125" style="2" customWidth="1"/>
    <col min="10768" max="10768" width="11.42578125" style="2"/>
    <col min="10769" max="10769" width="11.5703125" style="2" customWidth="1"/>
    <col min="10770" max="10770" width="11.42578125" style="2"/>
    <col min="10771" max="10771" width="11.7109375" style="2" customWidth="1"/>
    <col min="10772" max="11008" width="11.42578125" style="2"/>
    <col min="11009" max="11009" width="20.28515625" style="2" customWidth="1"/>
    <col min="11010" max="11011" width="11.42578125" style="2"/>
    <col min="11012" max="11012" width="11.85546875" style="2" customWidth="1"/>
    <col min="11013" max="11017" width="11.42578125" style="2"/>
    <col min="11018" max="11018" width="11.7109375" style="2" customWidth="1"/>
    <col min="11019" max="11021" width="11.42578125" style="2"/>
    <col min="11022" max="11022" width="14" style="2" customWidth="1"/>
    <col min="11023" max="11023" width="4.5703125" style="2" customWidth="1"/>
    <col min="11024" max="11024" width="11.42578125" style="2"/>
    <col min="11025" max="11025" width="11.5703125" style="2" customWidth="1"/>
    <col min="11026" max="11026" width="11.42578125" style="2"/>
    <col min="11027" max="11027" width="11.7109375" style="2" customWidth="1"/>
    <col min="11028" max="11264" width="11.42578125" style="2"/>
    <col min="11265" max="11265" width="20.28515625" style="2" customWidth="1"/>
    <col min="11266" max="11267" width="11.42578125" style="2"/>
    <col min="11268" max="11268" width="11.85546875" style="2" customWidth="1"/>
    <col min="11269" max="11273" width="11.42578125" style="2"/>
    <col min="11274" max="11274" width="11.7109375" style="2" customWidth="1"/>
    <col min="11275" max="11277" width="11.42578125" style="2"/>
    <col min="11278" max="11278" width="14" style="2" customWidth="1"/>
    <col min="11279" max="11279" width="4.5703125" style="2" customWidth="1"/>
    <col min="11280" max="11280" width="11.42578125" style="2"/>
    <col min="11281" max="11281" width="11.5703125" style="2" customWidth="1"/>
    <col min="11282" max="11282" width="11.42578125" style="2"/>
    <col min="11283" max="11283" width="11.7109375" style="2" customWidth="1"/>
    <col min="11284" max="11520" width="11.42578125" style="2"/>
    <col min="11521" max="11521" width="20.28515625" style="2" customWidth="1"/>
    <col min="11522" max="11523" width="11.42578125" style="2"/>
    <col min="11524" max="11524" width="11.85546875" style="2" customWidth="1"/>
    <col min="11525" max="11529" width="11.42578125" style="2"/>
    <col min="11530" max="11530" width="11.7109375" style="2" customWidth="1"/>
    <col min="11531" max="11533" width="11.42578125" style="2"/>
    <col min="11534" max="11534" width="14" style="2" customWidth="1"/>
    <col min="11535" max="11535" width="4.5703125" style="2" customWidth="1"/>
    <col min="11536" max="11536" width="11.42578125" style="2"/>
    <col min="11537" max="11537" width="11.5703125" style="2" customWidth="1"/>
    <col min="11538" max="11538" width="11.42578125" style="2"/>
    <col min="11539" max="11539" width="11.7109375" style="2" customWidth="1"/>
    <col min="11540" max="11776" width="11.42578125" style="2"/>
    <col min="11777" max="11777" width="20.28515625" style="2" customWidth="1"/>
    <col min="11778" max="11779" width="11.42578125" style="2"/>
    <col min="11780" max="11780" width="11.85546875" style="2" customWidth="1"/>
    <col min="11781" max="11785" width="11.42578125" style="2"/>
    <col min="11786" max="11786" width="11.7109375" style="2" customWidth="1"/>
    <col min="11787" max="11789" width="11.42578125" style="2"/>
    <col min="11790" max="11790" width="14" style="2" customWidth="1"/>
    <col min="11791" max="11791" width="4.5703125" style="2" customWidth="1"/>
    <col min="11792" max="11792" width="11.42578125" style="2"/>
    <col min="11793" max="11793" width="11.5703125" style="2" customWidth="1"/>
    <col min="11794" max="11794" width="11.42578125" style="2"/>
    <col min="11795" max="11795" width="11.7109375" style="2" customWidth="1"/>
    <col min="11796" max="12032" width="11.42578125" style="2"/>
    <col min="12033" max="12033" width="20.28515625" style="2" customWidth="1"/>
    <col min="12034" max="12035" width="11.42578125" style="2"/>
    <col min="12036" max="12036" width="11.85546875" style="2" customWidth="1"/>
    <col min="12037" max="12041" width="11.42578125" style="2"/>
    <col min="12042" max="12042" width="11.7109375" style="2" customWidth="1"/>
    <col min="12043" max="12045" width="11.42578125" style="2"/>
    <col min="12046" max="12046" width="14" style="2" customWidth="1"/>
    <col min="12047" max="12047" width="4.5703125" style="2" customWidth="1"/>
    <col min="12048" max="12048" width="11.42578125" style="2"/>
    <col min="12049" max="12049" width="11.5703125" style="2" customWidth="1"/>
    <col min="12050" max="12050" width="11.42578125" style="2"/>
    <col min="12051" max="12051" width="11.7109375" style="2" customWidth="1"/>
    <col min="12052" max="12288" width="11.42578125" style="2"/>
    <col min="12289" max="12289" width="20.28515625" style="2" customWidth="1"/>
    <col min="12290" max="12291" width="11.42578125" style="2"/>
    <col min="12292" max="12292" width="11.85546875" style="2" customWidth="1"/>
    <col min="12293" max="12297" width="11.42578125" style="2"/>
    <col min="12298" max="12298" width="11.7109375" style="2" customWidth="1"/>
    <col min="12299" max="12301" width="11.42578125" style="2"/>
    <col min="12302" max="12302" width="14" style="2" customWidth="1"/>
    <col min="12303" max="12303" width="4.5703125" style="2" customWidth="1"/>
    <col min="12304" max="12304" width="11.42578125" style="2"/>
    <col min="12305" max="12305" width="11.5703125" style="2" customWidth="1"/>
    <col min="12306" max="12306" width="11.42578125" style="2"/>
    <col min="12307" max="12307" width="11.7109375" style="2" customWidth="1"/>
    <col min="12308" max="12544" width="11.42578125" style="2"/>
    <col min="12545" max="12545" width="20.28515625" style="2" customWidth="1"/>
    <col min="12546" max="12547" width="11.42578125" style="2"/>
    <col min="12548" max="12548" width="11.85546875" style="2" customWidth="1"/>
    <col min="12549" max="12553" width="11.42578125" style="2"/>
    <col min="12554" max="12554" width="11.7109375" style="2" customWidth="1"/>
    <col min="12555" max="12557" width="11.42578125" style="2"/>
    <col min="12558" max="12558" width="14" style="2" customWidth="1"/>
    <col min="12559" max="12559" width="4.5703125" style="2" customWidth="1"/>
    <col min="12560" max="12560" width="11.42578125" style="2"/>
    <col min="12561" max="12561" width="11.5703125" style="2" customWidth="1"/>
    <col min="12562" max="12562" width="11.42578125" style="2"/>
    <col min="12563" max="12563" width="11.7109375" style="2" customWidth="1"/>
    <col min="12564" max="12800" width="11.42578125" style="2"/>
    <col min="12801" max="12801" width="20.28515625" style="2" customWidth="1"/>
    <col min="12802" max="12803" width="11.42578125" style="2"/>
    <col min="12804" max="12804" width="11.85546875" style="2" customWidth="1"/>
    <col min="12805" max="12809" width="11.42578125" style="2"/>
    <col min="12810" max="12810" width="11.7109375" style="2" customWidth="1"/>
    <col min="12811" max="12813" width="11.42578125" style="2"/>
    <col min="12814" max="12814" width="14" style="2" customWidth="1"/>
    <col min="12815" max="12815" width="4.5703125" style="2" customWidth="1"/>
    <col min="12816" max="12816" width="11.42578125" style="2"/>
    <col min="12817" max="12817" width="11.5703125" style="2" customWidth="1"/>
    <col min="12818" max="12818" width="11.42578125" style="2"/>
    <col min="12819" max="12819" width="11.7109375" style="2" customWidth="1"/>
    <col min="12820" max="13056" width="11.42578125" style="2"/>
    <col min="13057" max="13057" width="20.28515625" style="2" customWidth="1"/>
    <col min="13058" max="13059" width="11.42578125" style="2"/>
    <col min="13060" max="13060" width="11.85546875" style="2" customWidth="1"/>
    <col min="13061" max="13065" width="11.42578125" style="2"/>
    <col min="13066" max="13066" width="11.7109375" style="2" customWidth="1"/>
    <col min="13067" max="13069" width="11.42578125" style="2"/>
    <col min="13070" max="13070" width="14" style="2" customWidth="1"/>
    <col min="13071" max="13071" width="4.5703125" style="2" customWidth="1"/>
    <col min="13072" max="13072" width="11.42578125" style="2"/>
    <col min="13073" max="13073" width="11.5703125" style="2" customWidth="1"/>
    <col min="13074" max="13074" width="11.42578125" style="2"/>
    <col min="13075" max="13075" width="11.7109375" style="2" customWidth="1"/>
    <col min="13076" max="13312" width="11.42578125" style="2"/>
    <col min="13313" max="13313" width="20.28515625" style="2" customWidth="1"/>
    <col min="13314" max="13315" width="11.42578125" style="2"/>
    <col min="13316" max="13316" width="11.85546875" style="2" customWidth="1"/>
    <col min="13317" max="13321" width="11.42578125" style="2"/>
    <col min="13322" max="13322" width="11.7109375" style="2" customWidth="1"/>
    <col min="13323" max="13325" width="11.42578125" style="2"/>
    <col min="13326" max="13326" width="14" style="2" customWidth="1"/>
    <col min="13327" max="13327" width="4.5703125" style="2" customWidth="1"/>
    <col min="13328" max="13328" width="11.42578125" style="2"/>
    <col min="13329" max="13329" width="11.5703125" style="2" customWidth="1"/>
    <col min="13330" max="13330" width="11.42578125" style="2"/>
    <col min="13331" max="13331" width="11.7109375" style="2" customWidth="1"/>
    <col min="13332" max="13568" width="11.42578125" style="2"/>
    <col min="13569" max="13569" width="20.28515625" style="2" customWidth="1"/>
    <col min="13570" max="13571" width="11.42578125" style="2"/>
    <col min="13572" max="13572" width="11.85546875" style="2" customWidth="1"/>
    <col min="13573" max="13577" width="11.42578125" style="2"/>
    <col min="13578" max="13578" width="11.7109375" style="2" customWidth="1"/>
    <col min="13579" max="13581" width="11.42578125" style="2"/>
    <col min="13582" max="13582" width="14" style="2" customWidth="1"/>
    <col min="13583" max="13583" width="4.5703125" style="2" customWidth="1"/>
    <col min="13584" max="13584" width="11.42578125" style="2"/>
    <col min="13585" max="13585" width="11.5703125" style="2" customWidth="1"/>
    <col min="13586" max="13586" width="11.42578125" style="2"/>
    <col min="13587" max="13587" width="11.7109375" style="2" customWidth="1"/>
    <col min="13588" max="13824" width="11.42578125" style="2"/>
    <col min="13825" max="13825" width="20.28515625" style="2" customWidth="1"/>
    <col min="13826" max="13827" width="11.42578125" style="2"/>
    <col min="13828" max="13828" width="11.85546875" style="2" customWidth="1"/>
    <col min="13829" max="13833" width="11.42578125" style="2"/>
    <col min="13834" max="13834" width="11.7109375" style="2" customWidth="1"/>
    <col min="13835" max="13837" width="11.42578125" style="2"/>
    <col min="13838" max="13838" width="14" style="2" customWidth="1"/>
    <col min="13839" max="13839" width="4.5703125" style="2" customWidth="1"/>
    <col min="13840" max="13840" width="11.42578125" style="2"/>
    <col min="13841" max="13841" width="11.5703125" style="2" customWidth="1"/>
    <col min="13842" max="13842" width="11.42578125" style="2"/>
    <col min="13843" max="13843" width="11.7109375" style="2" customWidth="1"/>
    <col min="13844" max="14080" width="11.42578125" style="2"/>
    <col min="14081" max="14081" width="20.28515625" style="2" customWidth="1"/>
    <col min="14082" max="14083" width="11.42578125" style="2"/>
    <col min="14084" max="14084" width="11.85546875" style="2" customWidth="1"/>
    <col min="14085" max="14089" width="11.42578125" style="2"/>
    <col min="14090" max="14090" width="11.7109375" style="2" customWidth="1"/>
    <col min="14091" max="14093" width="11.42578125" style="2"/>
    <col min="14094" max="14094" width="14" style="2" customWidth="1"/>
    <col min="14095" max="14095" width="4.5703125" style="2" customWidth="1"/>
    <col min="14096" max="14096" width="11.42578125" style="2"/>
    <col min="14097" max="14097" width="11.5703125" style="2" customWidth="1"/>
    <col min="14098" max="14098" width="11.42578125" style="2"/>
    <col min="14099" max="14099" width="11.7109375" style="2" customWidth="1"/>
    <col min="14100" max="14336" width="11.42578125" style="2"/>
    <col min="14337" max="14337" width="20.28515625" style="2" customWidth="1"/>
    <col min="14338" max="14339" width="11.42578125" style="2"/>
    <col min="14340" max="14340" width="11.85546875" style="2" customWidth="1"/>
    <col min="14341" max="14345" width="11.42578125" style="2"/>
    <col min="14346" max="14346" width="11.7109375" style="2" customWidth="1"/>
    <col min="14347" max="14349" width="11.42578125" style="2"/>
    <col min="14350" max="14350" width="14" style="2" customWidth="1"/>
    <col min="14351" max="14351" width="4.5703125" style="2" customWidth="1"/>
    <col min="14352" max="14352" width="11.42578125" style="2"/>
    <col min="14353" max="14353" width="11.5703125" style="2" customWidth="1"/>
    <col min="14354" max="14354" width="11.42578125" style="2"/>
    <col min="14355" max="14355" width="11.7109375" style="2" customWidth="1"/>
    <col min="14356" max="14592" width="11.42578125" style="2"/>
    <col min="14593" max="14593" width="20.28515625" style="2" customWidth="1"/>
    <col min="14594" max="14595" width="11.42578125" style="2"/>
    <col min="14596" max="14596" width="11.85546875" style="2" customWidth="1"/>
    <col min="14597" max="14601" width="11.42578125" style="2"/>
    <col min="14602" max="14602" width="11.7109375" style="2" customWidth="1"/>
    <col min="14603" max="14605" width="11.42578125" style="2"/>
    <col min="14606" max="14606" width="14" style="2" customWidth="1"/>
    <col min="14607" max="14607" width="4.5703125" style="2" customWidth="1"/>
    <col min="14608" max="14608" width="11.42578125" style="2"/>
    <col min="14609" max="14609" width="11.5703125" style="2" customWidth="1"/>
    <col min="14610" max="14610" width="11.42578125" style="2"/>
    <col min="14611" max="14611" width="11.7109375" style="2" customWidth="1"/>
    <col min="14612" max="14848" width="11.42578125" style="2"/>
    <col min="14849" max="14849" width="20.28515625" style="2" customWidth="1"/>
    <col min="14850" max="14851" width="11.42578125" style="2"/>
    <col min="14852" max="14852" width="11.85546875" style="2" customWidth="1"/>
    <col min="14853" max="14857" width="11.42578125" style="2"/>
    <col min="14858" max="14858" width="11.7109375" style="2" customWidth="1"/>
    <col min="14859" max="14861" width="11.42578125" style="2"/>
    <col min="14862" max="14862" width="14" style="2" customWidth="1"/>
    <col min="14863" max="14863" width="4.5703125" style="2" customWidth="1"/>
    <col min="14864" max="14864" width="11.42578125" style="2"/>
    <col min="14865" max="14865" width="11.5703125" style="2" customWidth="1"/>
    <col min="14866" max="14866" width="11.42578125" style="2"/>
    <col min="14867" max="14867" width="11.7109375" style="2" customWidth="1"/>
    <col min="14868" max="15104" width="11.42578125" style="2"/>
    <col min="15105" max="15105" width="20.28515625" style="2" customWidth="1"/>
    <col min="15106" max="15107" width="11.42578125" style="2"/>
    <col min="15108" max="15108" width="11.85546875" style="2" customWidth="1"/>
    <col min="15109" max="15113" width="11.42578125" style="2"/>
    <col min="15114" max="15114" width="11.7109375" style="2" customWidth="1"/>
    <col min="15115" max="15117" width="11.42578125" style="2"/>
    <col min="15118" max="15118" width="14" style="2" customWidth="1"/>
    <col min="15119" max="15119" width="4.5703125" style="2" customWidth="1"/>
    <col min="15120" max="15120" width="11.42578125" style="2"/>
    <col min="15121" max="15121" width="11.5703125" style="2" customWidth="1"/>
    <col min="15122" max="15122" width="11.42578125" style="2"/>
    <col min="15123" max="15123" width="11.7109375" style="2" customWidth="1"/>
    <col min="15124" max="15360" width="11.42578125" style="2"/>
    <col min="15361" max="15361" width="20.28515625" style="2" customWidth="1"/>
    <col min="15362" max="15363" width="11.42578125" style="2"/>
    <col min="15364" max="15364" width="11.85546875" style="2" customWidth="1"/>
    <col min="15365" max="15369" width="11.42578125" style="2"/>
    <col min="15370" max="15370" width="11.7109375" style="2" customWidth="1"/>
    <col min="15371" max="15373" width="11.42578125" style="2"/>
    <col min="15374" max="15374" width="14" style="2" customWidth="1"/>
    <col min="15375" max="15375" width="4.5703125" style="2" customWidth="1"/>
    <col min="15376" max="15376" width="11.42578125" style="2"/>
    <col min="15377" max="15377" width="11.5703125" style="2" customWidth="1"/>
    <col min="15378" max="15378" width="11.42578125" style="2"/>
    <col min="15379" max="15379" width="11.7109375" style="2" customWidth="1"/>
    <col min="15380" max="15616" width="11.42578125" style="2"/>
    <col min="15617" max="15617" width="20.28515625" style="2" customWidth="1"/>
    <col min="15618" max="15619" width="11.42578125" style="2"/>
    <col min="15620" max="15620" width="11.85546875" style="2" customWidth="1"/>
    <col min="15621" max="15625" width="11.42578125" style="2"/>
    <col min="15626" max="15626" width="11.7109375" style="2" customWidth="1"/>
    <col min="15627" max="15629" width="11.42578125" style="2"/>
    <col min="15630" max="15630" width="14" style="2" customWidth="1"/>
    <col min="15631" max="15631" width="4.5703125" style="2" customWidth="1"/>
    <col min="15632" max="15632" width="11.42578125" style="2"/>
    <col min="15633" max="15633" width="11.5703125" style="2" customWidth="1"/>
    <col min="15634" max="15634" width="11.42578125" style="2"/>
    <col min="15635" max="15635" width="11.7109375" style="2" customWidth="1"/>
    <col min="15636" max="15872" width="11.42578125" style="2"/>
    <col min="15873" max="15873" width="20.28515625" style="2" customWidth="1"/>
    <col min="15874" max="15875" width="11.42578125" style="2"/>
    <col min="15876" max="15876" width="11.85546875" style="2" customWidth="1"/>
    <col min="15877" max="15881" width="11.42578125" style="2"/>
    <col min="15882" max="15882" width="11.7109375" style="2" customWidth="1"/>
    <col min="15883" max="15885" width="11.42578125" style="2"/>
    <col min="15886" max="15886" width="14" style="2" customWidth="1"/>
    <col min="15887" max="15887" width="4.5703125" style="2" customWidth="1"/>
    <col min="15888" max="15888" width="11.42578125" style="2"/>
    <col min="15889" max="15889" width="11.5703125" style="2" customWidth="1"/>
    <col min="15890" max="15890" width="11.42578125" style="2"/>
    <col min="15891" max="15891" width="11.7109375" style="2" customWidth="1"/>
    <col min="15892" max="16128" width="11.42578125" style="2"/>
    <col min="16129" max="16129" width="20.28515625" style="2" customWidth="1"/>
    <col min="16130" max="16131" width="11.42578125" style="2"/>
    <col min="16132" max="16132" width="11.85546875" style="2" customWidth="1"/>
    <col min="16133" max="16137" width="11.42578125" style="2"/>
    <col min="16138" max="16138" width="11.7109375" style="2" customWidth="1"/>
    <col min="16139" max="16141" width="11.42578125" style="2"/>
    <col min="16142" max="16142" width="14" style="2" customWidth="1"/>
    <col min="16143" max="16143" width="4.5703125" style="2" customWidth="1"/>
    <col min="16144" max="16144" width="11.42578125" style="2"/>
    <col min="16145" max="16145" width="11.5703125" style="2" customWidth="1"/>
    <col min="16146" max="16146" width="11.42578125" style="2"/>
    <col min="16147" max="16147" width="11.7109375" style="2" customWidth="1"/>
    <col min="16148" max="16384" width="11.42578125" style="2"/>
  </cols>
  <sheetData>
    <row r="1" spans="1:26" ht="18.75">
      <c r="A1" s="1" t="s">
        <v>80</v>
      </c>
    </row>
    <row r="2" spans="1:26">
      <c r="A2" s="5"/>
      <c r="M2" s="4"/>
    </row>
    <row r="3" spans="1:26" ht="15">
      <c r="A3" s="16" t="s">
        <v>167</v>
      </c>
      <c r="B3" s="6" t="s">
        <v>175</v>
      </c>
      <c r="C3" s="266" t="s">
        <v>168</v>
      </c>
      <c r="D3" s="2" t="s">
        <v>169</v>
      </c>
      <c r="F3" s="267" t="s">
        <v>170</v>
      </c>
      <c r="M3" s="4"/>
    </row>
    <row r="4" spans="1:26">
      <c r="A4" s="16" t="s">
        <v>13</v>
      </c>
      <c r="B4" s="17">
        <f>J30/L30</f>
        <v>3.0218799310050329E-3</v>
      </c>
      <c r="D4" s="94"/>
      <c r="E4" s="95"/>
      <c r="F4" s="93" t="str">
        <f>F9</f>
        <v>X = Dif PAS [Int vs Conv]</v>
      </c>
      <c r="G4" s="95"/>
      <c r="H4" s="15"/>
      <c r="I4" s="96" t="str">
        <f>G9</f>
        <v>Y = RAR en Mort</v>
      </c>
      <c r="M4" s="4"/>
    </row>
    <row r="5" spans="1:26">
      <c r="A5" s="22" t="s">
        <v>14</v>
      </c>
      <c r="B5" s="23">
        <f>B7*G31/F31</f>
        <v>3.0218799310050334E-3</v>
      </c>
      <c r="D5" s="97" t="s">
        <v>37</v>
      </c>
      <c r="E5" s="128">
        <v>-1</v>
      </c>
      <c r="F5" s="93" t="s">
        <v>33</v>
      </c>
      <c r="G5" s="15" t="s">
        <v>36</v>
      </c>
      <c r="H5" s="15"/>
      <c r="I5" s="96" t="s">
        <v>166</v>
      </c>
      <c r="J5" s="126">
        <f>E5*B5</f>
        <v>-3.0218799310050334E-3</v>
      </c>
      <c r="K5" s="6" t="s">
        <v>35</v>
      </c>
      <c r="L5" s="126">
        <f>E5*G40</f>
        <v>7.6181008148786759E-4</v>
      </c>
      <c r="M5" s="6" t="s">
        <v>34</v>
      </c>
      <c r="N5" s="126">
        <f>E5*I40</f>
        <v>-6.8055699434979343E-3</v>
      </c>
    </row>
    <row r="6" spans="1:26">
      <c r="A6" s="16" t="s">
        <v>15</v>
      </c>
      <c r="B6" s="17">
        <f>G30-(F30*B4)</f>
        <v>-1.5523777995862541E-2</v>
      </c>
      <c r="M6" s="4"/>
    </row>
    <row r="7" spans="1:26">
      <c r="A7" s="25" t="s">
        <v>31</v>
      </c>
      <c r="B7" s="24">
        <f>J30/SQRT(N30)</f>
        <v>0.38979128124635676</v>
      </c>
      <c r="M7" s="4"/>
    </row>
    <row r="8" spans="1:26" ht="26.25" customHeight="1" thickBot="1">
      <c r="A8" s="108" t="s">
        <v>32</v>
      </c>
      <c r="B8" s="109">
        <f>B7^2</f>
        <v>0.1519372429356764</v>
      </c>
      <c r="C8" s="110">
        <f>1-B8</f>
        <v>0.84806275706432355</v>
      </c>
      <c r="F8" s="7"/>
      <c r="G8" s="8"/>
      <c r="H8" s="269" t="s">
        <v>1</v>
      </c>
      <c r="I8" s="270"/>
      <c r="J8" s="9" t="s">
        <v>2</v>
      </c>
      <c r="K8" s="10"/>
      <c r="L8" s="9" t="s">
        <v>3</v>
      </c>
      <c r="M8" s="9" t="s">
        <v>4</v>
      </c>
      <c r="N8" s="9" t="s">
        <v>5</v>
      </c>
      <c r="Q8" s="41"/>
      <c r="R8" s="41"/>
      <c r="S8" s="41"/>
      <c r="T8" s="41"/>
      <c r="U8" s="43"/>
      <c r="V8" s="68"/>
      <c r="W8" s="68"/>
      <c r="X8" s="41"/>
      <c r="Y8" s="41"/>
      <c r="Z8" s="69"/>
    </row>
    <row r="9" spans="1:26" ht="37.5" customHeight="1" thickBot="1">
      <c r="A9" s="113" t="s">
        <v>41</v>
      </c>
      <c r="C9" s="11" t="s">
        <v>174</v>
      </c>
      <c r="D9" s="12" t="s">
        <v>6</v>
      </c>
      <c r="E9" s="12" t="s">
        <v>39</v>
      </c>
      <c r="F9" s="44" t="s">
        <v>172</v>
      </c>
      <c r="G9" s="45" t="s">
        <v>173</v>
      </c>
      <c r="H9" s="13" t="s">
        <v>7</v>
      </c>
      <c r="I9" s="14" t="s">
        <v>8</v>
      </c>
      <c r="J9" s="14" t="s">
        <v>9</v>
      </c>
      <c r="L9" s="14" t="s">
        <v>10</v>
      </c>
      <c r="M9" s="14" t="s">
        <v>11</v>
      </c>
      <c r="N9" s="14" t="s">
        <v>12</v>
      </c>
      <c r="Q9" s="41"/>
      <c r="R9" s="41"/>
      <c r="S9" s="70"/>
      <c r="T9" s="71"/>
      <c r="U9" s="41"/>
      <c r="V9" s="72"/>
      <c r="W9" s="72"/>
      <c r="X9" s="73"/>
      <c r="Y9" s="74"/>
      <c r="Z9" s="72"/>
    </row>
    <row r="10" spans="1:26">
      <c r="A10" s="112" t="s">
        <v>61</v>
      </c>
      <c r="C10" s="268">
        <f>B6+(B5*F10)</f>
        <v>5.6293815211726911E-3</v>
      </c>
      <c r="D10" s="340">
        <f>C10-G10</f>
        <v>2.9429381521172693E-2</v>
      </c>
      <c r="E10" s="6">
        <v>1</v>
      </c>
      <c r="F10" s="46">
        <v>7</v>
      </c>
      <c r="G10" s="61">
        <v>-2.3800000000000002E-2</v>
      </c>
      <c r="H10" s="19">
        <f>F10-F30</f>
        <v>-0.79</v>
      </c>
      <c r="I10" s="63">
        <f>G10-G30</f>
        <v>-3.1816666666666667E-2</v>
      </c>
      <c r="J10" s="19">
        <f>H10*I10</f>
        <v>2.5135166666666667E-2</v>
      </c>
      <c r="K10" s="20"/>
      <c r="L10" s="20">
        <f>H10^2</f>
        <v>0.6241000000000001</v>
      </c>
      <c r="M10" s="38">
        <f t="shared" ref="M10:M27" si="0">I10^2</f>
        <v>1.0123002777777778E-3</v>
      </c>
      <c r="N10" s="21"/>
      <c r="Q10" s="75"/>
      <c r="R10" s="76"/>
      <c r="S10" s="41"/>
      <c r="T10" s="41"/>
      <c r="U10" s="41"/>
      <c r="V10" s="58"/>
      <c r="W10" s="58"/>
      <c r="X10" s="77"/>
      <c r="Y10" s="74"/>
      <c r="Z10" s="58"/>
    </row>
    <row r="11" spans="1:26">
      <c r="A11" s="112" t="s">
        <v>62</v>
      </c>
      <c r="C11" s="268">
        <f>B6+(B5*F11)</f>
        <v>-6.7603261959479442E-3</v>
      </c>
      <c r="D11" s="340">
        <f t="shared" ref="D11:D27" si="1">C11-G11</f>
        <v>-4.4603261959479442E-3</v>
      </c>
      <c r="E11" s="6">
        <v>2</v>
      </c>
      <c r="F11" s="47">
        <v>2.9</v>
      </c>
      <c r="G11" s="62">
        <v>-2.3E-3</v>
      </c>
      <c r="H11" s="19">
        <f>F11-F30</f>
        <v>-4.8900000000000006</v>
      </c>
      <c r="I11" s="63">
        <f>G11-G30</f>
        <v>-1.0316666666666665E-2</v>
      </c>
      <c r="J11" s="19">
        <f t="shared" ref="J11:J27" si="2">H11*I11</f>
        <v>5.04485E-2</v>
      </c>
      <c r="K11" s="20"/>
      <c r="L11" s="20">
        <f t="shared" ref="L11:L27" si="3">H11^2</f>
        <v>23.912100000000006</v>
      </c>
      <c r="M11" s="38">
        <f t="shared" si="0"/>
        <v>1.0643361111111107E-4</v>
      </c>
      <c r="N11" s="21"/>
      <c r="Q11" s="41"/>
      <c r="R11" s="57"/>
      <c r="S11" s="78"/>
      <c r="T11" s="79"/>
      <c r="U11" s="41"/>
      <c r="V11" s="58"/>
      <c r="W11" s="58"/>
      <c r="X11" s="77"/>
      <c r="Y11" s="74"/>
      <c r="Z11" s="58"/>
    </row>
    <row r="12" spans="1:26">
      <c r="A12" s="112" t="s">
        <v>63</v>
      </c>
      <c r="C12" s="268">
        <f>B6+(B5*F12)</f>
        <v>1.4695021314187793E-2</v>
      </c>
      <c r="D12" s="340">
        <f t="shared" si="1"/>
        <v>-2.1304978685812204E-2</v>
      </c>
      <c r="E12" s="6">
        <v>3</v>
      </c>
      <c r="F12" s="47">
        <v>10</v>
      </c>
      <c r="G12" s="62">
        <v>3.5999999999999997E-2</v>
      </c>
      <c r="H12" s="19">
        <f>F12-F30</f>
        <v>2.21</v>
      </c>
      <c r="I12" s="63">
        <f>G12-G30</f>
        <v>2.7983333333333332E-2</v>
      </c>
      <c r="J12" s="19">
        <f t="shared" si="2"/>
        <v>6.1843166666666664E-2</v>
      </c>
      <c r="K12" s="20"/>
      <c r="L12" s="20">
        <f t="shared" si="3"/>
        <v>4.8841000000000001</v>
      </c>
      <c r="M12" s="38">
        <f t="shared" si="0"/>
        <v>7.8306694444444443E-4</v>
      </c>
      <c r="N12" s="21"/>
      <c r="Q12" s="41"/>
      <c r="R12" s="57"/>
      <c r="S12" s="78"/>
      <c r="T12" s="79"/>
      <c r="U12" s="41"/>
      <c r="V12" s="58"/>
      <c r="W12" s="58"/>
      <c r="X12" s="77"/>
      <c r="Y12" s="74"/>
      <c r="Z12" s="58"/>
    </row>
    <row r="13" spans="1:26">
      <c r="A13" s="112" t="s">
        <v>64</v>
      </c>
      <c r="C13" s="268">
        <f>B6+(B5*F13)</f>
        <v>5.0854431335917889E-3</v>
      </c>
      <c r="D13" s="340">
        <f t="shared" si="1"/>
        <v>-4.7314556866408217E-2</v>
      </c>
      <c r="E13" s="6">
        <v>4</v>
      </c>
      <c r="F13" s="47">
        <v>6.82</v>
      </c>
      <c r="G13" s="62">
        <v>5.2400000000000002E-2</v>
      </c>
      <c r="H13" s="19">
        <f>F13-F30</f>
        <v>-0.96999999999999975</v>
      </c>
      <c r="I13" s="63">
        <f>G13-G30</f>
        <v>4.4383333333333337E-2</v>
      </c>
      <c r="J13" s="19">
        <f t="shared" si="2"/>
        <v>-4.3051833333333324E-2</v>
      </c>
      <c r="K13" s="20"/>
      <c r="L13" s="20">
        <f t="shared" si="3"/>
        <v>0.94089999999999951</v>
      </c>
      <c r="M13" s="38">
        <f t="shared" si="0"/>
        <v>1.969880277777778E-3</v>
      </c>
      <c r="N13" s="21"/>
      <c r="Q13" s="41"/>
      <c r="R13" s="80"/>
      <c r="S13" s="41"/>
      <c r="T13" s="41"/>
      <c r="U13" s="41"/>
      <c r="V13" s="58"/>
      <c r="W13" s="58"/>
      <c r="X13" s="77"/>
      <c r="Y13" s="74"/>
      <c r="Z13" s="58"/>
    </row>
    <row r="14" spans="1:26">
      <c r="A14" s="129" t="s">
        <v>65</v>
      </c>
      <c r="C14" s="268">
        <f>B6+(B5*F14)</f>
        <v>5.6293815211726911E-3</v>
      </c>
      <c r="D14" s="340">
        <f t="shared" si="1"/>
        <v>-7.7061847882730922E-4</v>
      </c>
      <c r="E14" s="6">
        <v>5</v>
      </c>
      <c r="F14" s="47">
        <v>7</v>
      </c>
      <c r="G14" s="62">
        <v>6.4000000000000003E-3</v>
      </c>
      <c r="H14" s="19">
        <f>F14-F30</f>
        <v>-0.79</v>
      </c>
      <c r="I14" s="63">
        <f>G14-G30</f>
        <v>-1.6166666666666647E-3</v>
      </c>
      <c r="J14" s="19">
        <f t="shared" si="2"/>
        <v>1.2771666666666652E-3</v>
      </c>
      <c r="K14" s="20"/>
      <c r="L14" s="20">
        <f t="shared" si="3"/>
        <v>0.6241000000000001</v>
      </c>
      <c r="M14" s="38">
        <f t="shared" si="0"/>
        <v>2.6136111111111049E-6</v>
      </c>
      <c r="N14" s="21"/>
      <c r="Q14" s="41"/>
      <c r="R14" s="80"/>
      <c r="S14" s="41"/>
      <c r="T14" s="41"/>
      <c r="U14" s="41"/>
      <c r="V14" s="58"/>
      <c r="W14" s="58"/>
      <c r="X14" s="77"/>
      <c r="Y14" s="74"/>
      <c r="Z14" s="58"/>
    </row>
    <row r="15" spans="1:26">
      <c r="A15" s="112" t="s">
        <v>66</v>
      </c>
      <c r="C15" s="268">
        <f>B6+(B5*F15)</f>
        <v>5.0250055349716841E-3</v>
      </c>
      <c r="D15" s="340">
        <f t="shared" si="1"/>
        <v>4.3125005534971686E-2</v>
      </c>
      <c r="E15" s="6">
        <v>6</v>
      </c>
      <c r="F15" s="47">
        <v>6.8</v>
      </c>
      <c r="G15" s="62">
        <v>-3.8100000000000002E-2</v>
      </c>
      <c r="H15" s="19">
        <f>F15-F30</f>
        <v>-0.99000000000000021</v>
      </c>
      <c r="I15" s="63">
        <f>G15-G30</f>
        <v>-4.6116666666666667E-2</v>
      </c>
      <c r="J15" s="19">
        <f t="shared" si="2"/>
        <v>4.5655500000000009E-2</v>
      </c>
      <c r="K15" s="20"/>
      <c r="L15" s="20">
        <f t="shared" si="3"/>
        <v>0.98010000000000042</v>
      </c>
      <c r="M15" s="38">
        <f t="shared" si="0"/>
        <v>2.1267469444444446E-3</v>
      </c>
      <c r="N15" s="21"/>
      <c r="Q15" s="41"/>
      <c r="R15" s="80"/>
      <c r="S15" s="41"/>
      <c r="T15" s="41"/>
      <c r="U15" s="41"/>
      <c r="V15" s="58"/>
      <c r="W15" s="58"/>
      <c r="X15" s="77"/>
      <c r="Y15" s="74"/>
      <c r="Z15" s="58"/>
    </row>
    <row r="16" spans="1:26">
      <c r="A16" s="112" t="s">
        <v>67</v>
      </c>
      <c r="C16" s="268">
        <f>B6+(B5*F16)</f>
        <v>-4.1437834083737392E-4</v>
      </c>
      <c r="D16" s="340">
        <f t="shared" si="1"/>
        <v>-6.3143783408373738E-3</v>
      </c>
      <c r="E16" s="6">
        <v>7</v>
      </c>
      <c r="F16" s="47">
        <v>5</v>
      </c>
      <c r="G16" s="62">
        <v>5.8999999999999999E-3</v>
      </c>
      <c r="H16" s="19">
        <f>F16-F30</f>
        <v>-2.79</v>
      </c>
      <c r="I16" s="63">
        <f>G16-G30</f>
        <v>-2.1166666666666651E-3</v>
      </c>
      <c r="J16" s="19">
        <f t="shared" si="2"/>
        <v>5.9054999999999958E-3</v>
      </c>
      <c r="K16" s="20"/>
      <c r="L16" s="20">
        <f t="shared" si="3"/>
        <v>7.7841000000000005</v>
      </c>
      <c r="M16" s="38">
        <f t="shared" si="0"/>
        <v>4.4802777777777714E-6</v>
      </c>
      <c r="N16" s="21"/>
      <c r="Q16" s="41"/>
      <c r="R16" s="41"/>
      <c r="S16" s="41"/>
      <c r="T16" s="41"/>
      <c r="U16" s="41"/>
      <c r="V16" s="58"/>
      <c r="W16" s="58"/>
      <c r="X16" s="77"/>
      <c r="Y16" s="74"/>
      <c r="Z16" s="58"/>
    </row>
    <row r="17" spans="1:26">
      <c r="A17" s="112" t="s">
        <v>68</v>
      </c>
      <c r="C17" s="268">
        <f>B6+(B5*F17)</f>
        <v>2.6075015901676594E-3</v>
      </c>
      <c r="D17" s="340">
        <f t="shared" si="1"/>
        <v>1.7807501590167661E-2</v>
      </c>
      <c r="E17" s="6">
        <v>8</v>
      </c>
      <c r="F17" s="47">
        <v>6</v>
      </c>
      <c r="G17" s="62">
        <v>-1.52E-2</v>
      </c>
      <c r="H17" s="19">
        <f>F17-F30</f>
        <v>-1.79</v>
      </c>
      <c r="I17" s="63">
        <f>G17-G30</f>
        <v>-2.3216666666666663E-2</v>
      </c>
      <c r="J17" s="19">
        <f t="shared" si="2"/>
        <v>4.1557833333333329E-2</v>
      </c>
      <c r="K17" s="20"/>
      <c r="L17" s="20">
        <f t="shared" si="3"/>
        <v>3.2040999999999999</v>
      </c>
      <c r="M17" s="38">
        <f t="shared" si="0"/>
        <v>5.390136111111109E-4</v>
      </c>
      <c r="N17" s="21"/>
      <c r="Q17" s="41"/>
      <c r="R17" s="41"/>
      <c r="S17" s="41"/>
      <c r="T17" s="41"/>
      <c r="U17" s="41"/>
      <c r="V17" s="58"/>
      <c r="W17" s="58"/>
      <c r="X17" s="77"/>
      <c r="Y17" s="74"/>
      <c r="Z17" s="58"/>
    </row>
    <row r="18" spans="1:26">
      <c r="A18" s="112" t="s">
        <v>69</v>
      </c>
      <c r="C18" s="268">
        <f>B6+(B5*F18)</f>
        <v>1.3788457334886282E-2</v>
      </c>
      <c r="D18" s="340">
        <f t="shared" si="1"/>
        <v>1.4188457334886282E-2</v>
      </c>
      <c r="E18" s="6">
        <v>9</v>
      </c>
      <c r="F18" s="47">
        <v>9.6999999999999993</v>
      </c>
      <c r="G18" s="62">
        <v>-4.0000000000000002E-4</v>
      </c>
      <c r="H18" s="19">
        <f>F18-F30</f>
        <v>1.9099999999999993</v>
      </c>
      <c r="I18" s="63">
        <f>G18-G30</f>
        <v>-8.4166666666666643E-3</v>
      </c>
      <c r="J18" s="19">
        <f t="shared" si="2"/>
        <v>-1.6075833333333324E-2</v>
      </c>
      <c r="K18" s="20"/>
      <c r="L18" s="20">
        <f t="shared" si="3"/>
        <v>3.6480999999999972</v>
      </c>
      <c r="M18" s="38">
        <f t="shared" si="0"/>
        <v>7.0840277777777742E-5</v>
      </c>
      <c r="N18" s="21"/>
      <c r="Q18" s="41"/>
      <c r="R18" s="41"/>
      <c r="S18" s="41"/>
      <c r="T18" s="41"/>
      <c r="U18" s="41"/>
      <c r="V18" s="58"/>
      <c r="W18" s="58"/>
      <c r="X18" s="77"/>
      <c r="Y18" s="74"/>
      <c r="Z18" s="58"/>
    </row>
    <row r="19" spans="1:26">
      <c r="A19" s="112" t="s">
        <v>70</v>
      </c>
      <c r="C19" s="268">
        <f>B6+(B5*F19)</f>
        <v>-4.0406342580434143E-3</v>
      </c>
      <c r="D19" s="340">
        <f t="shared" si="1"/>
        <v>-5.9406342580434141E-3</v>
      </c>
      <c r="E19" s="6">
        <v>10</v>
      </c>
      <c r="F19" s="47">
        <v>3.8</v>
      </c>
      <c r="G19" s="62">
        <v>1.9E-3</v>
      </c>
      <c r="H19" s="19">
        <f>F19-F30</f>
        <v>-3.99</v>
      </c>
      <c r="I19" s="63">
        <f>G19-G30</f>
        <v>-6.1166666666666652E-3</v>
      </c>
      <c r="J19" s="19">
        <f t="shared" si="2"/>
        <v>2.4405499999999997E-2</v>
      </c>
      <c r="K19" s="20"/>
      <c r="L19" s="20">
        <f t="shared" si="3"/>
        <v>15.920100000000001</v>
      </c>
      <c r="M19" s="38">
        <f t="shared" si="0"/>
        <v>3.7413611111111092E-5</v>
      </c>
      <c r="N19" s="21"/>
      <c r="Q19" s="41"/>
      <c r="R19" s="41"/>
      <c r="S19" s="41"/>
      <c r="T19" s="41"/>
      <c r="U19" s="41"/>
      <c r="V19" s="58"/>
      <c r="W19" s="58"/>
      <c r="X19" s="77"/>
      <c r="Y19" s="74"/>
      <c r="Z19" s="58"/>
    </row>
    <row r="20" spans="1:26">
      <c r="A20" s="112" t="s">
        <v>71</v>
      </c>
      <c r="C20" s="268">
        <f>B6+(B5*F20)</f>
        <v>2.4062849100303395E-2</v>
      </c>
      <c r="D20" s="340">
        <f t="shared" si="1"/>
        <v>2.6862849100303395E-2</v>
      </c>
      <c r="E20" s="6">
        <v>11</v>
      </c>
      <c r="F20" s="47">
        <v>13.1</v>
      </c>
      <c r="G20" s="62">
        <v>-2.8E-3</v>
      </c>
      <c r="H20" s="19">
        <f>F20-F30</f>
        <v>5.31</v>
      </c>
      <c r="I20" s="63">
        <f>G20-G30</f>
        <v>-1.0816666666666665E-2</v>
      </c>
      <c r="J20" s="19">
        <f t="shared" si="2"/>
        <v>-5.7436499999999988E-2</v>
      </c>
      <c r="K20" s="20"/>
      <c r="L20" s="20">
        <f t="shared" si="3"/>
        <v>28.196099999999994</v>
      </c>
      <c r="M20" s="38">
        <f t="shared" si="0"/>
        <v>1.1700027777777775E-4</v>
      </c>
      <c r="N20" s="21"/>
      <c r="Q20" s="41"/>
      <c r="R20" s="41"/>
      <c r="S20" s="41"/>
      <c r="T20" s="41"/>
      <c r="U20" s="41"/>
      <c r="V20" s="58"/>
      <c r="W20" s="58"/>
      <c r="X20" s="77"/>
      <c r="Y20" s="74"/>
      <c r="Z20" s="58"/>
    </row>
    <row r="21" spans="1:26">
      <c r="A21" s="112" t="s">
        <v>72</v>
      </c>
      <c r="C21" s="268">
        <f>B6+(B5*F21)</f>
        <v>1.3987496177656454E-3</v>
      </c>
      <c r="D21" s="340">
        <f t="shared" si="1"/>
        <v>-2.6012503822343547E-3</v>
      </c>
      <c r="E21" s="6">
        <v>12</v>
      </c>
      <c r="F21" s="47">
        <v>5.6</v>
      </c>
      <c r="G21" s="62">
        <v>4.0000000000000001E-3</v>
      </c>
      <c r="H21" s="19">
        <f>F21-F30</f>
        <v>-2.1900000000000004</v>
      </c>
      <c r="I21" s="63">
        <f>G21-G30</f>
        <v>-4.0166666666666649E-3</v>
      </c>
      <c r="J21" s="19">
        <f t="shared" si="2"/>
        <v>8.796499999999997E-3</v>
      </c>
      <c r="K21" s="20"/>
      <c r="L21" s="20">
        <f t="shared" si="3"/>
        <v>4.7961000000000018</v>
      </c>
      <c r="M21" s="38">
        <f t="shared" si="0"/>
        <v>1.6133611111111096E-5</v>
      </c>
      <c r="N21" s="21"/>
      <c r="Q21" s="41"/>
      <c r="R21" s="41"/>
      <c r="S21" s="41"/>
      <c r="T21" s="41"/>
      <c r="U21" s="41"/>
      <c r="V21" s="58"/>
      <c r="W21" s="58"/>
      <c r="X21" s="77"/>
      <c r="Y21" s="74"/>
      <c r="Z21" s="58"/>
    </row>
    <row r="22" spans="1:26">
      <c r="A22" s="112" t="s">
        <v>73</v>
      </c>
      <c r="C22" s="268">
        <f>B6+(B5*F22)</f>
        <v>2.6782541038207923E-2</v>
      </c>
      <c r="D22" s="340">
        <f t="shared" si="1"/>
        <v>1.7682541038207922E-2</v>
      </c>
      <c r="E22" s="6">
        <v>13</v>
      </c>
      <c r="F22" s="47">
        <v>14</v>
      </c>
      <c r="G22" s="62">
        <v>9.1000000000000004E-3</v>
      </c>
      <c r="H22" s="19">
        <f>F22-F30</f>
        <v>6.21</v>
      </c>
      <c r="I22" s="63">
        <f>G22-G30</f>
        <v>1.0833333333333355E-3</v>
      </c>
      <c r="J22" s="19">
        <f t="shared" si="2"/>
        <v>6.727500000000013E-3</v>
      </c>
      <c r="K22" s="20"/>
      <c r="L22" s="20">
        <f t="shared" si="3"/>
        <v>38.564099999999996</v>
      </c>
      <c r="M22" s="38">
        <f t="shared" si="0"/>
        <v>1.1736111111111157E-6</v>
      </c>
      <c r="N22" s="21"/>
      <c r="Q22" s="41"/>
      <c r="R22" s="41"/>
      <c r="S22" s="41"/>
      <c r="T22" s="41"/>
      <c r="U22" s="41"/>
      <c r="V22" s="58"/>
      <c r="W22" s="58"/>
      <c r="X22" s="77"/>
      <c r="Y22" s="74"/>
      <c r="Z22" s="58"/>
    </row>
    <row r="23" spans="1:26">
      <c r="A23" s="112" t="s">
        <v>74</v>
      </c>
      <c r="C23" s="268">
        <f>B6+(B5*F23)</f>
        <v>-1.1293146092455495E-2</v>
      </c>
      <c r="D23" s="340">
        <f t="shared" si="1"/>
        <v>-1.3593146092455495E-2</v>
      </c>
      <c r="E23" s="6">
        <v>14</v>
      </c>
      <c r="F23" s="47">
        <v>1.4</v>
      </c>
      <c r="G23" s="62">
        <v>2.3E-3</v>
      </c>
      <c r="H23" s="19">
        <f>F23-F30</f>
        <v>-6.3900000000000006</v>
      </c>
      <c r="I23" s="63">
        <f>G23-G30</f>
        <v>-5.716666666666665E-3</v>
      </c>
      <c r="J23" s="19">
        <f t="shared" si="2"/>
        <v>3.6529499999999993E-2</v>
      </c>
      <c r="K23" s="20"/>
      <c r="L23" s="20">
        <f t="shared" si="3"/>
        <v>40.832100000000004</v>
      </c>
      <c r="M23" s="38">
        <f t="shared" si="0"/>
        <v>3.2680277777777761E-5</v>
      </c>
      <c r="N23" s="21"/>
      <c r="Q23" s="41"/>
      <c r="R23" s="41"/>
      <c r="S23" s="41"/>
      <c r="T23" s="41"/>
      <c r="U23" s="41"/>
      <c r="V23" s="58"/>
      <c r="W23" s="58"/>
      <c r="X23" s="77"/>
      <c r="Y23" s="74"/>
      <c r="Z23" s="58"/>
    </row>
    <row r="24" spans="1:26">
      <c r="A24" s="112" t="s">
        <v>75</v>
      </c>
      <c r="C24" s="268">
        <f>B6+(B5*F24)</f>
        <v>2.6782541038207923E-2</v>
      </c>
      <c r="D24" s="340">
        <f t="shared" si="1"/>
        <v>-7.821745896179208E-2</v>
      </c>
      <c r="E24" s="6">
        <v>15</v>
      </c>
      <c r="F24" s="47">
        <v>14</v>
      </c>
      <c r="G24" s="62">
        <v>0.105</v>
      </c>
      <c r="H24" s="19">
        <f>F24-F30</f>
        <v>6.21</v>
      </c>
      <c r="I24" s="63">
        <f>G24-G30</f>
        <v>9.6983333333333338E-2</v>
      </c>
      <c r="J24" s="19">
        <f t="shared" si="2"/>
        <v>0.60226650000000004</v>
      </c>
      <c r="K24" s="20"/>
      <c r="L24" s="20">
        <f t="shared" si="3"/>
        <v>38.564099999999996</v>
      </c>
      <c r="M24" s="38">
        <f t="shared" si="0"/>
        <v>9.4057669444444457E-3</v>
      </c>
      <c r="N24" s="21"/>
      <c r="Q24" s="41"/>
      <c r="R24" s="41"/>
      <c r="S24" s="41"/>
      <c r="T24" s="41"/>
      <c r="U24" s="41"/>
      <c r="V24" s="58"/>
      <c r="W24" s="58"/>
      <c r="X24" s="77"/>
      <c r="Y24" s="74"/>
      <c r="Z24" s="58"/>
    </row>
    <row r="25" spans="1:26">
      <c r="A25" s="112" t="s">
        <v>76</v>
      </c>
      <c r="C25" s="268">
        <f>B6+(B5*F25)</f>
        <v>1.7716901245192825E-2</v>
      </c>
      <c r="D25" s="340">
        <f t="shared" si="1"/>
        <v>2.1816901245192824E-2</v>
      </c>
      <c r="E25" s="6">
        <v>16</v>
      </c>
      <c r="F25" s="47">
        <v>11</v>
      </c>
      <c r="G25" s="62">
        <v>-4.1000000000000003E-3</v>
      </c>
      <c r="H25" s="19">
        <f>F25-F30</f>
        <v>3.21</v>
      </c>
      <c r="I25" s="63">
        <f>G25-G30</f>
        <v>-1.2116666666666664E-2</v>
      </c>
      <c r="J25" s="19">
        <f t="shared" si="2"/>
        <v>-3.8894499999999992E-2</v>
      </c>
      <c r="K25" s="20"/>
      <c r="L25" s="20">
        <f t="shared" si="3"/>
        <v>10.3041</v>
      </c>
      <c r="M25" s="38">
        <f t="shared" si="0"/>
        <v>1.4681361111111105E-4</v>
      </c>
      <c r="N25" s="21"/>
      <c r="Q25" s="26"/>
      <c r="R25" s="80"/>
      <c r="S25" s="41"/>
      <c r="T25" s="41"/>
      <c r="U25" s="41"/>
      <c r="V25" s="58"/>
      <c r="W25" s="58"/>
      <c r="X25" s="77"/>
      <c r="Y25" s="74"/>
      <c r="Z25" s="58"/>
    </row>
    <row r="26" spans="1:26" ht="14.25" customHeight="1">
      <c r="A26" s="112" t="s">
        <v>77</v>
      </c>
      <c r="C26" s="268">
        <f>B6+(B5*F26)</f>
        <v>2.4062849100303395E-2</v>
      </c>
      <c r="D26" s="340">
        <f t="shared" si="1"/>
        <v>1.2362849100303394E-2</v>
      </c>
      <c r="E26" s="6">
        <v>17</v>
      </c>
      <c r="F26" s="47">
        <v>13.1</v>
      </c>
      <c r="G26" s="62">
        <v>1.17E-2</v>
      </c>
      <c r="H26" s="19">
        <f>F26-F30</f>
        <v>5.31</v>
      </c>
      <c r="I26" s="63">
        <f>G26-G30</f>
        <v>3.6833333333333353E-3</v>
      </c>
      <c r="J26" s="19">
        <f t="shared" si="2"/>
        <v>1.955850000000001E-2</v>
      </c>
      <c r="K26" s="20"/>
      <c r="L26" s="20">
        <f t="shared" si="3"/>
        <v>28.196099999999994</v>
      </c>
      <c r="M26" s="38">
        <f t="shared" si="0"/>
        <v>1.356694444444446E-5</v>
      </c>
      <c r="N26" s="21"/>
      <c r="Q26" s="41"/>
      <c r="R26" s="80"/>
      <c r="S26" s="41"/>
      <c r="T26" s="41"/>
      <c r="U26" s="41"/>
      <c r="V26" s="58"/>
      <c r="W26" s="58"/>
      <c r="X26" s="77"/>
      <c r="Y26" s="74"/>
      <c r="Z26" s="58"/>
    </row>
    <row r="27" spans="1:26" ht="14.25" customHeight="1">
      <c r="A27" s="112" t="s">
        <v>78</v>
      </c>
      <c r="C27" s="268">
        <f>B6+(B5*F27)</f>
        <v>-6.4581382028474407E-3</v>
      </c>
      <c r="D27" s="340">
        <f t="shared" si="1"/>
        <v>-2.7581382028474405E-3</v>
      </c>
      <c r="E27" s="6">
        <v>18</v>
      </c>
      <c r="F27" s="47">
        <v>3</v>
      </c>
      <c r="G27" s="62">
        <v>-3.7000000000000002E-3</v>
      </c>
      <c r="H27" s="19">
        <f>F27-F30</f>
        <v>-4.79</v>
      </c>
      <c r="I27" s="63">
        <f>G27-G30</f>
        <v>-1.1716666666666665E-2</v>
      </c>
      <c r="J27" s="19">
        <f t="shared" si="2"/>
        <v>5.6122833333333323E-2</v>
      </c>
      <c r="K27" s="20"/>
      <c r="L27" s="20">
        <f t="shared" si="3"/>
        <v>22.944099999999999</v>
      </c>
      <c r="M27" s="38">
        <f t="shared" si="0"/>
        <v>1.3728027777777774E-4</v>
      </c>
      <c r="N27" s="21"/>
      <c r="P27" s="271" t="s">
        <v>171</v>
      </c>
      <c r="Q27" s="272"/>
      <c r="R27" s="272"/>
      <c r="S27" s="272"/>
      <c r="T27" s="272"/>
      <c r="U27" s="272"/>
      <c r="V27" s="272"/>
      <c r="W27" s="272"/>
      <c r="X27" s="273"/>
      <c r="Y27" s="74"/>
      <c r="Z27" s="58"/>
    </row>
    <row r="28" spans="1:26" ht="12.75">
      <c r="D28" s="18"/>
      <c r="E28" s="6"/>
      <c r="F28" s="6"/>
      <c r="G28" s="6"/>
      <c r="H28" s="65"/>
      <c r="J28" s="60"/>
      <c r="K28" s="6"/>
      <c r="L28" s="6"/>
      <c r="M28" s="18"/>
      <c r="N28" s="6"/>
      <c r="P28" s="274"/>
      <c r="Q28" s="275"/>
      <c r="R28" s="275"/>
      <c r="S28" s="275"/>
      <c r="T28" s="275"/>
      <c r="U28" s="275"/>
      <c r="V28" s="275"/>
      <c r="W28" s="275"/>
      <c r="X28" s="276"/>
      <c r="Y28" s="74"/>
      <c r="Z28" s="58"/>
    </row>
    <row r="29" spans="1:26" ht="13.5" thickBot="1">
      <c r="M29" s="18"/>
      <c r="N29" s="6"/>
      <c r="P29" s="274"/>
      <c r="Q29" s="275"/>
      <c r="R29" s="275"/>
      <c r="S29" s="275"/>
      <c r="T29" s="275"/>
      <c r="U29" s="275"/>
      <c r="V29" s="275"/>
      <c r="W29" s="275"/>
      <c r="X29" s="276"/>
      <c r="Y29" s="74"/>
      <c r="Z29" s="58"/>
    </row>
    <row r="30" spans="1:26" ht="13.5" thickBot="1">
      <c r="B30" s="2" t="s">
        <v>0</v>
      </c>
      <c r="C30" s="64">
        <f>AVERAGE(C10:C27)</f>
        <v>8.0166666666666702E-3</v>
      </c>
      <c r="D30" s="63">
        <f>AVERAGE(D10:D27)</f>
        <v>8.6736173798840355E-19</v>
      </c>
      <c r="F30" s="18">
        <f>AVERAGE(F10:F27)</f>
        <v>7.79</v>
      </c>
      <c r="G30" s="64">
        <f>AVERAGE(G10:G27)</f>
        <v>8.016666666666665E-3</v>
      </c>
      <c r="H30" s="19">
        <f t="shared" ref="H30:I30" si="4">AVERAGE(H10:H27)</f>
        <v>0</v>
      </c>
      <c r="I30" s="19">
        <f t="shared" si="4"/>
        <v>1.9274705288631191E-18</v>
      </c>
      <c r="J30" s="59">
        <f>SUM(J10:J28)</f>
        <v>0.83077100000000015</v>
      </c>
      <c r="K30" s="27" t="s">
        <v>16</v>
      </c>
      <c r="L30" s="28">
        <f>SUM(L10:L29)</f>
        <v>274.91859999999997</v>
      </c>
      <c r="M30" s="28">
        <f>SUM(M10:M29)</f>
        <v>1.6523205000000003E-2</v>
      </c>
      <c r="N30" s="28">
        <f>M30*L30</f>
        <v>4.5425363861130004</v>
      </c>
      <c r="P30" s="277"/>
      <c r="Q30" s="278"/>
      <c r="R30" s="278"/>
      <c r="S30" s="278"/>
      <c r="T30" s="278"/>
      <c r="U30" s="278"/>
      <c r="V30" s="278"/>
      <c r="W30" s="278"/>
      <c r="X30" s="279"/>
      <c r="Y30" s="74"/>
      <c r="Z30" s="87"/>
    </row>
    <row r="31" spans="1:26" ht="15" thickBot="1">
      <c r="B31" s="15" t="s">
        <v>17</v>
      </c>
      <c r="C31" s="29">
        <f>STDEVA(C10:C27)</f>
        <v>1.2152197119574675E-2</v>
      </c>
      <c r="D31" s="29">
        <f>STDEVA(D10:D27)</f>
        <v>2.871023058878348E-2</v>
      </c>
      <c r="E31" s="15"/>
      <c r="F31" s="30">
        <f>STDEVA(F10:F27)</f>
        <v>4.0214030328905324</v>
      </c>
      <c r="G31" s="29">
        <f>STDEVA(G10:G27)</f>
        <v>3.1176164537898461E-2</v>
      </c>
      <c r="H31" s="30">
        <f>STDEVA(H10:H29)</f>
        <v>4.0214030328905324</v>
      </c>
      <c r="I31" s="30">
        <f>STDEVA(I10:I29)</f>
        <v>3.1176164537898465E-2</v>
      </c>
      <c r="J31" s="31" t="s">
        <v>16</v>
      </c>
      <c r="K31" s="32"/>
      <c r="L31" s="33"/>
      <c r="M31" s="33"/>
      <c r="N31" s="34"/>
      <c r="Q31" s="41"/>
      <c r="R31" s="41"/>
      <c r="S31" s="41"/>
      <c r="T31" s="41"/>
      <c r="U31" s="84"/>
      <c r="V31" s="85"/>
      <c r="W31" s="85"/>
      <c r="X31" s="88"/>
      <c r="Y31" s="89"/>
      <c r="Z31" s="41"/>
    </row>
    <row r="32" spans="1:26" ht="15.75">
      <c r="B32" s="15" t="s">
        <v>18</v>
      </c>
      <c r="C32" s="35">
        <f>C31^2</f>
        <v>1.4767589483299901E-4</v>
      </c>
      <c r="D32" s="35">
        <f>D31^2</f>
        <v>8.242773404611186E-4</v>
      </c>
      <c r="E32" s="15"/>
      <c r="F32" s="30">
        <f>F31^2</f>
        <v>16.171682352941172</v>
      </c>
      <c r="G32" s="35">
        <f>G31^2</f>
        <v>9.7195323529411753E-4</v>
      </c>
      <c r="H32" s="30">
        <f>H31^2</f>
        <v>16.171682352941172</v>
      </c>
      <c r="I32" s="30">
        <f>I31^2</f>
        <v>9.7195323529411775E-4</v>
      </c>
      <c r="J32" s="33"/>
      <c r="K32" s="27"/>
      <c r="L32" s="33"/>
      <c r="M32" s="33"/>
      <c r="N32" s="34"/>
      <c r="Q32" s="41"/>
      <c r="R32" s="41"/>
      <c r="S32" s="41"/>
      <c r="T32" s="41"/>
      <c r="U32" s="84"/>
      <c r="V32" s="85"/>
      <c r="W32" s="85"/>
      <c r="X32" s="41"/>
      <c r="Y32" s="41"/>
      <c r="Z32" s="41"/>
    </row>
    <row r="33" spans="1:26">
      <c r="B33" s="2" t="s">
        <v>19</v>
      </c>
      <c r="C33" s="30">
        <f>COUNT(C10:C27)</f>
        <v>18</v>
      </c>
      <c r="D33" s="30">
        <f>COUNT(D10:D27)</f>
        <v>18</v>
      </c>
      <c r="F33" s="30">
        <f>COUNT(F10:F27)</f>
        <v>18</v>
      </c>
      <c r="G33" s="30">
        <f>COUNT(G10:G27)</f>
        <v>18</v>
      </c>
      <c r="I33" s="27"/>
      <c r="J33" s="33"/>
      <c r="K33" s="27"/>
      <c r="L33" s="33"/>
      <c r="M33" s="33"/>
      <c r="N33" s="34"/>
      <c r="Q33" s="41"/>
      <c r="R33" s="41"/>
      <c r="S33" s="41"/>
      <c r="T33" s="41"/>
      <c r="U33" s="41"/>
      <c r="V33" s="41"/>
      <c r="W33" s="41"/>
      <c r="X33" s="41"/>
      <c r="Y33" s="41"/>
      <c r="Z33" s="41"/>
    </row>
    <row r="34" spans="1:26">
      <c r="B34" s="36" t="s">
        <v>20</v>
      </c>
      <c r="C34" s="37">
        <f>C30/C31</f>
        <v>0.65968866269898463</v>
      </c>
      <c r="D34" s="37">
        <f>D30/D31</f>
        <v>3.0210894172590335E-17</v>
      </c>
      <c r="E34" s="36"/>
      <c r="F34" s="37">
        <f>F30/F31</f>
        <v>1.9371348597209987</v>
      </c>
      <c r="G34" s="37">
        <f>G30/G31</f>
        <v>0.25714088905713278</v>
      </c>
      <c r="I34" s="27"/>
      <c r="J34" s="36"/>
      <c r="Q34" s="41"/>
      <c r="R34" s="41"/>
      <c r="S34" s="41"/>
      <c r="T34" s="41"/>
      <c r="U34" s="41"/>
      <c r="V34" s="41"/>
      <c r="W34" s="41"/>
      <c r="X34" s="41"/>
      <c r="Y34" s="41"/>
      <c r="Z34" s="41"/>
    </row>
    <row r="35" spans="1:26">
      <c r="B35" s="36"/>
      <c r="C35" s="37"/>
      <c r="D35" s="36"/>
      <c r="E35" s="36"/>
      <c r="F35" s="37"/>
      <c r="G35" s="37"/>
      <c r="I35" s="27"/>
      <c r="J35" s="36"/>
      <c r="Q35" s="41"/>
      <c r="R35" s="41"/>
      <c r="S35" s="41"/>
      <c r="T35" s="41"/>
      <c r="U35" s="41"/>
      <c r="V35" s="41"/>
      <c r="W35" s="41"/>
      <c r="X35" s="41"/>
      <c r="Y35" s="41"/>
      <c r="Z35" s="41"/>
    </row>
    <row r="36" spans="1:26">
      <c r="B36" s="36"/>
      <c r="C36" s="37"/>
      <c r="D36" s="36"/>
      <c r="E36" s="36"/>
      <c r="F36" s="37"/>
      <c r="G36" s="48" t="s">
        <v>21</v>
      </c>
      <c r="I36" s="49" t="s">
        <v>22</v>
      </c>
      <c r="J36" s="36"/>
    </row>
    <row r="37" spans="1:26" ht="15.75">
      <c r="A37" s="2" t="s">
        <v>23</v>
      </c>
      <c r="C37" s="37"/>
      <c r="D37" s="36"/>
      <c r="E37" s="36"/>
      <c r="G37" s="39">
        <f>B7*(SQRT((C33-2)/(1-B8)))</f>
        <v>1.6930824824962982</v>
      </c>
      <c r="H37" s="40"/>
      <c r="I37" s="42">
        <f>TDIST(ABS(G37),8,2)</f>
        <v>0.12889484213305274</v>
      </c>
      <c r="J37" s="50" t="s">
        <v>57</v>
      </c>
      <c r="N37" s="2"/>
      <c r="O37" s="41"/>
      <c r="P37" s="43"/>
    </row>
    <row r="38" spans="1:26" ht="15.75">
      <c r="A38" s="2" t="s">
        <v>24</v>
      </c>
      <c r="C38" s="37"/>
      <c r="D38" s="36"/>
      <c r="E38" s="36"/>
      <c r="G38" s="39">
        <f>B5/((G31/F31)*SQRT((1-B7^2)/(G33-2)))</f>
        <v>1.6930824824962982</v>
      </c>
      <c r="H38" s="36"/>
      <c r="I38" s="42">
        <f>TDIST(ABS(G38),8,2)</f>
        <v>0.12889484213305274</v>
      </c>
      <c r="J38" s="36"/>
      <c r="K38" s="36"/>
      <c r="N38" s="2"/>
      <c r="O38" s="36"/>
      <c r="P38" s="43"/>
    </row>
    <row r="39" spans="1:26" ht="12.75">
      <c r="C39" s="37"/>
      <c r="D39" s="36"/>
      <c r="E39" s="36"/>
      <c r="J39" s="36"/>
      <c r="K39" s="36"/>
      <c r="N39" s="2"/>
      <c r="O39" s="36"/>
      <c r="P39" s="43"/>
    </row>
    <row r="40" spans="1:26" ht="15.75">
      <c r="A40" s="2" t="s">
        <v>25</v>
      </c>
      <c r="B40" s="37"/>
      <c r="D40" s="38"/>
      <c r="E40" s="264">
        <f>Q40*((G31/F31)*SQRT((1-B7^2)/(G33-2)))</f>
        <v>3.783690012492901E-3</v>
      </c>
      <c r="F40" s="51" t="s">
        <v>26</v>
      </c>
      <c r="G40" s="66">
        <f>B5-E40</f>
        <v>-7.6181008148786759E-4</v>
      </c>
      <c r="H40" s="51" t="s">
        <v>27</v>
      </c>
      <c r="I40" s="67">
        <f>B5+E40</f>
        <v>6.8055699434979343E-3</v>
      </c>
      <c r="K40" s="51" t="s">
        <v>28</v>
      </c>
      <c r="L40" s="52">
        <v>0.95</v>
      </c>
      <c r="M40" s="51" t="s">
        <v>29</v>
      </c>
      <c r="N40" s="53">
        <f>C33-2</f>
        <v>16</v>
      </c>
      <c r="P40" s="54" t="s">
        <v>30</v>
      </c>
      <c r="Q40" s="55">
        <f>TINV((1-L40),N40)</f>
        <v>2.119905299221255</v>
      </c>
    </row>
    <row r="41" spans="1:26" ht="12.75">
      <c r="B41" s="37"/>
      <c r="E41" s="38"/>
      <c r="G41" s="36"/>
      <c r="J41" s="36"/>
      <c r="K41" s="36"/>
      <c r="L41" s="36"/>
      <c r="M41" s="36"/>
      <c r="N41" s="36"/>
      <c r="O41" s="36"/>
      <c r="P41" s="43"/>
    </row>
    <row r="42" spans="1:26" ht="12.75">
      <c r="B42" s="37"/>
      <c r="E42" s="38"/>
      <c r="G42" s="36"/>
      <c r="J42" s="36"/>
      <c r="K42" s="36"/>
      <c r="L42" s="36"/>
      <c r="M42" s="36"/>
      <c r="N42" s="36"/>
      <c r="O42" s="36"/>
      <c r="P42" s="43"/>
    </row>
    <row r="43" spans="1:26" ht="12.75">
      <c r="B43" s="37"/>
      <c r="E43" s="38"/>
      <c r="G43" s="36"/>
      <c r="J43" s="36"/>
      <c r="K43" s="36"/>
      <c r="L43" s="36"/>
      <c r="M43" s="36"/>
      <c r="N43" s="36"/>
      <c r="O43" s="36"/>
      <c r="P43" s="43"/>
    </row>
    <row r="44" spans="1:26" ht="12.75">
      <c r="N44" s="2"/>
    </row>
    <row r="45" spans="1:26">
      <c r="A45" s="16" t="s">
        <v>13</v>
      </c>
      <c r="B45" s="17">
        <f>J66/L66</f>
        <v>1.8548647607688198E-3</v>
      </c>
      <c r="D45" s="94"/>
      <c r="E45" s="95"/>
      <c r="F45" s="93" t="str">
        <f>F50</f>
        <v>X = Dif PAS [Int vs Conv]</v>
      </c>
      <c r="G45" s="95"/>
      <c r="H45" s="15"/>
      <c r="I45" s="96" t="str">
        <f>G50</f>
        <v>Y = RAR en MortCV</v>
      </c>
      <c r="M45" s="4"/>
    </row>
    <row r="46" spans="1:26">
      <c r="A46" s="22" t="s">
        <v>14</v>
      </c>
      <c r="B46" s="23">
        <f>B48*G67/F67</f>
        <v>1.8548647607688194E-3</v>
      </c>
      <c r="D46" s="97" t="s">
        <v>37</v>
      </c>
      <c r="E46" s="128">
        <v>-1</v>
      </c>
      <c r="F46" s="93" t="s">
        <v>33</v>
      </c>
      <c r="G46" s="15" t="s">
        <v>36</v>
      </c>
      <c r="H46" s="15"/>
      <c r="I46" s="96" t="s">
        <v>166</v>
      </c>
      <c r="J46" s="126">
        <f>E46*B46</f>
        <v>-1.8548647607688194E-3</v>
      </c>
      <c r="K46" s="6" t="s">
        <v>35</v>
      </c>
      <c r="L46" s="126">
        <f>E46*G76</f>
        <v>1.3204968202340226E-3</v>
      </c>
      <c r="M46" s="6" t="s">
        <v>34</v>
      </c>
      <c r="N46" s="126">
        <f>E46*I76</f>
        <v>-5.0302263417716618E-3</v>
      </c>
    </row>
    <row r="47" spans="1:26">
      <c r="A47" s="16" t="s">
        <v>15</v>
      </c>
      <c r="B47" s="17">
        <f>G66-(F66*B45)</f>
        <v>-6.9357039024935691E-3</v>
      </c>
      <c r="Q47" s="41"/>
      <c r="R47" s="41"/>
      <c r="S47" s="41"/>
      <c r="T47" s="41"/>
      <c r="U47" s="43"/>
      <c r="V47" s="68"/>
      <c r="W47" s="68"/>
      <c r="X47" s="68"/>
      <c r="Y47" s="41"/>
      <c r="Z47" s="41"/>
    </row>
    <row r="48" spans="1:26">
      <c r="A48" s="25" t="s">
        <v>31</v>
      </c>
      <c r="B48" s="24">
        <f>J66/SQRT(N66)</f>
        <v>0.3614426995722087</v>
      </c>
      <c r="Q48" s="41"/>
      <c r="R48" s="41"/>
      <c r="S48" s="41"/>
      <c r="T48" s="41"/>
      <c r="U48" s="43"/>
      <c r="V48" s="72"/>
      <c r="W48" s="72"/>
      <c r="X48" s="72"/>
      <c r="Y48" s="41"/>
      <c r="Z48" s="41"/>
    </row>
    <row r="49" spans="1:26" ht="26.25" customHeight="1" thickBot="1">
      <c r="A49" s="108" t="s">
        <v>32</v>
      </c>
      <c r="B49" s="109">
        <f>B48^2</f>
        <v>0.13064082507404592</v>
      </c>
      <c r="C49" s="110">
        <f>1-B49</f>
        <v>0.86935917492595405</v>
      </c>
      <c r="F49" s="7"/>
      <c r="G49" s="8"/>
      <c r="H49" s="269" t="s">
        <v>1</v>
      </c>
      <c r="I49" s="270"/>
      <c r="J49" s="9" t="s">
        <v>2</v>
      </c>
      <c r="K49" s="10"/>
      <c r="L49" s="9" t="s">
        <v>3</v>
      </c>
      <c r="M49" s="9" t="s">
        <v>4</v>
      </c>
      <c r="N49" s="9" t="s">
        <v>5</v>
      </c>
      <c r="Q49" s="41"/>
      <c r="R49" s="41"/>
      <c r="S49" s="41"/>
      <c r="T49" s="41"/>
      <c r="U49" s="43"/>
      <c r="V49" s="68"/>
      <c r="W49" s="68"/>
      <c r="X49" s="41"/>
      <c r="Y49" s="41"/>
      <c r="Z49" s="69"/>
    </row>
    <row r="50" spans="1:26" ht="37.5" customHeight="1" thickBot="1">
      <c r="A50" s="114" t="s">
        <v>42</v>
      </c>
      <c r="C50" s="11" t="s">
        <v>174</v>
      </c>
      <c r="D50" s="12" t="s">
        <v>6</v>
      </c>
      <c r="E50" s="12" t="s">
        <v>39</v>
      </c>
      <c r="F50" s="44" t="s">
        <v>172</v>
      </c>
      <c r="G50" s="45" t="s">
        <v>176</v>
      </c>
      <c r="H50" s="13" t="s">
        <v>7</v>
      </c>
      <c r="I50" s="14" t="s">
        <v>8</v>
      </c>
      <c r="J50" s="14" t="s">
        <v>9</v>
      </c>
      <c r="L50" s="14" t="s">
        <v>10</v>
      </c>
      <c r="M50" s="14" t="s">
        <v>11</v>
      </c>
      <c r="N50" s="14" t="s">
        <v>12</v>
      </c>
      <c r="Q50" s="41"/>
      <c r="R50" s="41"/>
      <c r="S50" s="70"/>
      <c r="T50" s="71"/>
      <c r="U50" s="41"/>
      <c r="V50" s="72"/>
      <c r="W50" s="72"/>
      <c r="X50" s="73"/>
      <c r="Y50" s="74"/>
      <c r="Z50" s="72"/>
    </row>
    <row r="51" spans="1:26">
      <c r="A51" s="112" t="s">
        <v>61</v>
      </c>
      <c r="C51" s="268">
        <f>B47+(B46*F51)</f>
        <v>-1.5565960962639928E-3</v>
      </c>
      <c r="D51" s="340">
        <f t="shared" ref="D51:D63" si="5">C51-G51</f>
        <v>-3.5659609626399291E-4</v>
      </c>
      <c r="E51" s="6">
        <v>1</v>
      </c>
      <c r="F51" s="47">
        <v>2.9</v>
      </c>
      <c r="G51" s="62">
        <v>-1.1999999999999999E-3</v>
      </c>
      <c r="H51" s="19">
        <f>F51-F66</f>
        <v>-5.546153846153846</v>
      </c>
      <c r="I51" s="63">
        <f>G51-G66</f>
        <v>-9.9307692307692309E-3</v>
      </c>
      <c r="J51" s="19">
        <f t="shared" ref="J51:J63" si="6">H51*I51</f>
        <v>5.5077573964497042E-2</v>
      </c>
      <c r="K51" s="20"/>
      <c r="L51" s="20">
        <f t="shared" ref="L51:L63" si="7">H51^2</f>
        <v>30.759822485207099</v>
      </c>
      <c r="M51" s="38">
        <f t="shared" ref="M51:M63" si="8">I51^2</f>
        <v>9.8620177514792905E-5</v>
      </c>
      <c r="N51" s="21"/>
      <c r="Q51" s="41"/>
      <c r="R51" s="57"/>
      <c r="S51" s="78"/>
      <c r="T51" s="79"/>
      <c r="U51" s="41"/>
      <c r="V51" s="58"/>
      <c r="W51" s="58"/>
      <c r="X51" s="77"/>
      <c r="Y51" s="74"/>
      <c r="Z51" s="58"/>
    </row>
    <row r="52" spans="1:26">
      <c r="A52" s="112" t="s">
        <v>63</v>
      </c>
      <c r="C52" s="268">
        <f>B47+(B46*F52)</f>
        <v>1.1612943705194624E-2</v>
      </c>
      <c r="D52" s="340">
        <f t="shared" si="5"/>
        <v>-3.5787056294805372E-2</v>
      </c>
      <c r="E52" s="6">
        <v>2</v>
      </c>
      <c r="F52" s="47">
        <v>10</v>
      </c>
      <c r="G52" s="62">
        <v>4.7399999999999998E-2</v>
      </c>
      <c r="H52" s="19">
        <f>F52-F66</f>
        <v>1.5538461538461537</v>
      </c>
      <c r="I52" s="63">
        <f>G52-G66</f>
        <v>3.8669230769230768E-2</v>
      </c>
      <c r="J52" s="19">
        <f t="shared" si="6"/>
        <v>6.0086035502958574E-2</v>
      </c>
      <c r="K52" s="20"/>
      <c r="L52" s="20">
        <f t="shared" si="7"/>
        <v>2.4144378698224847</v>
      </c>
      <c r="M52" s="38">
        <f t="shared" si="8"/>
        <v>1.4953094082840236E-3</v>
      </c>
      <c r="N52" s="21"/>
      <c r="Q52" s="41"/>
      <c r="R52" s="57"/>
      <c r="S52" s="78"/>
      <c r="T52" s="79"/>
      <c r="U52" s="41"/>
      <c r="V52" s="58"/>
      <c r="W52" s="58"/>
      <c r="X52" s="77"/>
      <c r="Y52" s="74"/>
      <c r="Z52" s="58"/>
    </row>
    <row r="53" spans="1:26">
      <c r="A53" s="129" t="s">
        <v>65</v>
      </c>
      <c r="C53" s="268">
        <f>B47+(B46*F53)</f>
        <v>6.0483494228881669E-3</v>
      </c>
      <c r="D53" s="340">
        <f t="shared" si="5"/>
        <v>2.3848349422888167E-2</v>
      </c>
      <c r="E53" s="6">
        <v>3</v>
      </c>
      <c r="F53" s="47">
        <v>7</v>
      </c>
      <c r="G53" s="62">
        <v>-1.78E-2</v>
      </c>
      <c r="H53" s="19">
        <f>F53-F66</f>
        <v>-1.4461538461538463</v>
      </c>
      <c r="I53" s="63">
        <f>G53-G66</f>
        <v>-2.6530769230769233E-2</v>
      </c>
      <c r="J53" s="19">
        <f t="shared" si="6"/>
        <v>3.8367573964497047E-2</v>
      </c>
      <c r="K53" s="20"/>
      <c r="L53" s="20">
        <f t="shared" si="7"/>
        <v>2.0913609467455627</v>
      </c>
      <c r="M53" s="38">
        <f t="shared" si="8"/>
        <v>7.0388171597633145E-4</v>
      </c>
      <c r="N53" s="21"/>
      <c r="Q53" s="41"/>
      <c r="R53" s="80"/>
      <c r="S53" s="41"/>
      <c r="T53" s="41"/>
      <c r="U53" s="41"/>
      <c r="V53" s="58"/>
      <c r="W53" s="58"/>
      <c r="X53" s="77"/>
      <c r="Y53" s="74"/>
      <c r="Z53" s="58"/>
    </row>
    <row r="54" spans="1:26">
      <c r="A54" s="112" t="s">
        <v>67</v>
      </c>
      <c r="C54" s="268">
        <f>B47+(B46*F54)</f>
        <v>2.3386199013505273E-3</v>
      </c>
      <c r="D54" s="340">
        <f t="shared" si="5"/>
        <v>-3.5613800986494725E-3</v>
      </c>
      <c r="E54" s="6">
        <v>4</v>
      </c>
      <c r="F54" s="47">
        <v>5</v>
      </c>
      <c r="G54" s="62">
        <v>5.8999999999999999E-3</v>
      </c>
      <c r="H54" s="19">
        <f>F54-F66</f>
        <v>-3.4461538461538463</v>
      </c>
      <c r="I54" s="63">
        <f>G54-G66</f>
        <v>-2.8307692307692313E-3</v>
      </c>
      <c r="J54" s="19">
        <f t="shared" si="6"/>
        <v>9.7552662721893512E-3</v>
      </c>
      <c r="K54" s="20"/>
      <c r="L54" s="20">
        <f t="shared" si="7"/>
        <v>11.875976331360947</v>
      </c>
      <c r="M54" s="38">
        <f t="shared" si="8"/>
        <v>8.0132544378698255E-6</v>
      </c>
      <c r="N54" s="21"/>
      <c r="Q54" s="41"/>
      <c r="R54" s="41"/>
      <c r="S54" s="41"/>
      <c r="T54" s="41"/>
      <c r="U54" s="41"/>
      <c r="V54" s="58"/>
      <c r="W54" s="58"/>
      <c r="X54" s="77"/>
      <c r="Y54" s="74"/>
      <c r="Z54" s="58"/>
    </row>
    <row r="55" spans="1:26">
      <c r="A55" s="112" t="s">
        <v>69</v>
      </c>
      <c r="C55" s="268">
        <f>B47+(B46*F55)</f>
        <v>1.1056484276963976E-2</v>
      </c>
      <c r="D55" s="340">
        <f t="shared" si="5"/>
        <v>1.1956484276963976E-2</v>
      </c>
      <c r="E55" s="6">
        <v>5</v>
      </c>
      <c r="F55" s="47">
        <v>9.6999999999999993</v>
      </c>
      <c r="G55" s="62">
        <v>-8.9999999999999998E-4</v>
      </c>
      <c r="H55" s="19">
        <f>F55-F66</f>
        <v>1.2538461538461529</v>
      </c>
      <c r="I55" s="63">
        <f>G55-G66</f>
        <v>-9.6307692307692309E-3</v>
      </c>
      <c r="J55" s="19">
        <f t="shared" si="6"/>
        <v>-1.2075502958579874E-2</v>
      </c>
      <c r="K55" s="20"/>
      <c r="L55" s="20">
        <f t="shared" si="7"/>
        <v>1.5721301775147907</v>
      </c>
      <c r="M55" s="38">
        <f t="shared" si="8"/>
        <v>9.2751715976331371E-5</v>
      </c>
      <c r="N55" s="21"/>
      <c r="Q55" s="41"/>
      <c r="R55" s="41"/>
      <c r="S55" s="41"/>
      <c r="T55" s="41"/>
      <c r="U55" s="41"/>
      <c r="V55" s="58"/>
      <c r="W55" s="58"/>
      <c r="X55" s="77"/>
      <c r="Y55" s="74"/>
      <c r="Z55" s="58"/>
    </row>
    <row r="56" spans="1:26">
      <c r="A56" s="112" t="s">
        <v>71</v>
      </c>
      <c r="C56" s="268">
        <f>B47+(B46*F56)</f>
        <v>1.7363024463577965E-2</v>
      </c>
      <c r="D56" s="340">
        <f t="shared" si="5"/>
        <v>1.8263024463577967E-2</v>
      </c>
      <c r="E56" s="6">
        <v>6</v>
      </c>
      <c r="F56" s="47">
        <v>13.1</v>
      </c>
      <c r="G56" s="62">
        <v>-8.9999999999999998E-4</v>
      </c>
      <c r="H56" s="19">
        <f>F56-F66</f>
        <v>4.6538461538461533</v>
      </c>
      <c r="I56" s="63">
        <f>G56-G66</f>
        <v>-9.6307692307692309E-3</v>
      </c>
      <c r="J56" s="19">
        <f t="shared" si="6"/>
        <v>-4.4820118343195263E-2</v>
      </c>
      <c r="K56" s="20"/>
      <c r="L56" s="20">
        <f t="shared" si="7"/>
        <v>21.658284023668635</v>
      </c>
      <c r="M56" s="38">
        <f t="shared" si="8"/>
        <v>9.2751715976331371E-5</v>
      </c>
      <c r="N56" s="21"/>
      <c r="Q56" s="41"/>
      <c r="R56" s="41"/>
      <c r="S56" s="41"/>
      <c r="T56" s="41"/>
      <c r="U56" s="41"/>
      <c r="V56" s="58"/>
      <c r="W56" s="58"/>
      <c r="X56" s="77"/>
      <c r="Y56" s="74"/>
      <c r="Z56" s="58"/>
    </row>
    <row r="57" spans="1:26">
      <c r="A57" s="112" t="s">
        <v>72</v>
      </c>
      <c r="C57" s="268">
        <f>B47+(B46*F57)</f>
        <v>3.451538757811819E-3</v>
      </c>
      <c r="D57" s="340">
        <f t="shared" si="5"/>
        <v>3.3515387578118192E-3</v>
      </c>
      <c r="E57" s="6">
        <v>7</v>
      </c>
      <c r="F57" s="47">
        <v>5.6</v>
      </c>
      <c r="G57" s="62">
        <v>1E-4</v>
      </c>
      <c r="H57" s="19">
        <f>F57-F66</f>
        <v>-2.8461538461538467</v>
      </c>
      <c r="I57" s="63">
        <f>G57-G66</f>
        <v>-8.6307692307692318E-3</v>
      </c>
      <c r="J57" s="19">
        <f t="shared" si="6"/>
        <v>2.4564497041420125E-2</v>
      </c>
      <c r="K57" s="20"/>
      <c r="L57" s="20">
        <f t="shared" si="7"/>
        <v>8.1005917159763339</v>
      </c>
      <c r="M57" s="38">
        <f t="shared" si="8"/>
        <v>7.4490177514792918E-5</v>
      </c>
      <c r="N57" s="21"/>
      <c r="Q57" s="41"/>
      <c r="R57" s="41"/>
      <c r="S57" s="41"/>
      <c r="T57" s="41"/>
      <c r="U57" s="41"/>
      <c r="V57" s="58"/>
      <c r="W57" s="58"/>
      <c r="X57" s="77"/>
      <c r="Y57" s="74"/>
      <c r="Z57" s="58"/>
    </row>
    <row r="58" spans="1:26">
      <c r="A58" s="112" t="s">
        <v>73</v>
      </c>
      <c r="C58" s="268">
        <f>B47+(B46*F58)</f>
        <v>1.9032402748269901E-2</v>
      </c>
      <c r="D58" s="340">
        <f t="shared" si="5"/>
        <v>2.1632402748269899E-2</v>
      </c>
      <c r="E58" s="6">
        <v>8</v>
      </c>
      <c r="F58" s="47">
        <v>14</v>
      </c>
      <c r="G58" s="62">
        <v>-2.5999999999999999E-3</v>
      </c>
      <c r="H58" s="19">
        <f>F58-F66</f>
        <v>5.5538461538461537</v>
      </c>
      <c r="I58" s="63">
        <f>G58-G66</f>
        <v>-1.1330769230769231E-2</v>
      </c>
      <c r="J58" s="19">
        <f t="shared" si="6"/>
        <v>-6.2929349112426036E-2</v>
      </c>
      <c r="K58" s="20"/>
      <c r="L58" s="20">
        <f t="shared" si="7"/>
        <v>30.845207100591715</v>
      </c>
      <c r="M58" s="38">
        <f t="shared" si="8"/>
        <v>1.2838633136094677E-4</v>
      </c>
      <c r="N58" s="21"/>
      <c r="Q58" s="41"/>
      <c r="R58" s="41"/>
      <c r="S58" s="41"/>
      <c r="T58" s="41"/>
      <c r="U58" s="41"/>
      <c r="V58" s="58"/>
      <c r="W58" s="58"/>
      <c r="X58" s="77"/>
      <c r="Y58" s="74"/>
      <c r="Z58" s="58"/>
    </row>
    <row r="59" spans="1:26">
      <c r="A59" s="112" t="s">
        <v>74</v>
      </c>
      <c r="C59" s="268">
        <f>B47+(B46*F59)</f>
        <v>-4.3388932374172221E-3</v>
      </c>
      <c r="D59" s="340">
        <f t="shared" si="5"/>
        <v>-5.4388932374172224E-3</v>
      </c>
      <c r="E59" s="6">
        <v>9</v>
      </c>
      <c r="F59" s="47">
        <v>1.4</v>
      </c>
      <c r="G59" s="62">
        <v>1.1000000000000001E-3</v>
      </c>
      <c r="H59" s="19">
        <f>F59-F66</f>
        <v>-7.046153846153846</v>
      </c>
      <c r="I59" s="63">
        <f>G59-G66</f>
        <v>-7.6307692307692309E-3</v>
      </c>
      <c r="J59" s="19">
        <f t="shared" si="6"/>
        <v>5.3767573964497044E-2</v>
      </c>
      <c r="K59" s="20"/>
      <c r="L59" s="20">
        <f t="shared" si="7"/>
        <v>49.648284023668637</v>
      </c>
      <c r="M59" s="38">
        <f t="shared" si="8"/>
        <v>5.8228639053254439E-5</v>
      </c>
      <c r="N59" s="21"/>
      <c r="Q59" s="41"/>
      <c r="R59" s="41"/>
      <c r="S59" s="41"/>
      <c r="T59" s="41"/>
      <c r="U59" s="41"/>
      <c r="V59" s="58"/>
      <c r="W59" s="58"/>
      <c r="X59" s="77"/>
      <c r="Y59" s="74"/>
      <c r="Z59" s="58"/>
    </row>
    <row r="60" spans="1:26">
      <c r="A60" s="112" t="s">
        <v>75</v>
      </c>
      <c r="C60" s="268">
        <f>B47+(B46*F60)</f>
        <v>1.9032402748269901E-2</v>
      </c>
      <c r="D60" s="340">
        <f t="shared" si="5"/>
        <v>-5.0567597251730094E-2</v>
      </c>
      <c r="E60" s="6">
        <v>10</v>
      </c>
      <c r="F60" s="47">
        <v>14</v>
      </c>
      <c r="G60" s="62">
        <v>6.9599999999999995E-2</v>
      </c>
      <c r="H60" s="19">
        <f>F60-F66</f>
        <v>5.5538461538461537</v>
      </c>
      <c r="I60" s="63">
        <f>G60-G66</f>
        <v>6.0869230769230766E-2</v>
      </c>
      <c r="J60" s="19">
        <f t="shared" si="6"/>
        <v>0.33805834319526623</v>
      </c>
      <c r="K60" s="20"/>
      <c r="L60" s="20">
        <f t="shared" si="7"/>
        <v>30.845207100591715</v>
      </c>
      <c r="M60" s="38">
        <f t="shared" si="8"/>
        <v>3.7050632544378694E-3</v>
      </c>
      <c r="N60" s="21"/>
      <c r="Q60" s="41"/>
      <c r="R60" s="41"/>
      <c r="S60" s="41"/>
      <c r="T60" s="41"/>
      <c r="U60" s="41"/>
      <c r="V60" s="58"/>
      <c r="W60" s="58"/>
      <c r="X60" s="77"/>
      <c r="Y60" s="74"/>
      <c r="Z60" s="58"/>
    </row>
    <row r="61" spans="1:26">
      <c r="A61" s="112" t="s">
        <v>76</v>
      </c>
      <c r="C61" s="268">
        <f>B47+(B46*F61)</f>
        <v>1.3467808465963444E-2</v>
      </c>
      <c r="D61" s="340">
        <f t="shared" si="5"/>
        <v>1.0467808465963443E-2</v>
      </c>
      <c r="E61" s="6">
        <v>11</v>
      </c>
      <c r="F61" s="47">
        <v>11</v>
      </c>
      <c r="G61" s="62">
        <v>3.0000000000000001E-3</v>
      </c>
      <c r="H61" s="19">
        <f>F61-F66</f>
        <v>2.5538461538461537</v>
      </c>
      <c r="I61" s="63">
        <f>G61-G66</f>
        <v>-5.7307692307692311E-3</v>
      </c>
      <c r="J61" s="19">
        <f t="shared" si="6"/>
        <v>-1.4635502958579882E-2</v>
      </c>
      <c r="K61" s="20"/>
      <c r="L61" s="20">
        <f t="shared" si="7"/>
        <v>6.522130177514792</v>
      </c>
      <c r="M61" s="38">
        <f t="shared" si="8"/>
        <v>3.2841715976331363E-5</v>
      </c>
      <c r="N61" s="21"/>
      <c r="Q61" s="26"/>
      <c r="R61" s="80"/>
      <c r="S61" s="41"/>
      <c r="T61" s="41"/>
      <c r="U61" s="41"/>
      <c r="V61" s="58"/>
      <c r="W61" s="58"/>
      <c r="X61" s="77"/>
      <c r="Y61" s="74"/>
      <c r="Z61" s="58"/>
    </row>
    <row r="62" spans="1:26">
      <c r="A62" s="112" t="s">
        <v>77</v>
      </c>
      <c r="C62" s="268">
        <f>B47+(B46*F62)</f>
        <v>1.7363024463577965E-2</v>
      </c>
      <c r="D62" s="340">
        <f t="shared" si="5"/>
        <v>1.1363024463577965E-2</v>
      </c>
      <c r="E62" s="6">
        <v>12</v>
      </c>
      <c r="F62" s="47">
        <v>13.1</v>
      </c>
      <c r="G62" s="62">
        <v>6.0000000000000001E-3</v>
      </c>
      <c r="H62" s="19">
        <f>F62-F66</f>
        <v>4.6538461538461533</v>
      </c>
      <c r="I62" s="63">
        <f>G62-G66</f>
        <v>-2.7307692307692311E-3</v>
      </c>
      <c r="J62" s="19">
        <f t="shared" si="6"/>
        <v>-1.2708579881656804E-2</v>
      </c>
      <c r="K62" s="20"/>
      <c r="L62" s="20">
        <f t="shared" si="7"/>
        <v>21.658284023668635</v>
      </c>
      <c r="M62" s="38">
        <f t="shared" si="8"/>
        <v>7.4571005917159777E-6</v>
      </c>
      <c r="N62" s="21"/>
      <c r="Q62" s="41"/>
      <c r="R62" s="80"/>
      <c r="S62" s="41"/>
      <c r="T62" s="41"/>
      <c r="U62" s="41"/>
      <c r="V62" s="58"/>
      <c r="W62" s="58"/>
      <c r="X62" s="77"/>
      <c r="Y62" s="74"/>
      <c r="Z62" s="58"/>
    </row>
    <row r="63" spans="1:26" ht="14.25" customHeight="1">
      <c r="A63" s="112" t="s">
        <v>78</v>
      </c>
      <c r="C63" s="268">
        <f>B47+(B46*F63)</f>
        <v>-1.3711096201871106E-3</v>
      </c>
      <c r="D63" s="340">
        <f t="shared" si="5"/>
        <v>-5.1711096201871101E-3</v>
      </c>
      <c r="E63" s="6">
        <v>13</v>
      </c>
      <c r="F63" s="47">
        <v>3</v>
      </c>
      <c r="G63" s="62">
        <v>3.8E-3</v>
      </c>
      <c r="H63" s="19">
        <f>F63-F66</f>
        <v>-5.4461538461538463</v>
      </c>
      <c r="I63" s="63">
        <f>G63-G66</f>
        <v>-4.9307692307692316E-3</v>
      </c>
      <c r="J63" s="19">
        <f t="shared" si="6"/>
        <v>2.6853727810650894E-2</v>
      </c>
      <c r="K63" s="20"/>
      <c r="L63" s="20">
        <f t="shared" si="7"/>
        <v>29.660591715976334</v>
      </c>
      <c r="M63" s="38">
        <f t="shared" si="8"/>
        <v>2.43124852071006E-5</v>
      </c>
      <c r="N63" s="21"/>
      <c r="P63" s="271" t="s">
        <v>52</v>
      </c>
      <c r="Q63" s="272"/>
      <c r="R63" s="272"/>
      <c r="S63" s="272"/>
      <c r="T63" s="272"/>
      <c r="U63" s="272"/>
      <c r="V63" s="272"/>
      <c r="W63" s="272"/>
      <c r="X63" s="273"/>
      <c r="Y63" s="74"/>
      <c r="Z63" s="58"/>
    </row>
    <row r="64" spans="1:26" ht="12.75">
      <c r="C64" s="340"/>
      <c r="D64" s="340"/>
      <c r="E64" s="6"/>
      <c r="F64" s="6"/>
      <c r="G64" s="6"/>
      <c r="H64" s="65"/>
      <c r="J64" s="60"/>
      <c r="K64" s="6"/>
      <c r="L64" s="6"/>
      <c r="M64" s="18"/>
      <c r="N64" s="6"/>
      <c r="P64" s="274"/>
      <c r="Q64" s="275"/>
      <c r="R64" s="275"/>
      <c r="S64" s="275"/>
      <c r="T64" s="275"/>
      <c r="U64" s="275"/>
      <c r="V64" s="275"/>
      <c r="W64" s="275"/>
      <c r="X64" s="276"/>
      <c r="Y64" s="74"/>
      <c r="Z64" s="58"/>
    </row>
    <row r="65" spans="1:26" ht="13.5" thickBot="1">
      <c r="C65" s="340"/>
      <c r="D65" s="340"/>
      <c r="M65" s="18"/>
      <c r="N65" s="6"/>
      <c r="P65" s="274"/>
      <c r="Q65" s="275"/>
      <c r="R65" s="275"/>
      <c r="S65" s="275"/>
      <c r="T65" s="275"/>
      <c r="U65" s="275"/>
      <c r="V65" s="275"/>
      <c r="W65" s="275"/>
      <c r="X65" s="276"/>
      <c r="Y65" s="74"/>
      <c r="Z65" s="58"/>
    </row>
    <row r="66" spans="1:26" ht="13.5" thickBot="1">
      <c r="B66" s="2" t="s">
        <v>0</v>
      </c>
      <c r="C66" s="341">
        <f>AVERAGE(C51:C63)</f>
        <v>8.7307692307692294E-3</v>
      </c>
      <c r="D66" s="341">
        <f>AVERAGE(D51:D63)</f>
        <v>-2.2684845455081324E-18</v>
      </c>
      <c r="F66" s="18">
        <f>AVERAGE(F51:F63)</f>
        <v>8.4461538461538463</v>
      </c>
      <c r="G66" s="64">
        <f>AVERAGE(G51:G63)</f>
        <v>8.7307692307692312E-3</v>
      </c>
      <c r="H66" s="19">
        <f>AVERAGE(H51:H63)</f>
        <v>0</v>
      </c>
      <c r="I66" s="19">
        <f>AVERAGE(I51:I63)</f>
        <v>-8.6736173798840355E-19</v>
      </c>
      <c r="J66" s="59">
        <f>SUM(J51:J64)</f>
        <v>0.45936153846153838</v>
      </c>
      <c r="K66" s="27" t="s">
        <v>16</v>
      </c>
      <c r="L66" s="28">
        <f>SUM(L51:L65)</f>
        <v>247.65230769230766</v>
      </c>
      <c r="M66" s="28">
        <f>SUM(M51:M65)</f>
        <v>6.5221076923076922E-3</v>
      </c>
      <c r="N66" s="28">
        <f>M66*L66</f>
        <v>1.6152150210177512</v>
      </c>
      <c r="P66" s="277"/>
      <c r="Q66" s="278"/>
      <c r="R66" s="278"/>
      <c r="S66" s="278"/>
      <c r="T66" s="278"/>
      <c r="U66" s="278"/>
      <c r="V66" s="278"/>
      <c r="W66" s="278"/>
      <c r="X66" s="279"/>
      <c r="Y66" s="74"/>
      <c r="Z66" s="87"/>
    </row>
    <row r="67" spans="1:26" ht="15" thickBot="1">
      <c r="B67" s="15" t="s">
        <v>17</v>
      </c>
      <c r="C67" s="29">
        <f>STDEVA(C51:C63)</f>
        <v>8.4264144714940765E-3</v>
      </c>
      <c r="D67" s="29">
        <f>STDEVA(D51:D63)</f>
        <v>2.1737168939711754E-2</v>
      </c>
      <c r="E67" s="15"/>
      <c r="F67" s="30">
        <f>STDEVA(F51:F63)</f>
        <v>4.5428726933177774</v>
      </c>
      <c r="G67" s="29">
        <f>STDEVA(G51:G63)</f>
        <v>2.3313278927662114E-2</v>
      </c>
      <c r="H67" s="30">
        <f>STDEVA(H51:H65)</f>
        <v>4.5428726933177757</v>
      </c>
      <c r="I67" s="30">
        <f>STDEVA(I51:I65)</f>
        <v>2.3313278927662114E-2</v>
      </c>
      <c r="J67" s="31" t="s">
        <v>16</v>
      </c>
      <c r="K67" s="32"/>
      <c r="L67" s="33"/>
      <c r="M67" s="33"/>
      <c r="N67" s="34"/>
      <c r="Q67" s="41"/>
      <c r="R67" s="41"/>
      <c r="S67" s="41"/>
      <c r="T67" s="41"/>
      <c r="U67" s="84"/>
      <c r="V67" s="85"/>
      <c r="W67" s="85"/>
      <c r="X67" s="88"/>
      <c r="Y67" s="89"/>
      <c r="Z67" s="41"/>
    </row>
    <row r="68" spans="1:26" ht="15.75">
      <c r="B68" s="15" t="s">
        <v>18</v>
      </c>
      <c r="C68" s="35">
        <f>C67^2</f>
        <v>7.1004460845404792E-5</v>
      </c>
      <c r="D68" s="35">
        <f>D67^2</f>
        <v>4.725045135135694E-4</v>
      </c>
      <c r="E68" s="15"/>
      <c r="F68" s="30">
        <f>F67^2</f>
        <v>20.637692307692316</v>
      </c>
      <c r="G68" s="35">
        <f>G67^2</f>
        <v>5.4350897435897431E-4</v>
      </c>
      <c r="H68" s="30">
        <f>H67^2</f>
        <v>20.637692307692301</v>
      </c>
      <c r="I68" s="30">
        <f>I67^2</f>
        <v>5.4350897435897431E-4</v>
      </c>
      <c r="J68" s="33"/>
      <c r="K68" s="27"/>
      <c r="L68" s="33"/>
      <c r="M68" s="33"/>
      <c r="N68" s="34"/>
      <c r="Q68" s="41"/>
      <c r="R68" s="41"/>
      <c r="S68" s="41"/>
      <c r="T68" s="41"/>
      <c r="U68" s="84"/>
      <c r="V68" s="85"/>
      <c r="W68" s="85"/>
      <c r="X68" s="41"/>
      <c r="Y68" s="41"/>
      <c r="Z68" s="41"/>
    </row>
    <row r="69" spans="1:26">
      <c r="B69" s="2" t="s">
        <v>19</v>
      </c>
      <c r="C69" s="30">
        <f>COUNT(C51:C63)</f>
        <v>13</v>
      </c>
      <c r="D69" s="30">
        <f>COUNT(D51:D63)</f>
        <v>13</v>
      </c>
      <c r="F69" s="30">
        <f>COUNT(F51:F63)</f>
        <v>13</v>
      </c>
      <c r="G69" s="30">
        <f>COUNT(G51:G63)</f>
        <v>13</v>
      </c>
      <c r="I69" s="27"/>
      <c r="J69" s="33"/>
      <c r="K69" s="27"/>
      <c r="L69" s="33"/>
      <c r="M69" s="33"/>
      <c r="N69" s="34"/>
      <c r="Q69" s="41"/>
      <c r="R69" s="41"/>
      <c r="S69" s="41"/>
      <c r="T69" s="41"/>
      <c r="U69" s="41"/>
      <c r="V69" s="41"/>
      <c r="W69" s="41"/>
      <c r="X69" s="41"/>
      <c r="Y69" s="41"/>
      <c r="Z69" s="41"/>
    </row>
    <row r="70" spans="1:26">
      <c r="B70" s="36" t="s">
        <v>20</v>
      </c>
      <c r="C70" s="37">
        <f>C66/C67</f>
        <v>1.0361191299460479</v>
      </c>
      <c r="D70" s="37">
        <f>D66/D67</f>
        <v>-1.0435970534156477E-16</v>
      </c>
      <c r="E70" s="36"/>
      <c r="F70" s="37">
        <f>F66/F67</f>
        <v>1.8592098912605455</v>
      </c>
      <c r="G70" s="37">
        <f>G66/G67</f>
        <v>0.3744976954061075</v>
      </c>
      <c r="I70" s="27"/>
      <c r="J70" s="36"/>
      <c r="Q70" s="41"/>
      <c r="R70" s="41"/>
      <c r="S70" s="41"/>
      <c r="T70" s="41"/>
      <c r="U70" s="41"/>
      <c r="V70" s="41"/>
      <c r="W70" s="41"/>
      <c r="X70" s="41"/>
      <c r="Y70" s="41"/>
      <c r="Z70" s="41"/>
    </row>
    <row r="71" spans="1:26">
      <c r="B71" s="36"/>
      <c r="C71" s="37"/>
      <c r="D71" s="36"/>
      <c r="E71" s="36"/>
      <c r="F71" s="37"/>
      <c r="G71" s="37"/>
      <c r="I71" s="27"/>
      <c r="J71" s="36"/>
      <c r="Q71" s="41"/>
      <c r="R71" s="41"/>
      <c r="S71" s="41"/>
      <c r="T71" s="41"/>
      <c r="U71" s="41"/>
      <c r="V71" s="41"/>
      <c r="W71" s="41"/>
      <c r="X71" s="41"/>
      <c r="Y71" s="41"/>
      <c r="Z71" s="41"/>
    </row>
    <row r="72" spans="1:26">
      <c r="B72" s="36"/>
      <c r="C72" s="37"/>
      <c r="D72" s="36"/>
      <c r="E72" s="36"/>
      <c r="F72" s="37"/>
      <c r="G72" s="48" t="s">
        <v>21</v>
      </c>
      <c r="I72" s="49" t="s">
        <v>22</v>
      </c>
      <c r="J72" s="36"/>
    </row>
    <row r="73" spans="1:26" ht="15.75">
      <c r="A73" s="2" t="s">
        <v>23</v>
      </c>
      <c r="C73" s="37"/>
      <c r="D73" s="36"/>
      <c r="E73" s="36"/>
      <c r="G73" s="39">
        <f>B48*(SQRT((C69-2)/(1-B49)))</f>
        <v>1.2856897421867008</v>
      </c>
      <c r="H73" s="40"/>
      <c r="I73" s="42">
        <f>TDIST(ABS(G73),8,2)</f>
        <v>0.23451607592485604</v>
      </c>
      <c r="J73" s="50" t="s">
        <v>57</v>
      </c>
      <c r="N73" s="2"/>
      <c r="O73" s="41"/>
      <c r="P73" s="43"/>
    </row>
    <row r="74" spans="1:26" ht="15.75">
      <c r="A74" s="2" t="s">
        <v>24</v>
      </c>
      <c r="C74" s="37"/>
      <c r="D74" s="36"/>
      <c r="E74" s="36"/>
      <c r="G74" s="39">
        <f>B46/((G67/F67)*SQRT((1-B48^2)/(G69-2)))</f>
        <v>1.2856897421867008</v>
      </c>
      <c r="H74" s="36"/>
      <c r="I74" s="42">
        <f>TDIST(ABS(G74),8,2)</f>
        <v>0.23451607592485604</v>
      </c>
      <c r="J74" s="36"/>
      <c r="K74" s="36"/>
      <c r="N74" s="2"/>
      <c r="O74" s="36"/>
      <c r="P74" s="43"/>
    </row>
    <row r="75" spans="1:26" ht="12.75">
      <c r="C75" s="37"/>
      <c r="D75" s="36"/>
      <c r="E75" s="36"/>
      <c r="J75" s="36"/>
      <c r="K75" s="36"/>
      <c r="N75" s="2"/>
      <c r="O75" s="36"/>
      <c r="P75" s="43"/>
    </row>
    <row r="76" spans="1:26" ht="15.75">
      <c r="A76" s="2" t="s">
        <v>25</v>
      </c>
      <c r="B76" s="37"/>
      <c r="D76" s="38"/>
      <c r="E76" s="56">
        <f>Q76*((G67/F67)*SQRT((1-B48^2)/(G69-2)))</f>
        <v>3.175361581002842E-3</v>
      </c>
      <c r="F76" s="51" t="s">
        <v>26</v>
      </c>
      <c r="G76" s="66">
        <f>B46-E76</f>
        <v>-1.3204968202340226E-3</v>
      </c>
      <c r="H76" s="51" t="s">
        <v>27</v>
      </c>
      <c r="I76" s="67">
        <f>B46+E76</f>
        <v>5.0302263417716618E-3</v>
      </c>
      <c r="K76" s="51" t="s">
        <v>28</v>
      </c>
      <c r="L76" s="52">
        <v>0.95</v>
      </c>
      <c r="M76" s="51" t="s">
        <v>29</v>
      </c>
      <c r="N76" s="53">
        <f>C69-2</f>
        <v>11</v>
      </c>
      <c r="P76" s="54" t="s">
        <v>30</v>
      </c>
      <c r="Q76" s="55">
        <f>TINV((1-L76),N76)</f>
        <v>2.2009851600916384</v>
      </c>
    </row>
    <row r="80" spans="1:26">
      <c r="M80" s="4"/>
    </row>
    <row r="81" spans="1:26">
      <c r="A81" s="16" t="s">
        <v>13</v>
      </c>
      <c r="B81" s="17">
        <f>J102/L102</f>
        <v>2.0529654526023175E-3</v>
      </c>
      <c r="D81" s="94"/>
      <c r="E81" s="95"/>
      <c r="F81" s="93" t="str">
        <f>F86</f>
        <v>X = Dif PAS [Int vs Conv]</v>
      </c>
      <c r="G81" s="95"/>
      <c r="H81" s="15"/>
      <c r="I81" s="96" t="str">
        <f>G86</f>
        <v>Y = RAR en IAM</v>
      </c>
      <c r="M81" s="4"/>
    </row>
    <row r="82" spans="1:26">
      <c r="A82" s="22" t="s">
        <v>14</v>
      </c>
      <c r="B82" s="23">
        <f>B84*G103/F103</f>
        <v>2.0529654526023153E-3</v>
      </c>
      <c r="D82" s="97" t="s">
        <v>37</v>
      </c>
      <c r="E82" s="128">
        <v>-1</v>
      </c>
      <c r="F82" s="93" t="s">
        <v>33</v>
      </c>
      <c r="G82" s="15" t="s">
        <v>36</v>
      </c>
      <c r="H82" s="15"/>
      <c r="I82" s="96" t="s">
        <v>166</v>
      </c>
      <c r="J82" s="126">
        <f>E82*B82</f>
        <v>-2.0529654526023153E-3</v>
      </c>
      <c r="K82" s="6" t="s">
        <v>35</v>
      </c>
      <c r="L82" s="126">
        <f>E82*G112</f>
        <v>4.8596508422242045E-3</v>
      </c>
      <c r="M82" s="6" t="s">
        <v>34</v>
      </c>
      <c r="N82" s="126">
        <f>E82*I112</f>
        <v>-8.9655817474288343E-3</v>
      </c>
    </row>
    <row r="83" spans="1:26">
      <c r="A83" s="16" t="s">
        <v>15</v>
      </c>
      <c r="B83" s="17">
        <f>G102-(F102*B81)</f>
        <v>-2.5316735540713044E-3</v>
      </c>
      <c r="M83" s="4"/>
    </row>
    <row r="84" spans="1:26">
      <c r="A84" s="25" t="s">
        <v>31</v>
      </c>
      <c r="B84" s="24">
        <f>J102/SQRT(N102)</f>
        <v>0.19336811757951225</v>
      </c>
      <c r="M84" s="4"/>
    </row>
    <row r="85" spans="1:26" ht="26.25" customHeight="1" thickBot="1">
      <c r="A85" s="108" t="s">
        <v>32</v>
      </c>
      <c r="B85" s="109">
        <f>B84^2</f>
        <v>3.7391228896244078E-2</v>
      </c>
      <c r="C85" s="110">
        <f>1-B85</f>
        <v>0.96260877110375587</v>
      </c>
      <c r="F85" s="7"/>
      <c r="G85" s="8"/>
      <c r="H85" s="269" t="s">
        <v>1</v>
      </c>
      <c r="I85" s="270"/>
      <c r="J85" s="9" t="s">
        <v>2</v>
      </c>
      <c r="K85" s="10"/>
      <c r="L85" s="9" t="s">
        <v>3</v>
      </c>
      <c r="M85" s="9" t="s">
        <v>4</v>
      </c>
      <c r="N85" s="9" t="s">
        <v>5</v>
      </c>
      <c r="Q85" s="41"/>
      <c r="R85" s="41"/>
      <c r="S85" s="41"/>
      <c r="T85" s="41"/>
      <c r="U85" s="43"/>
      <c r="V85" s="68"/>
      <c r="W85" s="68"/>
      <c r="X85" s="41"/>
      <c r="Y85" s="41"/>
      <c r="Z85" s="69"/>
    </row>
    <row r="86" spans="1:26" ht="37.5" customHeight="1" thickBot="1">
      <c r="A86" s="113" t="s">
        <v>43</v>
      </c>
      <c r="C86" s="342" t="s">
        <v>174</v>
      </c>
      <c r="D86" s="343" t="s">
        <v>6</v>
      </c>
      <c r="E86" s="12" t="s">
        <v>39</v>
      </c>
      <c r="F86" s="44" t="s">
        <v>172</v>
      </c>
      <c r="G86" s="45" t="s">
        <v>177</v>
      </c>
      <c r="H86" s="13" t="s">
        <v>7</v>
      </c>
      <c r="I86" s="14" t="s">
        <v>8</v>
      </c>
      <c r="J86" s="14" t="s">
        <v>9</v>
      </c>
      <c r="L86" s="14" t="s">
        <v>10</v>
      </c>
      <c r="M86" s="14" t="s">
        <v>11</v>
      </c>
      <c r="N86" s="14" t="s">
        <v>12</v>
      </c>
      <c r="Q86" s="41"/>
      <c r="R86" s="41"/>
      <c r="S86" s="70"/>
      <c r="T86" s="71"/>
      <c r="U86" s="41"/>
      <c r="V86" s="72"/>
      <c r="W86" s="72"/>
      <c r="X86" s="73"/>
      <c r="Y86" s="74"/>
      <c r="Z86" s="72"/>
    </row>
    <row r="87" spans="1:26">
      <c r="A87" s="112" t="s">
        <v>62</v>
      </c>
      <c r="C87" s="268">
        <f>B83+(B82*F87)</f>
        <v>3.42192625847541E-3</v>
      </c>
      <c r="D87" s="340">
        <f t="shared" ref="D87:D99" si="9">C87-G87</f>
        <v>-7.8073741524590113E-5</v>
      </c>
      <c r="E87" s="6">
        <v>1</v>
      </c>
      <c r="F87" s="47">
        <v>2.9</v>
      </c>
      <c r="G87" s="62">
        <v>3.5000000000000001E-3</v>
      </c>
      <c r="H87" s="19">
        <f>F87-F102</f>
        <v>-4.9015384615384612</v>
      </c>
      <c r="I87" s="63">
        <f>G87-G102</f>
        <v>-9.9846153846153904E-3</v>
      </c>
      <c r="J87" s="19">
        <f t="shared" ref="J87:J99" si="10">H87*I87</f>
        <v>4.893997633136097E-2</v>
      </c>
      <c r="K87" s="20"/>
      <c r="L87" s="20">
        <f t="shared" ref="L87:L99" si="11">H87^2</f>
        <v>24.025079289940823</v>
      </c>
      <c r="M87" s="38">
        <f t="shared" ref="M87:M99" si="12">I87^2</f>
        <v>9.9692544378698336E-5</v>
      </c>
      <c r="N87" s="21"/>
      <c r="Q87" s="41"/>
      <c r="R87" s="57"/>
      <c r="S87" s="78"/>
      <c r="T87" s="79"/>
      <c r="U87" s="41"/>
      <c r="V87" s="58"/>
      <c r="W87" s="58"/>
      <c r="X87" s="77"/>
      <c r="Y87" s="74"/>
      <c r="Z87" s="58"/>
    </row>
    <row r="88" spans="1:26">
      <c r="A88" s="112" t="s">
        <v>63</v>
      </c>
      <c r="C88" s="268">
        <f>B83+(B82*F88)</f>
        <v>1.7997980971951849E-2</v>
      </c>
      <c r="D88" s="340">
        <f t="shared" si="9"/>
        <v>-0.14570201902804816</v>
      </c>
      <c r="E88" s="6">
        <v>2</v>
      </c>
      <c r="F88" s="47">
        <v>10</v>
      </c>
      <c r="G88" s="62">
        <v>0.16370000000000001</v>
      </c>
      <c r="H88" s="19">
        <f>F88-F102</f>
        <v>2.1984615384615394</v>
      </c>
      <c r="I88" s="63">
        <f>G88-G102</f>
        <v>0.15021538461538461</v>
      </c>
      <c r="J88" s="19">
        <f t="shared" si="10"/>
        <v>0.33024274556213029</v>
      </c>
      <c r="K88" s="20"/>
      <c r="L88" s="20">
        <f t="shared" si="11"/>
        <v>4.8332331360946785</v>
      </c>
      <c r="M88" s="38">
        <f t="shared" si="12"/>
        <v>2.2564661775147928E-2</v>
      </c>
      <c r="N88" s="21"/>
      <c r="Q88" s="41"/>
      <c r="R88" s="57"/>
      <c r="S88" s="78"/>
      <c r="T88" s="79"/>
      <c r="U88" s="41"/>
      <c r="V88" s="58"/>
      <c r="W88" s="58"/>
      <c r="X88" s="77"/>
      <c r="Y88" s="74"/>
      <c r="Z88" s="58"/>
    </row>
    <row r="89" spans="1:26">
      <c r="A89" s="112" t="s">
        <v>64</v>
      </c>
      <c r="C89" s="268">
        <f>B83+(B82*F89)</f>
        <v>1.1469550832676487E-2</v>
      </c>
      <c r="D89" s="340">
        <f t="shared" si="9"/>
        <v>1.8869550832676489E-2</v>
      </c>
      <c r="E89" s="6">
        <v>3</v>
      </c>
      <c r="F89" s="47">
        <v>6.82</v>
      </c>
      <c r="G89" s="62">
        <v>-7.4000000000000003E-3</v>
      </c>
      <c r="H89" s="19">
        <f>F89-F102</f>
        <v>-0.98153846153846036</v>
      </c>
      <c r="I89" s="63">
        <f>G89-G102</f>
        <v>-2.088461538461539E-2</v>
      </c>
      <c r="J89" s="19">
        <f t="shared" si="10"/>
        <v>2.0499053254437852E-2</v>
      </c>
      <c r="K89" s="20"/>
      <c r="L89" s="20">
        <f t="shared" si="11"/>
        <v>0.96341775147928765</v>
      </c>
      <c r="M89" s="38">
        <f t="shared" si="12"/>
        <v>4.3616715976331385E-4</v>
      </c>
      <c r="N89" s="21"/>
      <c r="Q89" s="41"/>
      <c r="R89" s="80"/>
      <c r="S89" s="41"/>
      <c r="T89" s="41"/>
      <c r="U89" s="41"/>
      <c r="V89" s="58"/>
      <c r="W89" s="58"/>
      <c r="X89" s="77"/>
      <c r="Y89" s="74"/>
      <c r="Z89" s="58"/>
    </row>
    <row r="90" spans="1:26">
      <c r="A90" s="129" t="s">
        <v>65</v>
      </c>
      <c r="C90" s="268">
        <f>B83+(B82*F90)</f>
        <v>1.1839084614144903E-2</v>
      </c>
      <c r="D90" s="340">
        <f t="shared" si="9"/>
        <v>3.0239084614144901E-2</v>
      </c>
      <c r="E90" s="6">
        <v>4</v>
      </c>
      <c r="F90" s="47">
        <v>7</v>
      </c>
      <c r="G90" s="62">
        <v>-1.84E-2</v>
      </c>
      <c r="H90" s="19">
        <f>F90-F102</f>
        <v>-0.80153846153846064</v>
      </c>
      <c r="I90" s="63">
        <f>G90-G102</f>
        <v>-3.1884615384615386E-2</v>
      </c>
      <c r="J90" s="19">
        <f t="shared" si="10"/>
        <v>2.555674556213015E-2</v>
      </c>
      <c r="K90" s="20"/>
      <c r="L90" s="20">
        <f t="shared" si="11"/>
        <v>0.6424639053254424</v>
      </c>
      <c r="M90" s="38">
        <f t="shared" si="12"/>
        <v>1.0166286982248522E-3</v>
      </c>
      <c r="N90" s="21"/>
      <c r="Q90" s="41"/>
      <c r="R90" s="80"/>
      <c r="S90" s="41"/>
      <c r="T90" s="41"/>
      <c r="U90" s="41"/>
      <c r="V90" s="58"/>
      <c r="W90" s="58"/>
      <c r="X90" s="77"/>
      <c r="Y90" s="74"/>
      <c r="Z90" s="58"/>
    </row>
    <row r="91" spans="1:26">
      <c r="A91" s="112" t="s">
        <v>69</v>
      </c>
      <c r="C91" s="268">
        <f>B83+(B82*F91)</f>
        <v>1.7382091336171152E-2</v>
      </c>
      <c r="D91" s="340">
        <f t="shared" si="9"/>
        <v>1.7382091336171152E-2</v>
      </c>
      <c r="E91" s="6">
        <v>5</v>
      </c>
      <c r="F91" s="47">
        <v>9.6999999999999993</v>
      </c>
      <c r="G91" s="62">
        <v>0</v>
      </c>
      <c r="H91" s="19">
        <f>F91-F102</f>
        <v>1.8984615384615386</v>
      </c>
      <c r="I91" s="63">
        <f>G91-G102</f>
        <v>-1.348461538461539E-2</v>
      </c>
      <c r="J91" s="19">
        <f t="shared" si="10"/>
        <v>-2.5600023668639067E-2</v>
      </c>
      <c r="K91" s="20"/>
      <c r="L91" s="20">
        <f t="shared" si="11"/>
        <v>3.604156213017752</v>
      </c>
      <c r="M91" s="38">
        <f t="shared" si="12"/>
        <v>1.8183485207100606E-4</v>
      </c>
      <c r="N91" s="21"/>
      <c r="Q91" s="41"/>
      <c r="R91" s="41"/>
      <c r="S91" s="41"/>
      <c r="T91" s="41"/>
      <c r="U91" s="41"/>
      <c r="V91" s="58"/>
      <c r="W91" s="58"/>
      <c r="X91" s="77"/>
      <c r="Y91" s="74"/>
      <c r="Z91" s="58"/>
    </row>
    <row r="92" spans="1:26">
      <c r="A92" s="112" t="s">
        <v>70</v>
      </c>
      <c r="C92" s="268">
        <f>B83+(B82*F92)</f>
        <v>5.2695951658174936E-3</v>
      </c>
      <c r="D92" s="340">
        <f t="shared" si="9"/>
        <v>1.5695951658174934E-3</v>
      </c>
      <c r="E92" s="6">
        <v>6</v>
      </c>
      <c r="F92" s="47">
        <v>3.8</v>
      </c>
      <c r="G92" s="62">
        <v>3.7000000000000002E-3</v>
      </c>
      <c r="H92" s="19">
        <f>F92-F102</f>
        <v>-4.0015384615384608</v>
      </c>
      <c r="I92" s="63">
        <f>G92-G102</f>
        <v>-9.7846153846153899E-3</v>
      </c>
      <c r="J92" s="19">
        <f t="shared" si="10"/>
        <v>3.915351479289942E-2</v>
      </c>
      <c r="K92" s="20"/>
      <c r="L92" s="20">
        <f t="shared" si="11"/>
        <v>16.012310059171593</v>
      </c>
      <c r="M92" s="38">
        <f t="shared" si="12"/>
        <v>9.5738698224852173E-5</v>
      </c>
      <c r="N92" s="21"/>
      <c r="Q92" s="41"/>
      <c r="R92" s="41"/>
      <c r="S92" s="41"/>
      <c r="T92" s="41"/>
      <c r="U92" s="41"/>
      <c r="V92" s="58"/>
      <c r="W92" s="58"/>
      <c r="X92" s="77"/>
      <c r="Y92" s="74"/>
      <c r="Z92" s="58"/>
    </row>
    <row r="93" spans="1:26">
      <c r="A93" s="112" t="s">
        <v>71</v>
      </c>
      <c r="C93" s="268">
        <f>B83+(B82*F93)</f>
        <v>2.4362173875019027E-2</v>
      </c>
      <c r="D93" s="340">
        <f t="shared" si="9"/>
        <v>1.6162173875019024E-2</v>
      </c>
      <c r="E93" s="6">
        <v>7</v>
      </c>
      <c r="F93" s="47">
        <v>13.1</v>
      </c>
      <c r="G93" s="62">
        <v>8.2000000000000007E-3</v>
      </c>
      <c r="H93" s="19">
        <f>F93-F102</f>
        <v>5.298461538461539</v>
      </c>
      <c r="I93" s="63">
        <f>G93-G102</f>
        <v>-5.2846153846153893E-3</v>
      </c>
      <c r="J93" s="19">
        <f t="shared" si="10"/>
        <v>-2.8000331360946772E-2</v>
      </c>
      <c r="K93" s="20"/>
      <c r="L93" s="20">
        <f t="shared" si="11"/>
        <v>28.073694674556219</v>
      </c>
      <c r="M93" s="38">
        <f t="shared" si="12"/>
        <v>2.7927159763313658E-5</v>
      </c>
      <c r="N93" s="21"/>
      <c r="Q93" s="41"/>
      <c r="R93" s="41"/>
      <c r="S93" s="41"/>
      <c r="T93" s="41"/>
      <c r="U93" s="41"/>
      <c r="V93" s="58"/>
      <c r="W93" s="58"/>
      <c r="X93" s="77"/>
      <c r="Y93" s="74"/>
      <c r="Z93" s="58"/>
    </row>
    <row r="94" spans="1:26">
      <c r="A94" s="112" t="s">
        <v>72</v>
      </c>
      <c r="C94" s="268">
        <f>B83+(B82*F94)</f>
        <v>8.9649329805016609E-3</v>
      </c>
      <c r="D94" s="340">
        <f t="shared" si="9"/>
        <v>9.5649329805016607E-3</v>
      </c>
      <c r="E94" s="6">
        <v>8</v>
      </c>
      <c r="F94" s="47">
        <v>5.6</v>
      </c>
      <c r="G94" s="62">
        <v>-5.9999999999999995E-4</v>
      </c>
      <c r="H94" s="19">
        <f>F94-F102</f>
        <v>-2.201538461538461</v>
      </c>
      <c r="I94" s="63">
        <f>G94-G102</f>
        <v>-1.408461538461539E-2</v>
      </c>
      <c r="J94" s="19">
        <f t="shared" si="10"/>
        <v>3.1007822485207105E-2</v>
      </c>
      <c r="K94" s="20"/>
      <c r="L94" s="20">
        <f t="shared" si="11"/>
        <v>4.8467715976331336</v>
      </c>
      <c r="M94" s="38">
        <f t="shared" si="12"/>
        <v>1.9837639053254453E-4</v>
      </c>
      <c r="N94" s="21"/>
      <c r="Q94" s="41"/>
      <c r="R94" s="41"/>
      <c r="S94" s="41"/>
      <c r="T94" s="41"/>
      <c r="U94" s="41"/>
      <c r="V94" s="58"/>
      <c r="W94" s="58"/>
      <c r="X94" s="77"/>
      <c r="Y94" s="74"/>
      <c r="Z94" s="58"/>
    </row>
    <row r="95" spans="1:26">
      <c r="A95" s="112" t="s">
        <v>74</v>
      </c>
      <c r="C95" s="268">
        <f>B83+(B82*F95)</f>
        <v>3.4247807957193694E-4</v>
      </c>
      <c r="D95" s="340">
        <f t="shared" si="9"/>
        <v>-1.357521920428063E-3</v>
      </c>
      <c r="E95" s="6">
        <v>9</v>
      </c>
      <c r="F95" s="47">
        <v>1.4</v>
      </c>
      <c r="G95" s="62">
        <v>1.6999999999999999E-3</v>
      </c>
      <c r="H95" s="19">
        <f>F95-F102</f>
        <v>-6.4015384615384612</v>
      </c>
      <c r="I95" s="63">
        <f>G95-G102</f>
        <v>-1.178461538461539E-2</v>
      </c>
      <c r="J95" s="19">
        <f t="shared" si="10"/>
        <v>7.5439668639053284E-2</v>
      </c>
      <c r="K95" s="20"/>
      <c r="L95" s="20">
        <f t="shared" si="11"/>
        <v>40.979694674556207</v>
      </c>
      <c r="M95" s="38">
        <f t="shared" si="12"/>
        <v>1.3887715976331372E-4</v>
      </c>
      <c r="N95" s="21"/>
      <c r="Q95" s="41"/>
      <c r="R95" s="41"/>
      <c r="S95" s="41"/>
      <c r="T95" s="41"/>
      <c r="U95" s="41"/>
      <c r="V95" s="58"/>
      <c r="W95" s="58"/>
      <c r="X95" s="77"/>
      <c r="Y95" s="74"/>
      <c r="Z95" s="58"/>
    </row>
    <row r="96" spans="1:26">
      <c r="A96" s="112" t="s">
        <v>75</v>
      </c>
      <c r="C96" s="268">
        <f>B83+(B82*F96)</f>
        <v>2.620984278236111E-2</v>
      </c>
      <c r="D96" s="340">
        <f t="shared" si="9"/>
        <v>2.6109842782361111E-2</v>
      </c>
      <c r="E96" s="6">
        <v>10</v>
      </c>
      <c r="F96" s="47">
        <v>14</v>
      </c>
      <c r="G96" s="62">
        <v>1E-4</v>
      </c>
      <c r="H96" s="19">
        <f>F96-F102</f>
        <v>6.1984615384615394</v>
      </c>
      <c r="I96" s="63">
        <f>G96-G102</f>
        <v>-1.3384615384615391E-2</v>
      </c>
      <c r="J96" s="19">
        <f t="shared" si="10"/>
        <v>-8.29640236686391E-2</v>
      </c>
      <c r="K96" s="20"/>
      <c r="L96" s="20">
        <f t="shared" si="11"/>
        <v>38.420925443786992</v>
      </c>
      <c r="M96" s="38">
        <f t="shared" si="12"/>
        <v>1.7914792899408299E-4</v>
      </c>
      <c r="N96" s="21"/>
      <c r="Q96" s="41"/>
      <c r="R96" s="41"/>
      <c r="S96" s="41"/>
      <c r="T96" s="41"/>
      <c r="U96" s="41"/>
      <c r="V96" s="58"/>
      <c r="W96" s="58"/>
      <c r="X96" s="77"/>
      <c r="Y96" s="74"/>
      <c r="Z96" s="58"/>
    </row>
    <row r="97" spans="1:26">
      <c r="A97" s="112" t="s">
        <v>76</v>
      </c>
      <c r="C97" s="268">
        <f>B83+(B82*F97)</f>
        <v>2.0050946424554166E-2</v>
      </c>
      <c r="D97" s="340">
        <f t="shared" si="9"/>
        <v>3.2509464245541672E-3</v>
      </c>
      <c r="E97" s="6">
        <v>11</v>
      </c>
      <c r="F97" s="47">
        <v>11</v>
      </c>
      <c r="G97" s="62">
        <v>1.6799999999999999E-2</v>
      </c>
      <c r="H97" s="19">
        <f>F97-F102</f>
        <v>3.1984615384615394</v>
      </c>
      <c r="I97" s="63">
        <f>G97-G102</f>
        <v>3.3153846153846089E-3</v>
      </c>
      <c r="J97" s="19">
        <f t="shared" si="10"/>
        <v>1.0604130177514775E-2</v>
      </c>
      <c r="K97" s="20"/>
      <c r="L97" s="20">
        <f t="shared" si="11"/>
        <v>10.230156213017757</v>
      </c>
      <c r="M97" s="38">
        <f t="shared" si="12"/>
        <v>1.0991775147928951E-5</v>
      </c>
      <c r="N97" s="21"/>
      <c r="Q97" s="26"/>
      <c r="R97" s="80"/>
      <c r="S97" s="41"/>
      <c r="T97" s="41"/>
      <c r="U97" s="41"/>
      <c r="V97" s="58"/>
      <c r="W97" s="58"/>
      <c r="X97" s="77"/>
      <c r="Y97" s="74"/>
      <c r="Z97" s="58"/>
    </row>
    <row r="98" spans="1:26">
      <c r="A98" s="112" t="s">
        <v>77</v>
      </c>
      <c r="C98" s="268">
        <f>B83+(B82*F98)</f>
        <v>2.4362173875019027E-2</v>
      </c>
      <c r="D98" s="340">
        <f t="shared" si="9"/>
        <v>2.0362173875019027E-2</v>
      </c>
      <c r="E98" s="6">
        <v>12</v>
      </c>
      <c r="F98" s="47">
        <v>13.1</v>
      </c>
      <c r="G98" s="62">
        <v>4.0000000000000001E-3</v>
      </c>
      <c r="H98" s="19">
        <f>F98-F102</f>
        <v>5.298461538461539</v>
      </c>
      <c r="I98" s="63">
        <f>G98-G102</f>
        <v>-9.4846153846153899E-3</v>
      </c>
      <c r="J98" s="19">
        <f t="shared" si="10"/>
        <v>-5.0253869822485239E-2</v>
      </c>
      <c r="K98" s="20"/>
      <c r="L98" s="20">
        <f t="shared" si="11"/>
        <v>28.073694674556219</v>
      </c>
      <c r="M98" s="38">
        <f t="shared" si="12"/>
        <v>8.9957928994082947E-5</v>
      </c>
      <c r="N98" s="21"/>
      <c r="Q98" s="41"/>
      <c r="R98" s="80"/>
      <c r="S98" s="41"/>
      <c r="T98" s="41"/>
      <c r="U98" s="41"/>
      <c r="V98" s="58"/>
      <c r="W98" s="58"/>
      <c r="X98" s="77"/>
      <c r="Y98" s="74"/>
      <c r="Z98" s="58"/>
    </row>
    <row r="99" spans="1:26" ht="14.25" customHeight="1">
      <c r="A99" s="112" t="s">
        <v>78</v>
      </c>
      <c r="C99" s="268">
        <f>B83+(B82*F99)</f>
        <v>3.6272228037356417E-3</v>
      </c>
      <c r="D99" s="340">
        <f t="shared" si="9"/>
        <v>3.6272228037356417E-3</v>
      </c>
      <c r="E99" s="6">
        <v>13</v>
      </c>
      <c r="F99" s="47">
        <v>3</v>
      </c>
      <c r="G99" s="62">
        <v>0</v>
      </c>
      <c r="H99" s="19">
        <f>F99-F102</f>
        <v>-4.8015384615384606</v>
      </c>
      <c r="I99" s="63">
        <f>G99-G102</f>
        <v>-1.348461538461539E-2</v>
      </c>
      <c r="J99" s="19">
        <f t="shared" si="10"/>
        <v>6.4746899408284042E-2</v>
      </c>
      <c r="K99" s="20"/>
      <c r="L99" s="20">
        <f t="shared" si="11"/>
        <v>23.054771597633128</v>
      </c>
      <c r="M99" s="38">
        <f t="shared" si="12"/>
        <v>1.8183485207100606E-4</v>
      </c>
      <c r="N99" s="21"/>
      <c r="Q99" s="41"/>
      <c r="R99" s="81"/>
      <c r="S99" s="41"/>
      <c r="T99" s="82"/>
      <c r="U99" s="41"/>
      <c r="V99" s="58"/>
      <c r="W99" s="58"/>
      <c r="X99" s="77"/>
      <c r="Y99" s="74"/>
      <c r="Z99" s="58"/>
    </row>
    <row r="100" spans="1:26" ht="12.75">
      <c r="C100" s="340"/>
      <c r="D100" s="340"/>
      <c r="E100" s="6"/>
      <c r="F100" s="6"/>
      <c r="G100" s="6"/>
      <c r="H100" s="65"/>
      <c r="J100" s="60"/>
      <c r="K100" s="6"/>
      <c r="L100" s="6"/>
      <c r="M100" s="18"/>
      <c r="N100" s="6"/>
      <c r="P100" s="271" t="s">
        <v>54</v>
      </c>
      <c r="Q100" s="272"/>
      <c r="R100" s="272"/>
      <c r="S100" s="272"/>
      <c r="T100" s="272"/>
      <c r="U100" s="272"/>
      <c r="V100" s="272"/>
      <c r="W100" s="272"/>
      <c r="X100" s="273"/>
      <c r="Y100" s="74"/>
      <c r="Z100" s="58"/>
    </row>
    <row r="101" spans="1:26" ht="13.5" thickBot="1">
      <c r="C101" s="340"/>
      <c r="D101" s="340"/>
      <c r="M101" s="18"/>
      <c r="N101" s="6"/>
      <c r="P101" s="274"/>
      <c r="Q101" s="275"/>
      <c r="R101" s="275"/>
      <c r="S101" s="275"/>
      <c r="T101" s="275"/>
      <c r="U101" s="275"/>
      <c r="V101" s="275"/>
      <c r="W101" s="275"/>
      <c r="X101" s="276"/>
      <c r="Y101" s="74"/>
      <c r="Z101" s="58"/>
    </row>
    <row r="102" spans="1:26" ht="13.5" thickBot="1">
      <c r="B102" s="2" t="s">
        <v>0</v>
      </c>
      <c r="C102" s="341">
        <f>AVERAGE(C87:C99)</f>
        <v>1.3484615384615374E-2</v>
      </c>
      <c r="D102" s="341">
        <f>AVERAGE(D87:D99)</f>
        <v>-1.2409944866603313E-17</v>
      </c>
      <c r="F102" s="18">
        <f>AVERAGE(F87:F99)</f>
        <v>7.8015384615384606</v>
      </c>
      <c r="G102" s="64">
        <f>AVERAGE(G87:G99)</f>
        <v>1.348461538461539E-2</v>
      </c>
      <c r="H102" s="19">
        <f>AVERAGE(H87:H99)</f>
        <v>6.8321416900009637E-16</v>
      </c>
      <c r="I102" s="19">
        <f>AVERAGE(I87:I99)</f>
        <v>-5.6044912300789153E-18</v>
      </c>
      <c r="J102" s="59">
        <f>SUM(J87:J100)</f>
        <v>0.4593723076923078</v>
      </c>
      <c r="K102" s="27" t="s">
        <v>16</v>
      </c>
      <c r="L102" s="28">
        <f>SUM(L87:L101)</f>
        <v>223.76036923076921</v>
      </c>
      <c r="M102" s="28">
        <f>SUM(M87:M101)</f>
        <v>2.5221836923076925E-2</v>
      </c>
      <c r="N102" s="28">
        <f>M102*L102</f>
        <v>5.6436475425859411</v>
      </c>
      <c r="P102" s="274"/>
      <c r="Q102" s="275"/>
      <c r="R102" s="275"/>
      <c r="S102" s="275"/>
      <c r="T102" s="275"/>
      <c r="U102" s="275"/>
      <c r="V102" s="275"/>
      <c r="W102" s="275"/>
      <c r="X102" s="276"/>
      <c r="Y102" s="74"/>
      <c r="Z102" s="87"/>
    </row>
    <row r="103" spans="1:26" ht="15" thickBot="1">
      <c r="B103" s="15" t="s">
        <v>17</v>
      </c>
      <c r="C103" s="29">
        <f>STDEVA(C87:C99)</f>
        <v>8.8650788564574486E-3</v>
      </c>
      <c r="D103" s="29">
        <f>STDEVA(D87:D99)</f>
        <v>4.4980330372936729E-2</v>
      </c>
      <c r="E103" s="15"/>
      <c r="F103" s="30">
        <f>STDEVA(F87:F99)</f>
        <v>4.3181821911421787</v>
      </c>
      <c r="G103" s="29">
        <f>STDEVA(G87:G99)</f>
        <v>4.5845607680450082E-2</v>
      </c>
      <c r="H103" s="30">
        <f>STDEVA(H87:H101)</f>
        <v>4.3181821911421752</v>
      </c>
      <c r="I103" s="30">
        <f>STDEVA(I87:I101)</f>
        <v>4.5845607680450082E-2</v>
      </c>
      <c r="J103" s="31" t="s">
        <v>16</v>
      </c>
      <c r="K103" s="32"/>
      <c r="L103" s="33"/>
      <c r="M103" s="33"/>
      <c r="N103" s="34"/>
      <c r="P103" s="277"/>
      <c r="Q103" s="278"/>
      <c r="R103" s="278"/>
      <c r="S103" s="278"/>
      <c r="T103" s="278"/>
      <c r="U103" s="278"/>
      <c r="V103" s="278"/>
      <c r="W103" s="278"/>
      <c r="X103" s="279"/>
      <c r="Y103" s="89"/>
      <c r="Z103" s="41"/>
    </row>
    <row r="104" spans="1:26" ht="15.75">
      <c r="B104" s="15" t="s">
        <v>18</v>
      </c>
      <c r="C104" s="35">
        <f>C103^2</f>
        <v>7.8589623131208907E-5</v>
      </c>
      <c r="D104" s="35">
        <f>D103^2</f>
        <v>2.0232301204585346E-3</v>
      </c>
      <c r="E104" s="15"/>
      <c r="F104" s="30">
        <f>F103^2</f>
        <v>18.646697435897469</v>
      </c>
      <c r="G104" s="35">
        <f>G103^2</f>
        <v>2.1018197435897436E-3</v>
      </c>
      <c r="H104" s="30">
        <f>H103^2</f>
        <v>18.646697435897437</v>
      </c>
      <c r="I104" s="30">
        <f>I103^2</f>
        <v>2.1018197435897436E-3</v>
      </c>
      <c r="J104" s="33"/>
      <c r="K104" s="27"/>
      <c r="L104" s="33"/>
      <c r="M104" s="33"/>
      <c r="N104" s="34"/>
      <c r="Q104" s="41"/>
      <c r="R104" s="41"/>
      <c r="S104" s="41"/>
      <c r="T104" s="41"/>
      <c r="U104" s="84"/>
      <c r="V104" s="85"/>
      <c r="W104" s="85"/>
      <c r="X104" s="41"/>
      <c r="Y104" s="41"/>
      <c r="Z104" s="41"/>
    </row>
    <row r="105" spans="1:26">
      <c r="B105" s="2" t="s">
        <v>19</v>
      </c>
      <c r="C105" s="30">
        <f>COUNT(C87:C99)</f>
        <v>13</v>
      </c>
      <c r="D105" s="30">
        <f>COUNT(D87:D99)</f>
        <v>13</v>
      </c>
      <c r="F105" s="30">
        <f>COUNT(F87:F99)</f>
        <v>13</v>
      </c>
      <c r="G105" s="30">
        <f>COUNT(G87:G99)</f>
        <v>13</v>
      </c>
      <c r="I105" s="27"/>
      <c r="J105" s="33"/>
      <c r="K105" s="27"/>
      <c r="L105" s="33"/>
      <c r="M105" s="33"/>
      <c r="N105" s="34"/>
      <c r="Q105" s="41"/>
      <c r="R105" s="41"/>
      <c r="S105" s="41"/>
      <c r="T105" s="41"/>
      <c r="U105" s="41"/>
      <c r="V105" s="41"/>
      <c r="W105" s="41"/>
      <c r="X105" s="41"/>
      <c r="Y105" s="41"/>
      <c r="Z105" s="41"/>
    </row>
    <row r="106" spans="1:26">
      <c r="B106" s="36" t="s">
        <v>20</v>
      </c>
      <c r="C106" s="37">
        <f>C102/C103</f>
        <v>1.5210936758665141</v>
      </c>
      <c r="D106" s="37">
        <f>D102/D103</f>
        <v>-2.7589714801361247E-16</v>
      </c>
      <c r="E106" s="36"/>
      <c r="F106" s="37">
        <f>F102/F103</f>
        <v>1.8066719087354945</v>
      </c>
      <c r="G106" s="37">
        <f>G102/G103</f>
        <v>0.2941310207644085</v>
      </c>
      <c r="I106" s="27"/>
      <c r="J106" s="36"/>
      <c r="Q106" s="41"/>
      <c r="R106" s="41"/>
      <c r="S106" s="41"/>
      <c r="T106" s="41"/>
      <c r="U106" s="41"/>
      <c r="V106" s="41"/>
      <c r="W106" s="41"/>
      <c r="X106" s="41"/>
      <c r="Y106" s="41"/>
      <c r="Z106" s="41"/>
    </row>
    <row r="107" spans="1:26">
      <c r="B107" s="36"/>
      <c r="C107" s="37"/>
      <c r="D107" s="36"/>
      <c r="E107" s="36"/>
      <c r="F107" s="37"/>
      <c r="G107" s="37"/>
      <c r="I107" s="27"/>
      <c r="J107" s="36"/>
      <c r="Q107" s="41"/>
      <c r="R107" s="41"/>
      <c r="S107" s="41"/>
      <c r="T107" s="41"/>
      <c r="U107" s="41"/>
      <c r="V107" s="41"/>
      <c r="W107" s="41"/>
      <c r="X107" s="41"/>
      <c r="Y107" s="41"/>
      <c r="Z107" s="41"/>
    </row>
    <row r="108" spans="1:26">
      <c r="B108" s="36"/>
      <c r="C108" s="37"/>
      <c r="D108" s="36"/>
      <c r="E108" s="36"/>
      <c r="F108" s="37"/>
      <c r="G108" s="48" t="s">
        <v>21</v>
      </c>
      <c r="I108" s="49" t="s">
        <v>22</v>
      </c>
      <c r="J108" s="36"/>
    </row>
    <row r="109" spans="1:26" ht="15.75">
      <c r="A109" s="2" t="s">
        <v>23</v>
      </c>
      <c r="C109" s="37"/>
      <c r="D109" s="36"/>
      <c r="E109" s="36"/>
      <c r="G109" s="39">
        <f>B84*(SQRT((C105-2)/(1-B85)))</f>
        <v>0.65366661516280622</v>
      </c>
      <c r="H109" s="40"/>
      <c r="I109" s="42">
        <f>TDIST(ABS(G109),8,2)</f>
        <v>0.53166158986121503</v>
      </c>
      <c r="J109" s="50" t="s">
        <v>57</v>
      </c>
      <c r="N109" s="2"/>
      <c r="O109" s="41"/>
      <c r="P109" s="43"/>
    </row>
    <row r="110" spans="1:26" ht="15.75">
      <c r="A110" s="2" t="s">
        <v>24</v>
      </c>
      <c r="C110" s="37"/>
      <c r="D110" s="36"/>
      <c r="E110" s="36"/>
      <c r="G110" s="39">
        <f>B82/((G103/F103)*SQRT((1-B84^2)/(G105-2)))</f>
        <v>0.65366661516280622</v>
      </c>
      <c r="H110" s="36"/>
      <c r="I110" s="42">
        <f>TDIST(ABS(G110),8,2)</f>
        <v>0.53166158986121503</v>
      </c>
      <c r="J110" s="36"/>
      <c r="K110" s="36"/>
      <c r="N110" s="2"/>
      <c r="O110" s="36"/>
      <c r="P110" s="43"/>
    </row>
    <row r="111" spans="1:26" ht="12.75">
      <c r="C111" s="37"/>
      <c r="D111" s="36"/>
      <c r="E111" s="36"/>
      <c r="J111" s="36"/>
      <c r="K111" s="36"/>
      <c r="N111" s="2"/>
      <c r="O111" s="36"/>
      <c r="P111" s="43"/>
    </row>
    <row r="112" spans="1:26" ht="15.75">
      <c r="A112" s="2" t="s">
        <v>25</v>
      </c>
      <c r="B112" s="37"/>
      <c r="D112" s="38"/>
      <c r="E112" s="56">
        <f>Q112*((G103/F103)*SQRT((1-B84^2)/(G105-2)))</f>
        <v>6.9126162948265199E-3</v>
      </c>
      <c r="F112" s="51" t="s">
        <v>26</v>
      </c>
      <c r="G112" s="66">
        <f>B82-E112</f>
        <v>-4.8596508422242045E-3</v>
      </c>
      <c r="H112" s="51" t="s">
        <v>27</v>
      </c>
      <c r="I112" s="67">
        <f>B82+E112</f>
        <v>8.9655817474288343E-3</v>
      </c>
      <c r="K112" s="51" t="s">
        <v>28</v>
      </c>
      <c r="L112" s="52">
        <v>0.95</v>
      </c>
      <c r="M112" s="51" t="s">
        <v>29</v>
      </c>
      <c r="N112" s="53">
        <f>C105-2</f>
        <v>11</v>
      </c>
      <c r="P112" s="54" t="s">
        <v>30</v>
      </c>
      <c r="Q112" s="55">
        <f>TINV((1-L112),N112)</f>
        <v>2.2009851600916384</v>
      </c>
    </row>
    <row r="117" spans="1:26">
      <c r="A117" s="16" t="s">
        <v>13</v>
      </c>
      <c r="B117" s="17">
        <f>J138/L138</f>
        <v>9.572047513872684E-4</v>
      </c>
      <c r="D117" s="94"/>
      <c r="E117" s="95"/>
      <c r="F117" s="93" t="str">
        <f>F122</f>
        <v>X = Dif PAS [Int vs Conv]</v>
      </c>
      <c r="G117" s="95"/>
      <c r="H117" s="15"/>
      <c r="I117" s="96" t="str">
        <f>G122</f>
        <v>Y = RAR en ACV</v>
      </c>
      <c r="M117" s="4"/>
    </row>
    <row r="118" spans="1:26">
      <c r="A118" s="22" t="s">
        <v>14</v>
      </c>
      <c r="B118" s="23">
        <f>B120*G139/F139</f>
        <v>9.572047513872685E-4</v>
      </c>
      <c r="D118" s="97" t="s">
        <v>37</v>
      </c>
      <c r="E118" s="128">
        <v>-1</v>
      </c>
      <c r="F118" s="93" t="s">
        <v>33</v>
      </c>
      <c r="G118" s="15" t="s">
        <v>36</v>
      </c>
      <c r="H118" s="15"/>
      <c r="I118" s="96" t="s">
        <v>166</v>
      </c>
      <c r="J118" s="126">
        <f>E118*B118</f>
        <v>-9.572047513872685E-4</v>
      </c>
      <c r="K118" s="6" t="s">
        <v>35</v>
      </c>
      <c r="L118" s="126">
        <f>E118*G148</f>
        <v>1.3827385622320783E-3</v>
      </c>
      <c r="M118" s="6" t="s">
        <v>34</v>
      </c>
      <c r="N118" s="126">
        <f>E118*I148</f>
        <v>-3.2971480650066153E-3</v>
      </c>
    </row>
    <row r="119" spans="1:26">
      <c r="A119" s="16" t="s">
        <v>15</v>
      </c>
      <c r="B119" s="17">
        <f>G138-(F138*B117)</f>
        <v>2.6120619730886988E-3</v>
      </c>
      <c r="M119" s="4"/>
    </row>
    <row r="120" spans="1:26">
      <c r="A120" s="25" t="s">
        <v>31</v>
      </c>
      <c r="B120" s="24">
        <f>J138/SQRT(N138)</f>
        <v>0.2619869919715202</v>
      </c>
      <c r="M120" s="4"/>
    </row>
    <row r="121" spans="1:26" ht="26.25" customHeight="1" thickBot="1">
      <c r="A121" s="108" t="s">
        <v>32</v>
      </c>
      <c r="B121" s="109">
        <f>B120^2</f>
        <v>6.8637183962285395E-2</v>
      </c>
      <c r="C121" s="110">
        <f>1-B121</f>
        <v>0.93136281603771465</v>
      </c>
      <c r="F121" s="7"/>
      <c r="G121" s="8"/>
      <c r="H121" s="269" t="s">
        <v>1</v>
      </c>
      <c r="I121" s="270"/>
      <c r="J121" s="9" t="s">
        <v>2</v>
      </c>
      <c r="K121" s="10"/>
      <c r="L121" s="9" t="s">
        <v>3</v>
      </c>
      <c r="M121" s="9" t="s">
        <v>4</v>
      </c>
      <c r="N121" s="9" t="s">
        <v>5</v>
      </c>
      <c r="Q121" s="41"/>
      <c r="R121" s="41"/>
      <c r="S121" s="41"/>
      <c r="T121" s="41"/>
      <c r="U121" s="43"/>
      <c r="V121" s="68"/>
      <c r="W121" s="68"/>
      <c r="X121" s="41"/>
      <c r="Y121" s="41"/>
      <c r="Z121" s="69"/>
    </row>
    <row r="122" spans="1:26" ht="37.5" customHeight="1" thickBot="1">
      <c r="A122" s="113" t="s">
        <v>44</v>
      </c>
      <c r="C122" s="11" t="s">
        <v>174</v>
      </c>
      <c r="D122" s="12" t="s">
        <v>6</v>
      </c>
      <c r="E122" s="12" t="s">
        <v>39</v>
      </c>
      <c r="F122" s="44" t="s">
        <v>172</v>
      </c>
      <c r="G122" s="45" t="s">
        <v>178</v>
      </c>
      <c r="H122" s="13" t="s">
        <v>7</v>
      </c>
      <c r="I122" s="14" t="s">
        <v>8</v>
      </c>
      <c r="J122" s="14" t="s">
        <v>9</v>
      </c>
      <c r="L122" s="14" t="s">
        <v>10</v>
      </c>
      <c r="M122" s="14" t="s">
        <v>11</v>
      </c>
      <c r="N122" s="14" t="s">
        <v>12</v>
      </c>
      <c r="Q122" s="41"/>
      <c r="R122" s="41"/>
      <c r="S122" s="70"/>
      <c r="T122" s="71"/>
      <c r="U122" s="41"/>
      <c r="V122" s="72"/>
      <c r="W122" s="72"/>
      <c r="X122" s="73"/>
      <c r="Y122" s="74"/>
      <c r="Z122" s="72"/>
    </row>
    <row r="123" spans="1:26">
      <c r="A123" s="112" t="s">
        <v>62</v>
      </c>
      <c r="C123" s="268">
        <f>B119+(B118*F123)</f>
        <v>5.3879557521117772E-3</v>
      </c>
      <c r="D123" s="340">
        <f t="shared" ref="D123:D135" si="13">C123-G123</f>
        <v>3.1879557521117771E-3</v>
      </c>
      <c r="E123" s="6">
        <v>1</v>
      </c>
      <c r="F123" s="47">
        <v>2.9</v>
      </c>
      <c r="G123" s="62">
        <v>2.2000000000000001E-3</v>
      </c>
      <c r="H123" s="19">
        <f>F123-F138</f>
        <v>-5.6861538461538466</v>
      </c>
      <c r="I123" s="63">
        <f>G123-G138</f>
        <v>-8.6307692307692301E-3</v>
      </c>
      <c r="J123" s="19">
        <f t="shared" ref="J123:J135" si="14">H123*I123</f>
        <v>4.907588165680473E-2</v>
      </c>
      <c r="K123" s="20"/>
      <c r="L123" s="20">
        <f t="shared" ref="L123:L135" si="15">H123^2</f>
        <v>32.332345562130179</v>
      </c>
      <c r="M123" s="38">
        <f t="shared" ref="M123:M135" si="16">I123^2</f>
        <v>7.4490177514792891E-5</v>
      </c>
      <c r="N123" s="21"/>
      <c r="Q123" s="41"/>
      <c r="R123" s="57"/>
      <c r="S123" s="78"/>
      <c r="T123" s="79"/>
      <c r="U123" s="41"/>
      <c r="V123" s="58"/>
      <c r="W123" s="58"/>
      <c r="X123" s="77"/>
      <c r="Y123" s="74"/>
      <c r="Z123" s="58"/>
    </row>
    <row r="124" spans="1:26">
      <c r="A124" s="112" t="s">
        <v>63</v>
      </c>
      <c r="C124" s="268">
        <f>B119+(B118*F124)</f>
        <v>1.2184109486961383E-2</v>
      </c>
      <c r="D124" s="340">
        <f t="shared" si="13"/>
        <v>-2.4815890513038615E-2</v>
      </c>
      <c r="E124" s="6">
        <v>2</v>
      </c>
      <c r="F124" s="47">
        <v>10</v>
      </c>
      <c r="G124" s="62">
        <v>3.6999999999999998E-2</v>
      </c>
      <c r="H124" s="19">
        <f>F124-F138</f>
        <v>1.4138461538461531</v>
      </c>
      <c r="I124" s="63">
        <f>G124-G138</f>
        <v>2.6169230769230768E-2</v>
      </c>
      <c r="J124" s="19">
        <f t="shared" si="14"/>
        <v>3.699926627218933E-2</v>
      </c>
      <c r="K124" s="20"/>
      <c r="L124" s="20">
        <f t="shared" si="15"/>
        <v>1.99896094674556</v>
      </c>
      <c r="M124" s="38">
        <f t="shared" si="16"/>
        <v>6.8482863905325439E-4</v>
      </c>
      <c r="N124" s="21"/>
      <c r="Q124" s="41"/>
      <c r="R124" s="57"/>
      <c r="S124" s="78"/>
      <c r="T124" s="79"/>
      <c r="U124" s="41"/>
      <c r="V124" s="58"/>
      <c r="W124" s="58"/>
      <c r="X124" s="77"/>
      <c r="Y124" s="74"/>
      <c r="Z124" s="58"/>
    </row>
    <row r="125" spans="1:26">
      <c r="A125" s="112" t="s">
        <v>64</v>
      </c>
      <c r="C125" s="268">
        <f>B119+(B118*F125)</f>
        <v>9.1401983775498703E-3</v>
      </c>
      <c r="D125" s="340">
        <f t="shared" si="13"/>
        <v>8.440198377549871E-3</v>
      </c>
      <c r="E125" s="6">
        <v>3</v>
      </c>
      <c r="F125" s="47">
        <v>6.82</v>
      </c>
      <c r="G125" s="62">
        <v>6.9999999999999999E-4</v>
      </c>
      <c r="H125" s="19">
        <f>F125-F138</f>
        <v>-1.7661538461538466</v>
      </c>
      <c r="I125" s="63">
        <f>G125-G138</f>
        <v>-1.0130769230769231E-2</v>
      </c>
      <c r="J125" s="19">
        <f t="shared" si="14"/>
        <v>1.7892497041420125E-2</v>
      </c>
      <c r="K125" s="20"/>
      <c r="L125" s="20">
        <f t="shared" si="15"/>
        <v>3.1192994082840255</v>
      </c>
      <c r="M125" s="38">
        <f t="shared" si="16"/>
        <v>1.026324852071006E-4</v>
      </c>
      <c r="N125" s="21"/>
      <c r="Q125" s="41"/>
      <c r="R125" s="80"/>
      <c r="S125" s="41"/>
      <c r="T125" s="41"/>
      <c r="U125" s="41"/>
      <c r="V125" s="58"/>
      <c r="W125" s="58"/>
      <c r="X125" s="77"/>
      <c r="Y125" s="74"/>
      <c r="Z125" s="58"/>
    </row>
    <row r="126" spans="1:26">
      <c r="A126" s="129" t="s">
        <v>65</v>
      </c>
      <c r="C126" s="268">
        <f>B119+(B118*F126)</f>
        <v>9.3124952327995787E-3</v>
      </c>
      <c r="D126" s="340">
        <f t="shared" si="13"/>
        <v>-2.7287504767200422E-2</v>
      </c>
      <c r="E126" s="6">
        <v>4</v>
      </c>
      <c r="F126" s="47">
        <v>7</v>
      </c>
      <c r="G126" s="62">
        <v>3.6600000000000001E-2</v>
      </c>
      <c r="H126" s="19">
        <f>F126-F138</f>
        <v>-1.5861538461538469</v>
      </c>
      <c r="I126" s="63">
        <f>G126-G138</f>
        <v>2.576923076923077E-2</v>
      </c>
      <c r="J126" s="19">
        <f t="shared" si="14"/>
        <v>-4.0873964497041441E-2</v>
      </c>
      <c r="K126" s="20"/>
      <c r="L126" s="20">
        <f t="shared" si="15"/>
        <v>2.5158840236686415</v>
      </c>
      <c r="M126" s="38">
        <f t="shared" si="16"/>
        <v>6.6405325443786981E-4</v>
      </c>
      <c r="N126" s="21"/>
      <c r="Q126" s="41"/>
      <c r="R126" s="80"/>
      <c r="S126" s="41"/>
      <c r="T126" s="41"/>
      <c r="U126" s="41"/>
      <c r="V126" s="58"/>
      <c r="W126" s="58"/>
      <c r="X126" s="77"/>
      <c r="Y126" s="74"/>
      <c r="Z126" s="58"/>
    </row>
    <row r="127" spans="1:26">
      <c r="A127" s="112" t="s">
        <v>69</v>
      </c>
      <c r="C127" s="268">
        <f>B119+(B118*F127)</f>
        <v>1.1896948061545202E-2</v>
      </c>
      <c r="D127" s="340">
        <f t="shared" si="13"/>
        <v>1.3096948061545202E-2</v>
      </c>
      <c r="E127" s="6">
        <v>5</v>
      </c>
      <c r="F127" s="47">
        <v>9.6999999999999993</v>
      </c>
      <c r="G127" s="62">
        <v>-1.1999999999999999E-3</v>
      </c>
      <c r="H127" s="19">
        <f>F127-F138</f>
        <v>1.1138461538461524</v>
      </c>
      <c r="I127" s="63">
        <f>G127-G138</f>
        <v>-1.203076923076923E-2</v>
      </c>
      <c r="J127" s="19">
        <f t="shared" si="14"/>
        <v>-1.3400426035502941E-2</v>
      </c>
      <c r="K127" s="20"/>
      <c r="L127" s="20">
        <f t="shared" si="15"/>
        <v>1.2406532544378666</v>
      </c>
      <c r="M127" s="38">
        <f t="shared" si="16"/>
        <v>1.4473940828402365E-4</v>
      </c>
      <c r="N127" s="21"/>
      <c r="Q127" s="41"/>
      <c r="R127" s="41"/>
      <c r="S127" s="41"/>
      <c r="T127" s="41"/>
      <c r="U127" s="41"/>
      <c r="V127" s="58"/>
      <c r="W127" s="58"/>
      <c r="X127" s="77"/>
      <c r="Y127" s="74"/>
      <c r="Z127" s="58"/>
    </row>
    <row r="128" spans="1:26">
      <c r="A128" s="112" t="s">
        <v>71</v>
      </c>
      <c r="C128" s="268">
        <f>B119+(B118*F128)</f>
        <v>1.5151444216261916E-2</v>
      </c>
      <c r="D128" s="340">
        <f t="shared" si="13"/>
        <v>6.3514442162619159E-3</v>
      </c>
      <c r="E128" s="6">
        <v>6</v>
      </c>
      <c r="F128" s="47">
        <v>13.1</v>
      </c>
      <c r="G128" s="62">
        <v>8.8000000000000005E-3</v>
      </c>
      <c r="H128" s="19">
        <f>F128-F138</f>
        <v>4.5138461538461527</v>
      </c>
      <c r="I128" s="63">
        <f>G128-G138</f>
        <v>-2.0307692307692301E-3</v>
      </c>
      <c r="J128" s="19">
        <f t="shared" si="14"/>
        <v>-9.166579881656799E-3</v>
      </c>
      <c r="K128" s="20"/>
      <c r="L128" s="20">
        <f t="shared" si="15"/>
        <v>20.374807100591706</v>
      </c>
      <c r="M128" s="38">
        <f t="shared" si="16"/>
        <v>4.1240236686390505E-6</v>
      </c>
      <c r="N128" s="21"/>
      <c r="Q128" s="41"/>
      <c r="R128" s="41"/>
      <c r="S128" s="41"/>
      <c r="T128" s="41"/>
      <c r="U128" s="41"/>
      <c r="V128" s="58"/>
      <c r="W128" s="58"/>
      <c r="X128" s="77"/>
      <c r="Y128" s="74"/>
      <c r="Z128" s="58"/>
    </row>
    <row r="129" spans="1:26">
      <c r="A129" s="112" t="s">
        <v>72</v>
      </c>
      <c r="C129" s="268">
        <f>B119+(B118*F129)</f>
        <v>7.9724085808574024E-3</v>
      </c>
      <c r="D129" s="340">
        <f t="shared" si="13"/>
        <v>7.872408580857403E-3</v>
      </c>
      <c r="E129" s="6">
        <v>7</v>
      </c>
      <c r="F129" s="47">
        <v>5.6</v>
      </c>
      <c r="G129" s="62">
        <v>1E-4</v>
      </c>
      <c r="H129" s="19">
        <f>F129-F138</f>
        <v>-2.9861538461538473</v>
      </c>
      <c r="I129" s="63">
        <f>G129-G138</f>
        <v>-1.0730769230769231E-2</v>
      </c>
      <c r="J129" s="19">
        <f t="shared" si="14"/>
        <v>3.2043727810650902E-2</v>
      </c>
      <c r="K129" s="20"/>
      <c r="L129" s="20">
        <f t="shared" si="15"/>
        <v>8.9171147928994152</v>
      </c>
      <c r="M129" s="38">
        <f t="shared" si="16"/>
        <v>1.1514940828402367E-4</v>
      </c>
      <c r="N129" s="21"/>
      <c r="Q129" s="41"/>
      <c r="R129" s="41"/>
      <c r="S129" s="41"/>
      <c r="T129" s="41"/>
      <c r="U129" s="41"/>
      <c r="V129" s="58"/>
      <c r="W129" s="58"/>
      <c r="X129" s="77"/>
      <c r="Y129" s="74"/>
      <c r="Z129" s="58"/>
    </row>
    <row r="130" spans="1:26">
      <c r="A130" s="112" t="s">
        <v>73</v>
      </c>
      <c r="C130" s="268">
        <f>B119+(B118*F130)</f>
        <v>1.6012928492510459E-2</v>
      </c>
      <c r="D130" s="340">
        <f t="shared" si="13"/>
        <v>1.181292849251046E-2</v>
      </c>
      <c r="E130" s="6">
        <v>8</v>
      </c>
      <c r="F130" s="47">
        <v>14</v>
      </c>
      <c r="G130" s="62">
        <v>4.1999999999999997E-3</v>
      </c>
      <c r="H130" s="19">
        <f>F130-F138</f>
        <v>5.4138461538461531</v>
      </c>
      <c r="I130" s="63">
        <f>G130-G138</f>
        <v>-6.6307692307692309E-3</v>
      </c>
      <c r="J130" s="19">
        <f t="shared" si="14"/>
        <v>-3.5897964497041412E-2</v>
      </c>
      <c r="K130" s="20"/>
      <c r="L130" s="20">
        <f t="shared" si="15"/>
        <v>29.309730177514783</v>
      </c>
      <c r="M130" s="38">
        <f t="shared" si="16"/>
        <v>4.3967100591715975E-5</v>
      </c>
      <c r="N130" s="21"/>
      <c r="Q130" s="41"/>
      <c r="R130" s="41"/>
      <c r="S130" s="41"/>
      <c r="T130" s="41"/>
      <c r="U130" s="41"/>
      <c r="V130" s="58"/>
      <c r="W130" s="58"/>
      <c r="X130" s="77"/>
      <c r="Y130" s="74"/>
      <c r="Z130" s="58"/>
    </row>
    <row r="131" spans="1:26">
      <c r="A131" s="112" t="s">
        <v>74</v>
      </c>
      <c r="C131" s="268">
        <f>B119+(B118*F131)</f>
        <v>3.9521486250308751E-3</v>
      </c>
      <c r="D131" s="340">
        <f t="shared" si="13"/>
        <v>6.2521486250308751E-3</v>
      </c>
      <c r="E131" s="6">
        <v>9</v>
      </c>
      <c r="F131" s="47">
        <v>1.4</v>
      </c>
      <c r="G131" s="62">
        <v>-2.3E-3</v>
      </c>
      <c r="H131" s="19">
        <f>F131-F138</f>
        <v>-7.1861538461538466</v>
      </c>
      <c r="I131" s="63">
        <f>G131-G138</f>
        <v>-1.3130769230769231E-2</v>
      </c>
      <c r="J131" s="19">
        <f t="shared" si="14"/>
        <v>9.4359727810650898E-2</v>
      </c>
      <c r="K131" s="20"/>
      <c r="L131" s="20">
        <f t="shared" si="15"/>
        <v>51.640807100591722</v>
      </c>
      <c r="M131" s="38">
        <f t="shared" si="16"/>
        <v>1.7241710059171596E-4</v>
      </c>
      <c r="N131" s="21"/>
      <c r="Q131" s="41"/>
      <c r="R131" s="41"/>
      <c r="S131" s="41"/>
      <c r="T131" s="41"/>
      <c r="U131" s="41"/>
      <c r="V131" s="58"/>
      <c r="W131" s="58"/>
      <c r="X131" s="77"/>
      <c r="Y131" s="74"/>
      <c r="Z131" s="58"/>
    </row>
    <row r="132" spans="1:26">
      <c r="A132" s="112" t="s">
        <v>75</v>
      </c>
      <c r="C132" s="268">
        <f>B119+(B118*F132)</f>
        <v>1.6012928492510459E-2</v>
      </c>
      <c r="D132" s="340">
        <f t="shared" si="13"/>
        <v>-2.5887071507489541E-2</v>
      </c>
      <c r="E132" s="6">
        <v>10</v>
      </c>
      <c r="F132" s="47">
        <v>14</v>
      </c>
      <c r="G132" s="62">
        <v>4.19E-2</v>
      </c>
      <c r="H132" s="19">
        <f>F132-F138</f>
        <v>5.4138461538461531</v>
      </c>
      <c r="I132" s="63">
        <f>G132-G138</f>
        <v>3.1069230769230769E-2</v>
      </c>
      <c r="J132" s="19">
        <f t="shared" si="14"/>
        <v>0.16820403550295857</v>
      </c>
      <c r="K132" s="20"/>
      <c r="L132" s="20">
        <f t="shared" si="15"/>
        <v>29.309730177514783</v>
      </c>
      <c r="M132" s="38">
        <f t="shared" si="16"/>
        <v>9.65297100591716E-4</v>
      </c>
      <c r="N132" s="21"/>
      <c r="Q132" s="41"/>
      <c r="R132" s="41"/>
      <c r="S132" s="41"/>
      <c r="T132" s="41"/>
      <c r="U132" s="41"/>
      <c r="V132" s="58"/>
      <c r="W132" s="58"/>
      <c r="X132" s="77"/>
      <c r="Y132" s="74"/>
      <c r="Z132" s="58"/>
    </row>
    <row r="133" spans="1:26">
      <c r="A133" s="112" t="s">
        <v>76</v>
      </c>
      <c r="C133" s="268">
        <f>B119+(B118*F133)</f>
        <v>1.3141314238348653E-2</v>
      </c>
      <c r="D133" s="340">
        <f t="shared" si="13"/>
        <v>1.3441314238348653E-2</v>
      </c>
      <c r="E133" s="6">
        <v>11</v>
      </c>
      <c r="F133" s="47">
        <v>11</v>
      </c>
      <c r="G133" s="62">
        <v>-2.9999999999999997E-4</v>
      </c>
      <c r="H133" s="19">
        <f>F133-F138</f>
        <v>2.4138461538461531</v>
      </c>
      <c r="I133" s="63">
        <f>G133-G138</f>
        <v>-1.1130769230769231E-2</v>
      </c>
      <c r="J133" s="19">
        <f t="shared" si="14"/>
        <v>-2.6867964497041413E-2</v>
      </c>
      <c r="K133" s="20"/>
      <c r="L133" s="20">
        <f t="shared" si="15"/>
        <v>5.8266532544378657</v>
      </c>
      <c r="M133" s="38">
        <f t="shared" si="16"/>
        <v>1.2389402366863906E-4</v>
      </c>
      <c r="N133" s="21"/>
      <c r="Q133" s="26"/>
      <c r="R133" s="80"/>
      <c r="S133" s="41"/>
      <c r="T133" s="41"/>
      <c r="U133" s="41"/>
      <c r="V133" s="58"/>
      <c r="W133" s="58"/>
      <c r="X133" s="77"/>
      <c r="Y133" s="74"/>
      <c r="Z133" s="58"/>
    </row>
    <row r="134" spans="1:26">
      <c r="A134" s="112" t="s">
        <v>77</v>
      </c>
      <c r="C134" s="268">
        <f>B119+(B118*F134)</f>
        <v>1.5151444216261916E-2</v>
      </c>
      <c r="D134" s="340">
        <f t="shared" si="13"/>
        <v>1.3451444216261916E-2</v>
      </c>
      <c r="E134" s="6">
        <v>12</v>
      </c>
      <c r="F134" s="47">
        <v>13.1</v>
      </c>
      <c r="G134" s="62">
        <v>1.6999999999999999E-3</v>
      </c>
      <c r="H134" s="19">
        <f>F134-F138</f>
        <v>4.5138461538461527</v>
      </c>
      <c r="I134" s="63">
        <f>G134-G138</f>
        <v>-9.1307692307692305E-3</v>
      </c>
      <c r="J134" s="19">
        <f t="shared" si="14"/>
        <v>-4.1214887573964486E-2</v>
      </c>
      <c r="K134" s="20"/>
      <c r="L134" s="20">
        <f t="shared" si="15"/>
        <v>20.374807100591706</v>
      </c>
      <c r="M134" s="38">
        <f t="shared" si="16"/>
        <v>8.3370946745562125E-5</v>
      </c>
      <c r="N134" s="21"/>
      <c r="Q134" s="41"/>
      <c r="R134" s="80"/>
      <c r="S134" s="41"/>
      <c r="T134" s="41"/>
      <c r="U134" s="41"/>
      <c r="V134" s="58"/>
      <c r="W134" s="58"/>
      <c r="X134" s="77"/>
      <c r="Y134" s="74"/>
      <c r="Z134" s="58"/>
    </row>
    <row r="135" spans="1:26">
      <c r="A135" s="112" t="s">
        <v>78</v>
      </c>
      <c r="C135" s="268">
        <f>B119+(B118*F135)</f>
        <v>5.4836762272505047E-3</v>
      </c>
      <c r="D135" s="340">
        <f t="shared" si="13"/>
        <v>-5.9163237727494957E-3</v>
      </c>
      <c r="E135" s="6">
        <v>13</v>
      </c>
      <c r="F135" s="47">
        <v>3</v>
      </c>
      <c r="G135" s="62">
        <v>1.14E-2</v>
      </c>
      <c r="H135" s="19">
        <f>F135-F138</f>
        <v>-5.5861538461538469</v>
      </c>
      <c r="I135" s="63">
        <f>G135-G138</f>
        <v>5.6923076923076979E-4</v>
      </c>
      <c r="J135" s="19">
        <f t="shared" si="14"/>
        <v>-3.1798106508875777E-3</v>
      </c>
      <c r="K135" s="20"/>
      <c r="L135" s="20">
        <f t="shared" si="15"/>
        <v>31.205114792899415</v>
      </c>
      <c r="M135" s="38">
        <f t="shared" si="16"/>
        <v>3.2402366863905388E-7</v>
      </c>
      <c r="N135" s="21"/>
      <c r="Q135" s="41"/>
      <c r="R135" s="81"/>
      <c r="S135" s="41"/>
      <c r="T135" s="82"/>
      <c r="U135" s="41"/>
      <c r="V135" s="58"/>
      <c r="W135" s="58"/>
      <c r="X135" s="77"/>
      <c r="Y135" s="74"/>
      <c r="Z135" s="58"/>
    </row>
    <row r="136" spans="1:26" ht="12.75">
      <c r="C136" s="340"/>
      <c r="D136" s="340"/>
      <c r="E136" s="6"/>
      <c r="F136" s="6"/>
      <c r="G136" s="6"/>
      <c r="H136" s="65"/>
      <c r="J136" s="60"/>
      <c r="K136" s="6"/>
      <c r="L136" s="6"/>
      <c r="M136" s="18"/>
      <c r="N136" s="6"/>
      <c r="Q136" s="41"/>
      <c r="R136" s="83"/>
      <c r="S136" s="41"/>
      <c r="T136" s="41"/>
      <c r="U136" s="41"/>
      <c r="V136" s="58"/>
      <c r="W136" s="58"/>
      <c r="X136" s="77"/>
      <c r="Y136" s="74"/>
      <c r="Z136" s="58"/>
    </row>
    <row r="137" spans="1:26" ht="13.5" thickBot="1">
      <c r="C137" s="340"/>
      <c r="D137" s="340"/>
      <c r="M137" s="18"/>
      <c r="N137" s="6"/>
      <c r="P137" s="271" t="s">
        <v>164</v>
      </c>
      <c r="Q137" s="272"/>
      <c r="R137" s="272"/>
      <c r="S137" s="272"/>
      <c r="T137" s="272"/>
      <c r="U137" s="272"/>
      <c r="V137" s="272"/>
      <c r="W137" s="272"/>
      <c r="X137" s="273"/>
      <c r="Y137" s="74"/>
      <c r="Z137" s="58"/>
    </row>
    <row r="138" spans="1:26" ht="13.5" thickBot="1">
      <c r="B138" s="2" t="s">
        <v>0</v>
      </c>
      <c r="C138" s="341">
        <f>AVERAGE(C123:C135)</f>
        <v>1.0830769230769231E-2</v>
      </c>
      <c r="D138" s="341">
        <f>AVERAGE(D123:D135)</f>
        <v>0</v>
      </c>
      <c r="F138" s="18">
        <f>AVERAGE(F123:F135)</f>
        <v>8.5861538461538469</v>
      </c>
      <c r="G138" s="64">
        <f>AVERAGE(G123:G135)</f>
        <v>1.0830769230769231E-2</v>
      </c>
      <c r="H138" s="19">
        <f>AVERAGE(H123:H135)</f>
        <v>-8.1985700280011564E-16</v>
      </c>
      <c r="I138" s="19">
        <f>AVERAGE(I123:I135)</f>
        <v>1.3344026738283132E-19</v>
      </c>
      <c r="J138" s="59">
        <f>SUM(J123:J136)</f>
        <v>0.22797353846153848</v>
      </c>
      <c r="K138" s="27" t="s">
        <v>16</v>
      </c>
      <c r="L138" s="28">
        <f>SUM(L123:L137)</f>
        <v>238.16590769230768</v>
      </c>
      <c r="M138" s="28">
        <f>SUM(M123:M137)</f>
        <v>3.1792876923076919E-3</v>
      </c>
      <c r="N138" s="28">
        <f>M138*L138</f>
        <v>0.75719793905344368</v>
      </c>
      <c r="P138" s="274"/>
      <c r="Q138" s="275"/>
      <c r="R138" s="275"/>
      <c r="S138" s="275"/>
      <c r="T138" s="275"/>
      <c r="U138" s="275"/>
      <c r="V138" s="275"/>
      <c r="W138" s="275"/>
      <c r="X138" s="276"/>
      <c r="Y138" s="74"/>
      <c r="Z138" s="87"/>
    </row>
    <row r="139" spans="1:26" ht="15" thickBot="1">
      <c r="B139" s="15" t="s">
        <v>17</v>
      </c>
      <c r="C139" s="29">
        <f>STDEVA(C123:C135)</f>
        <v>4.2643615603232708E-3</v>
      </c>
      <c r="D139" s="29">
        <f>STDEVA(D123:D135)</f>
        <v>1.5708464645167532E-2</v>
      </c>
      <c r="E139" s="15"/>
      <c r="F139" s="30">
        <f>STDEVA(F123:F135)</f>
        <v>4.4550150363785503</v>
      </c>
      <c r="G139" s="29">
        <f>STDEVA(G123:G135)</f>
        <v>1.6276997297586589E-2</v>
      </c>
      <c r="H139" s="30">
        <f>STDEVA(H123:H137)</f>
        <v>4.4550150363785503</v>
      </c>
      <c r="I139" s="30">
        <f>STDEVA(I123:I137)</f>
        <v>1.6276997297586585E-2</v>
      </c>
      <c r="J139" s="31" t="s">
        <v>16</v>
      </c>
      <c r="K139" s="32"/>
      <c r="L139" s="33"/>
      <c r="M139" s="33"/>
      <c r="N139" s="34"/>
      <c r="P139" s="274"/>
      <c r="Q139" s="275"/>
      <c r="R139" s="275"/>
      <c r="S139" s="275"/>
      <c r="T139" s="275"/>
      <c r="U139" s="275"/>
      <c r="V139" s="275"/>
      <c r="W139" s="275"/>
      <c r="X139" s="276"/>
      <c r="Y139" s="89"/>
      <c r="Z139" s="41"/>
    </row>
    <row r="140" spans="1:26" ht="15.75">
      <c r="B140" s="15" t="s">
        <v>18</v>
      </c>
      <c r="C140" s="35">
        <f>C139^2</f>
        <v>1.818477951716272E-5</v>
      </c>
      <c r="D140" s="35">
        <f>D139^2</f>
        <v>2.467558615084783E-4</v>
      </c>
      <c r="E140" s="15"/>
      <c r="F140" s="30">
        <f>F139^2</f>
        <v>19.847158974358976</v>
      </c>
      <c r="G140" s="35">
        <f>G139^2</f>
        <v>2.6494064102564112E-4</v>
      </c>
      <c r="H140" s="30">
        <f>H139^2</f>
        <v>19.847158974358976</v>
      </c>
      <c r="I140" s="30">
        <f>I139^2</f>
        <v>2.6494064102564101E-4</v>
      </c>
      <c r="J140" s="33"/>
      <c r="K140" s="27"/>
      <c r="L140" s="33"/>
      <c r="M140" s="33"/>
      <c r="N140" s="34"/>
      <c r="P140" s="277"/>
      <c r="Q140" s="278"/>
      <c r="R140" s="278"/>
      <c r="S140" s="278"/>
      <c r="T140" s="278"/>
      <c r="U140" s="278"/>
      <c r="V140" s="278"/>
      <c r="W140" s="278"/>
      <c r="X140" s="279"/>
      <c r="Y140" s="41"/>
      <c r="Z140" s="41"/>
    </row>
    <row r="141" spans="1:26">
      <c r="B141" s="2" t="s">
        <v>19</v>
      </c>
      <c r="C141" s="30">
        <f>COUNT(C123:C135)</f>
        <v>13</v>
      </c>
      <c r="D141" s="30">
        <f>COUNT(D123:D135)</f>
        <v>13</v>
      </c>
      <c r="F141" s="30">
        <f>COUNT(F123:F135)</f>
        <v>13</v>
      </c>
      <c r="G141" s="30">
        <f>COUNT(G123:G135)</f>
        <v>13</v>
      </c>
      <c r="I141" s="27"/>
      <c r="J141" s="33"/>
      <c r="K141" s="27"/>
      <c r="L141" s="33"/>
      <c r="M141" s="33"/>
      <c r="N141" s="34"/>
      <c r="Q141" s="41"/>
      <c r="R141" s="41"/>
      <c r="S141" s="41"/>
      <c r="T141" s="41"/>
      <c r="U141" s="41"/>
      <c r="V141" s="41"/>
      <c r="W141" s="41"/>
      <c r="X141" s="41"/>
      <c r="Y141" s="41"/>
      <c r="Z141" s="41"/>
    </row>
    <row r="142" spans="1:26">
      <c r="B142" s="36" t="s">
        <v>20</v>
      </c>
      <c r="C142" s="37">
        <f>C138/C139</f>
        <v>2.5398337072403816</v>
      </c>
      <c r="D142" s="37">
        <f>D138/D139</f>
        <v>0</v>
      </c>
      <c r="E142" s="36"/>
      <c r="F142" s="37">
        <f>F138/F139</f>
        <v>1.9273007556745465</v>
      </c>
      <c r="G142" s="37">
        <f>G138/G139</f>
        <v>0.66540339306778173</v>
      </c>
      <c r="I142" s="27"/>
      <c r="J142" s="36"/>
      <c r="Q142" s="41"/>
      <c r="R142" s="41"/>
      <c r="S142" s="41"/>
      <c r="T142" s="41"/>
      <c r="U142" s="41"/>
      <c r="V142" s="41"/>
      <c r="W142" s="41"/>
      <c r="X142" s="41"/>
      <c r="Y142" s="41"/>
      <c r="Z142" s="41"/>
    </row>
    <row r="143" spans="1:26">
      <c r="B143" s="36"/>
      <c r="C143" s="37"/>
      <c r="D143" s="36"/>
      <c r="E143" s="36"/>
      <c r="F143" s="37"/>
      <c r="G143" s="37"/>
      <c r="I143" s="27"/>
      <c r="J143" s="36"/>
      <c r="Q143" s="41"/>
      <c r="R143" s="41"/>
      <c r="S143" s="41"/>
      <c r="T143" s="41"/>
      <c r="U143" s="41"/>
      <c r="V143" s="41"/>
      <c r="W143" s="41"/>
      <c r="X143" s="41"/>
      <c r="Y143" s="41"/>
      <c r="Z143" s="41"/>
    </row>
    <row r="144" spans="1:26">
      <c r="B144" s="36"/>
      <c r="C144" s="37"/>
      <c r="D144" s="36"/>
      <c r="E144" s="36"/>
      <c r="F144" s="37"/>
      <c r="G144" s="48" t="s">
        <v>21</v>
      </c>
      <c r="I144" s="49" t="s">
        <v>22</v>
      </c>
      <c r="J144" s="36"/>
    </row>
    <row r="145" spans="1:26" ht="15.75">
      <c r="A145" s="2" t="s">
        <v>23</v>
      </c>
      <c r="C145" s="37"/>
      <c r="D145" s="36"/>
      <c r="E145" s="36"/>
      <c r="G145" s="39">
        <f>B120*(SQRT((C141-2)/(1-B121)))</f>
        <v>0.90036089366364447</v>
      </c>
      <c r="H145" s="40"/>
      <c r="I145" s="42">
        <f>TDIST(ABS(G145),8,2)</f>
        <v>0.39422339297624809</v>
      </c>
      <c r="J145" s="50" t="s">
        <v>57</v>
      </c>
      <c r="N145" s="2"/>
      <c r="O145" s="41"/>
      <c r="P145" s="43"/>
    </row>
    <row r="146" spans="1:26" ht="15.75">
      <c r="A146" s="2" t="s">
        <v>24</v>
      </c>
      <c r="C146" s="37"/>
      <c r="D146" s="36"/>
      <c r="E146" s="36"/>
      <c r="G146" s="39">
        <f>B118/((G139/F139)*SQRT((1-B120^2)/(G141-2)))</f>
        <v>0.90036089366364425</v>
      </c>
      <c r="H146" s="36"/>
      <c r="I146" s="42">
        <f>TDIST(ABS(G146),8,2)</f>
        <v>0.3942233929762482</v>
      </c>
      <c r="J146" s="36"/>
      <c r="K146" s="36"/>
      <c r="N146" s="2"/>
      <c r="O146" s="36"/>
      <c r="P146" s="43"/>
    </row>
    <row r="147" spans="1:26" ht="12.75">
      <c r="C147" s="37"/>
      <c r="D147" s="36"/>
      <c r="E147" s="36"/>
      <c r="J147" s="36"/>
      <c r="K147" s="36"/>
      <c r="N147" s="2"/>
      <c r="O147" s="36"/>
      <c r="P147" s="43"/>
    </row>
    <row r="148" spans="1:26" ht="15.75">
      <c r="A148" s="2" t="s">
        <v>25</v>
      </c>
      <c r="B148" s="37"/>
      <c r="D148" s="38"/>
      <c r="E148" s="56">
        <f>Q148*((G139/F139)*SQRT((1-B120^2)/(G141-2)))</f>
        <v>2.3399433136193468E-3</v>
      </c>
      <c r="F148" s="51" t="s">
        <v>26</v>
      </c>
      <c r="G148" s="66">
        <f>B118-E148</f>
        <v>-1.3827385622320783E-3</v>
      </c>
      <c r="H148" s="51" t="s">
        <v>27</v>
      </c>
      <c r="I148" s="67">
        <f>B118+E148</f>
        <v>3.2971480650066153E-3</v>
      </c>
      <c r="K148" s="51" t="s">
        <v>28</v>
      </c>
      <c r="L148" s="52">
        <v>0.95</v>
      </c>
      <c r="M148" s="51" t="s">
        <v>29</v>
      </c>
      <c r="N148" s="53">
        <f>C141-2</f>
        <v>11</v>
      </c>
      <c r="P148" s="54" t="s">
        <v>30</v>
      </c>
      <c r="Q148" s="55">
        <f>TINV((1-L148),N148)</f>
        <v>2.2009851600916384</v>
      </c>
    </row>
    <row r="153" spans="1:26">
      <c r="A153" s="16" t="s">
        <v>13</v>
      </c>
      <c r="B153" s="17">
        <f>J170/L170</f>
        <v>-1.3510446048353242E-4</v>
      </c>
      <c r="D153" s="94"/>
      <c r="E153" s="95"/>
      <c r="F153" s="93" t="str">
        <f>F158</f>
        <v>X = Dif PAS [Int vs Conv]</v>
      </c>
      <c r="G153" s="95"/>
      <c r="H153" s="15"/>
      <c r="I153" s="96" t="str">
        <f>G158</f>
        <v>Y = RAR en InsCard</v>
      </c>
      <c r="M153" s="4"/>
    </row>
    <row r="154" spans="1:26">
      <c r="A154" s="22" t="s">
        <v>14</v>
      </c>
      <c r="B154" s="23">
        <f>B156*G171/F171</f>
        <v>-1.3510446048353242E-4</v>
      </c>
      <c r="D154" s="97" t="s">
        <v>37</v>
      </c>
      <c r="E154" s="128">
        <v>-1</v>
      </c>
      <c r="F154" s="93" t="s">
        <v>33</v>
      </c>
      <c r="G154" s="15" t="s">
        <v>36</v>
      </c>
      <c r="H154" s="15"/>
      <c r="I154" s="96" t="s">
        <v>166</v>
      </c>
      <c r="J154" s="126">
        <f>E154*B154</f>
        <v>1.3510446048353242E-4</v>
      </c>
      <c r="K154" s="6" t="s">
        <v>35</v>
      </c>
      <c r="L154" s="126">
        <f>E154*G180</f>
        <v>1.1863127351557777E-3</v>
      </c>
      <c r="M154" s="6" t="s">
        <v>34</v>
      </c>
      <c r="N154" s="126">
        <f>E154*I180</f>
        <v>-9.161038141887129E-4</v>
      </c>
    </row>
    <row r="155" spans="1:26">
      <c r="A155" s="16" t="s">
        <v>15</v>
      </c>
      <c r="B155" s="17">
        <f>G170-(F170*B153)</f>
        <v>1.5910410543001057E-3</v>
      </c>
      <c r="M155" s="4"/>
    </row>
    <row r="156" spans="1:26">
      <c r="A156" s="25" t="s">
        <v>31</v>
      </c>
      <c r="B156" s="24">
        <f>J170/SQRT(N170)</f>
        <v>-0.11411629314624139</v>
      </c>
      <c r="M156" s="4"/>
    </row>
    <row r="157" spans="1:26" ht="26.25" customHeight="1" thickBot="1">
      <c r="A157" s="108" t="s">
        <v>32</v>
      </c>
      <c r="B157" s="109">
        <f>B156^2</f>
        <v>1.30225283614389E-2</v>
      </c>
      <c r="C157" s="110">
        <f>1-B157</f>
        <v>0.98697747163856109</v>
      </c>
      <c r="F157" s="7"/>
      <c r="G157" s="8"/>
      <c r="H157" s="269" t="s">
        <v>1</v>
      </c>
      <c r="I157" s="270"/>
      <c r="J157" s="9" t="s">
        <v>2</v>
      </c>
      <c r="K157" s="10"/>
      <c r="L157" s="9" t="s">
        <v>3</v>
      </c>
      <c r="M157" s="9" t="s">
        <v>4</v>
      </c>
      <c r="N157" s="9" t="s">
        <v>5</v>
      </c>
      <c r="Q157" s="41"/>
      <c r="R157" s="41"/>
      <c r="S157" s="41"/>
      <c r="T157" s="41"/>
      <c r="U157" s="43"/>
      <c r="V157" s="68"/>
      <c r="W157" s="68"/>
      <c r="X157" s="41"/>
      <c r="Y157" s="41"/>
      <c r="Z157" s="69"/>
    </row>
    <row r="158" spans="1:26" ht="37.5" customHeight="1" thickBot="1">
      <c r="A158" s="121" t="s">
        <v>45</v>
      </c>
      <c r="B158" s="122"/>
      <c r="C158" s="11" t="s">
        <v>174</v>
      </c>
      <c r="D158" s="123" t="s">
        <v>6</v>
      </c>
      <c r="E158" s="123" t="s">
        <v>39</v>
      </c>
      <c r="F158" s="44" t="s">
        <v>172</v>
      </c>
      <c r="G158" s="45" t="s">
        <v>179</v>
      </c>
      <c r="H158" s="13" t="s">
        <v>7</v>
      </c>
      <c r="I158" s="14" t="s">
        <v>8</v>
      </c>
      <c r="J158" s="14" t="s">
        <v>9</v>
      </c>
      <c r="L158" s="14" t="s">
        <v>10</v>
      </c>
      <c r="M158" s="14" t="s">
        <v>11</v>
      </c>
      <c r="N158" s="14" t="s">
        <v>12</v>
      </c>
      <c r="Q158" s="41"/>
      <c r="R158" s="41"/>
      <c r="S158" s="70"/>
      <c r="T158" s="71"/>
      <c r="U158" s="41"/>
      <c r="V158" s="72"/>
      <c r="W158" s="72"/>
      <c r="X158" s="73"/>
      <c r="Y158" s="74"/>
      <c r="Z158" s="72"/>
    </row>
    <row r="159" spans="1:26">
      <c r="A159" s="112" t="s">
        <v>62</v>
      </c>
      <c r="C159" s="268">
        <f>B155+(B154*F159)</f>
        <v>1.1992381188978616E-3</v>
      </c>
      <c r="D159" s="340">
        <f t="shared" ref="D159:D167" si="17">C159-G159</f>
        <v>1.3992381188978617E-3</v>
      </c>
      <c r="E159" s="6">
        <v>1</v>
      </c>
      <c r="F159" s="47">
        <v>2.9</v>
      </c>
      <c r="G159" s="62">
        <v>-2.0000000000000001E-4</v>
      </c>
      <c r="H159" s="19">
        <f>F159-F170</f>
        <v>-5.2577777777777772</v>
      </c>
      <c r="I159" s="63">
        <f>G159-G170</f>
        <v>-6.8888888888888884E-4</v>
      </c>
      <c r="J159" s="19">
        <f t="shared" ref="J159:J167" si="18">H159*I159</f>
        <v>3.6220246913580239E-3</v>
      </c>
      <c r="K159" s="20"/>
      <c r="L159" s="20">
        <f t="shared" ref="L159:L167" si="19">H159^2</f>
        <v>27.64422716049382</v>
      </c>
      <c r="M159" s="38">
        <f t="shared" ref="M159:M167" si="20">I159^2</f>
        <v>4.7456790123456783E-7</v>
      </c>
      <c r="N159" s="21"/>
      <c r="Q159" s="41"/>
      <c r="R159" s="57"/>
      <c r="S159" s="78"/>
      <c r="T159" s="79"/>
      <c r="U159" s="41"/>
      <c r="V159" s="58"/>
      <c r="W159" s="58"/>
      <c r="X159" s="77"/>
      <c r="Y159" s="74"/>
      <c r="Z159" s="58"/>
    </row>
    <row r="160" spans="1:26">
      <c r="A160" s="112" t="s">
        <v>64</v>
      </c>
      <c r="C160" s="268">
        <f>B155+(B154*F160)</f>
        <v>6.6962863380241454E-4</v>
      </c>
      <c r="D160" s="340">
        <f t="shared" si="17"/>
        <v>-3.037136619758545E-5</v>
      </c>
      <c r="E160" s="6">
        <v>2</v>
      </c>
      <c r="F160" s="47">
        <v>6.82</v>
      </c>
      <c r="G160" s="62">
        <v>6.9999999999999999E-4</v>
      </c>
      <c r="H160" s="19">
        <f>F160-F170</f>
        <v>-1.3377777777777773</v>
      </c>
      <c r="I160" s="63">
        <f>G160-G170</f>
        <v>2.1111111111111113E-4</v>
      </c>
      <c r="J160" s="19">
        <f t="shared" si="18"/>
        <v>-2.8241975308641968E-4</v>
      </c>
      <c r="K160" s="20"/>
      <c r="L160" s="20">
        <f t="shared" si="19"/>
        <v>1.789649382716048</v>
      </c>
      <c r="M160" s="38">
        <f t="shared" si="20"/>
        <v>4.4567901234567912E-8</v>
      </c>
      <c r="N160" s="21"/>
      <c r="Q160" s="41"/>
      <c r="R160" s="80"/>
      <c r="S160" s="41"/>
      <c r="T160" s="41"/>
      <c r="U160" s="41"/>
      <c r="V160" s="58"/>
      <c r="W160" s="58"/>
      <c r="X160" s="77"/>
      <c r="Y160" s="74"/>
      <c r="Z160" s="58"/>
    </row>
    <row r="161" spans="1:26">
      <c r="A161" s="129" t="s">
        <v>65</v>
      </c>
      <c r="C161" s="268">
        <f>B155+(B154*F161)</f>
        <v>6.4530983091537876E-4</v>
      </c>
      <c r="D161" s="340">
        <f t="shared" si="17"/>
        <v>6.0453098309153786E-3</v>
      </c>
      <c r="E161" s="6">
        <v>3</v>
      </c>
      <c r="F161" s="47">
        <v>7</v>
      </c>
      <c r="G161" s="62">
        <v>-5.4000000000000003E-3</v>
      </c>
      <c r="H161" s="19">
        <f>F161-F170</f>
        <v>-1.1577777777777776</v>
      </c>
      <c r="I161" s="63">
        <f>G161-G170</f>
        <v>-5.8888888888888888E-3</v>
      </c>
      <c r="J161" s="19">
        <f t="shared" si="18"/>
        <v>6.8180246913580236E-3</v>
      </c>
      <c r="K161" s="20"/>
      <c r="L161" s="20">
        <f t="shared" si="19"/>
        <v>1.3404493827160489</v>
      </c>
      <c r="M161" s="38">
        <f t="shared" si="20"/>
        <v>3.4679012345679008E-5</v>
      </c>
      <c r="N161" s="21"/>
      <c r="Q161" s="41"/>
      <c r="R161" s="80"/>
      <c r="S161" s="41"/>
      <c r="T161" s="41"/>
      <c r="U161" s="41"/>
      <c r="V161" s="58"/>
      <c r="W161" s="58"/>
      <c r="X161" s="77"/>
      <c r="Y161" s="74"/>
      <c r="Z161" s="58"/>
    </row>
    <row r="162" spans="1:26">
      <c r="A162" s="112" t="s">
        <v>69</v>
      </c>
      <c r="C162" s="268">
        <f>B155+(B154*F162)</f>
        <v>2.8052778760984131E-4</v>
      </c>
      <c r="D162" s="340">
        <f t="shared" si="17"/>
        <v>6.8052778760984128E-4</v>
      </c>
      <c r="E162" s="6">
        <v>4</v>
      </c>
      <c r="F162" s="47">
        <v>9.6999999999999993</v>
      </c>
      <c r="G162" s="62">
        <v>-4.0000000000000002E-4</v>
      </c>
      <c r="H162" s="19">
        <f>F162-F170</f>
        <v>1.5422222222222217</v>
      </c>
      <c r="I162" s="63">
        <f>G162-G170</f>
        <v>-8.8888888888888893E-4</v>
      </c>
      <c r="J162" s="19">
        <f t="shared" si="18"/>
        <v>-1.3708641975308639E-3</v>
      </c>
      <c r="K162" s="20"/>
      <c r="L162" s="20">
        <f t="shared" si="19"/>
        <v>2.378449382716048</v>
      </c>
      <c r="M162" s="38">
        <f t="shared" si="20"/>
        <v>7.9012345679012358E-7</v>
      </c>
      <c r="N162" s="21"/>
      <c r="Q162" s="41"/>
      <c r="R162" s="41"/>
      <c r="S162" s="41"/>
      <c r="T162" s="41"/>
      <c r="U162" s="41"/>
      <c r="V162" s="58"/>
      <c r="W162" s="58"/>
      <c r="X162" s="77"/>
      <c r="Y162" s="74"/>
      <c r="Z162" s="58"/>
    </row>
    <row r="163" spans="1:26">
      <c r="A163" s="112" t="s">
        <v>70</v>
      </c>
      <c r="C163" s="268">
        <f>B155+(B154*F163)</f>
        <v>1.0776441044626824E-3</v>
      </c>
      <c r="D163" s="340">
        <f t="shared" si="17"/>
        <v>-6.2223558955373176E-3</v>
      </c>
      <c r="E163" s="6">
        <v>5</v>
      </c>
      <c r="F163" s="47">
        <v>3.8</v>
      </c>
      <c r="G163" s="62">
        <v>7.3000000000000001E-3</v>
      </c>
      <c r="H163" s="19">
        <f>F163-F170</f>
        <v>-4.3577777777777778</v>
      </c>
      <c r="I163" s="63">
        <f>G163-G170</f>
        <v>6.8111111111111115E-3</v>
      </c>
      <c r="J163" s="19">
        <f t="shared" si="18"/>
        <v>-2.968130864197531E-2</v>
      </c>
      <c r="K163" s="20"/>
      <c r="L163" s="20">
        <f t="shared" si="19"/>
        <v>18.990227160493827</v>
      </c>
      <c r="M163" s="38">
        <f t="shared" si="20"/>
        <v>4.6391234567901239E-5</v>
      </c>
      <c r="N163" s="21"/>
      <c r="Q163" s="41"/>
      <c r="R163" s="41"/>
      <c r="S163" s="41"/>
      <c r="T163" s="41"/>
      <c r="U163" s="41"/>
      <c r="V163" s="58"/>
      <c r="W163" s="58"/>
      <c r="X163" s="77"/>
      <c r="Y163" s="74"/>
      <c r="Z163" s="58"/>
    </row>
    <row r="164" spans="1:26">
      <c r="A164" s="112" t="s">
        <v>71</v>
      </c>
      <c r="C164" s="268">
        <f>B155+(B154*F164)</f>
        <v>-1.7882737803416896E-4</v>
      </c>
      <c r="D164" s="340">
        <f t="shared" si="17"/>
        <v>-2.9788273780341689E-3</v>
      </c>
      <c r="E164" s="6">
        <v>6</v>
      </c>
      <c r="F164" s="47">
        <v>13.1</v>
      </c>
      <c r="G164" s="62">
        <v>2.8E-3</v>
      </c>
      <c r="H164" s="19">
        <f>F164-F170</f>
        <v>4.9422222222222221</v>
      </c>
      <c r="I164" s="63">
        <f>G164-G170</f>
        <v>2.311111111111111E-3</v>
      </c>
      <c r="J164" s="19">
        <f t="shared" si="18"/>
        <v>1.1422024691358024E-2</v>
      </c>
      <c r="K164" s="20"/>
      <c r="L164" s="20">
        <f t="shared" si="19"/>
        <v>24.42556049382716</v>
      </c>
      <c r="M164" s="38">
        <f t="shared" si="20"/>
        <v>5.3412345679012341E-6</v>
      </c>
      <c r="N164" s="21"/>
      <c r="Q164" s="41"/>
      <c r="R164" s="41"/>
      <c r="S164" s="41"/>
      <c r="T164" s="41"/>
      <c r="U164" s="41"/>
      <c r="V164" s="58"/>
      <c r="W164" s="58"/>
      <c r="X164" s="77"/>
      <c r="Y164" s="74"/>
      <c r="Z164" s="58"/>
    </row>
    <row r="165" spans="1:26">
      <c r="A165" s="112" t="s">
        <v>73</v>
      </c>
      <c r="C165" s="268">
        <f>B155+(B154*F165)</f>
        <v>-3.0042139246934819E-4</v>
      </c>
      <c r="D165" s="340">
        <f t="shared" si="17"/>
        <v>8.1995786075306533E-3</v>
      </c>
      <c r="E165" s="6">
        <v>7</v>
      </c>
      <c r="F165" s="47">
        <v>14</v>
      </c>
      <c r="G165" s="62">
        <v>-8.5000000000000006E-3</v>
      </c>
      <c r="H165" s="19">
        <f>F165-F170</f>
        <v>5.8422222222222224</v>
      </c>
      <c r="I165" s="63">
        <f>G165-G170</f>
        <v>-8.98888888888889E-3</v>
      </c>
      <c r="J165" s="19">
        <f t="shared" si="18"/>
        <v>-5.2515086419753096E-2</v>
      </c>
      <c r="K165" s="20"/>
      <c r="L165" s="20">
        <f t="shared" si="19"/>
        <v>34.131560493827166</v>
      </c>
      <c r="M165" s="38">
        <f t="shared" si="20"/>
        <v>8.0800123456790146E-5</v>
      </c>
      <c r="N165" s="21"/>
      <c r="Q165" s="41"/>
      <c r="R165" s="41"/>
      <c r="S165" s="41"/>
      <c r="T165" s="41"/>
      <c r="U165" s="41"/>
      <c r="V165" s="58"/>
      <c r="W165" s="58"/>
      <c r="X165" s="77"/>
      <c r="Y165" s="74"/>
      <c r="Z165" s="58"/>
    </row>
    <row r="166" spans="1:26">
      <c r="A166" s="112" t="s">
        <v>77</v>
      </c>
      <c r="C166" s="268">
        <f>B155+(B154*F166)</f>
        <v>-1.7882737803416896E-4</v>
      </c>
      <c r="D166" s="340">
        <f t="shared" si="17"/>
        <v>-8.278827378034169E-3</v>
      </c>
      <c r="E166" s="6">
        <v>8</v>
      </c>
      <c r="F166" s="47">
        <v>13.1</v>
      </c>
      <c r="G166" s="62">
        <v>8.0999999999999996E-3</v>
      </c>
      <c r="H166" s="19">
        <f>F166-F170</f>
        <v>4.9422222222222221</v>
      </c>
      <c r="I166" s="63">
        <f>G166-G170</f>
        <v>7.611111111111111E-3</v>
      </c>
      <c r="J166" s="19">
        <f t="shared" si="18"/>
        <v>3.7615802469135803E-2</v>
      </c>
      <c r="K166" s="20"/>
      <c r="L166" s="20">
        <f t="shared" si="19"/>
        <v>24.42556049382716</v>
      </c>
      <c r="M166" s="38">
        <f t="shared" si="20"/>
        <v>5.7929012345679011E-5</v>
      </c>
      <c r="N166" s="21"/>
      <c r="Q166" s="41"/>
      <c r="R166" s="80"/>
      <c r="S166" s="41"/>
      <c r="T166" s="41"/>
      <c r="U166" s="41"/>
      <c r="V166" s="58"/>
      <c r="W166" s="58"/>
      <c r="X166" s="77"/>
      <c r="Y166" s="74"/>
      <c r="Z166" s="58"/>
    </row>
    <row r="167" spans="1:26">
      <c r="A167" s="112" t="s">
        <v>78</v>
      </c>
      <c r="C167" s="268">
        <f>B155+(B154*F167)</f>
        <v>1.1857276728495084E-3</v>
      </c>
      <c r="D167" s="340">
        <f t="shared" si="17"/>
        <v>1.1857276728495084E-3</v>
      </c>
      <c r="E167" s="6">
        <v>9</v>
      </c>
      <c r="F167" s="47">
        <v>3</v>
      </c>
      <c r="G167" s="62">
        <v>0</v>
      </c>
      <c r="H167" s="19">
        <f>F167-F170</f>
        <v>-5.1577777777777776</v>
      </c>
      <c r="I167" s="63">
        <f>G167-G170</f>
        <v>-4.8888888888888886E-4</v>
      </c>
      <c r="J167" s="19">
        <f t="shared" si="18"/>
        <v>2.5215802469135801E-3</v>
      </c>
      <c r="K167" s="20"/>
      <c r="L167" s="20">
        <f t="shared" si="19"/>
        <v>26.602671604938269</v>
      </c>
      <c r="M167" s="38">
        <f t="shared" si="20"/>
        <v>2.3901234567901232E-7</v>
      </c>
      <c r="N167" s="21"/>
      <c r="Q167" s="41"/>
      <c r="R167" s="81"/>
      <c r="S167" s="41"/>
      <c r="T167" s="82"/>
      <c r="U167" s="41"/>
      <c r="V167" s="58"/>
      <c r="W167" s="58"/>
      <c r="X167" s="77"/>
      <c r="Y167" s="74"/>
      <c r="Z167" s="58"/>
    </row>
    <row r="168" spans="1:26" ht="12.75">
      <c r="C168" s="340"/>
      <c r="D168" s="340"/>
      <c r="E168" s="6"/>
      <c r="F168" s="6"/>
      <c r="G168" s="6"/>
      <c r="H168" s="65"/>
      <c r="J168" s="60"/>
      <c r="K168" s="6"/>
      <c r="L168" s="6"/>
      <c r="M168" s="18"/>
      <c r="N168" s="6"/>
      <c r="Q168" s="41"/>
      <c r="R168" s="83"/>
      <c r="S168" s="41"/>
      <c r="T168" s="41"/>
      <c r="U168" s="41"/>
      <c r="V168" s="58"/>
      <c r="W168" s="58"/>
      <c r="X168" s="77"/>
      <c r="Y168" s="74"/>
      <c r="Z168" s="58"/>
    </row>
    <row r="169" spans="1:26" ht="13.5" thickBot="1">
      <c r="C169" s="340"/>
      <c r="D169" s="340"/>
      <c r="M169" s="18"/>
      <c r="N169" s="6"/>
      <c r="Q169" s="41"/>
      <c r="R169" s="41"/>
      <c r="S169" s="41"/>
      <c r="T169" s="41"/>
      <c r="U169" s="41"/>
      <c r="V169" s="58"/>
      <c r="W169" s="58"/>
      <c r="X169" s="77"/>
      <c r="Y169" s="74"/>
      <c r="Z169" s="58"/>
    </row>
    <row r="170" spans="1:26" ht="13.5" thickBot="1">
      <c r="B170" s="2" t="s">
        <v>0</v>
      </c>
      <c r="C170" s="341">
        <f>AVERAGE(C159:C167)</f>
        <v>4.8888888888888897E-4</v>
      </c>
      <c r="D170" s="341">
        <f>AVERAGE(D159:D167)</f>
        <v>2.4093381610788988E-19</v>
      </c>
      <c r="F170" s="18">
        <f>AVERAGE(F159:F167)</f>
        <v>8.1577777777777776</v>
      </c>
      <c r="G170" s="64">
        <f>AVERAGE(G159:G167)</f>
        <v>4.8888888888888886E-4</v>
      </c>
      <c r="H170" s="19">
        <f>AVERAGE(H159:H167)</f>
        <v>0</v>
      </c>
      <c r="I170" s="19">
        <f>AVERAGE(I159:I167)</f>
        <v>0</v>
      </c>
      <c r="J170" s="59">
        <f>SUM(J159:J168)</f>
        <v>-2.185022222222224E-2</v>
      </c>
      <c r="K170" s="27" t="s">
        <v>16</v>
      </c>
      <c r="L170" s="28">
        <f>SUM(L159:L169)</f>
        <v>161.72835555555557</v>
      </c>
      <c r="M170" s="28">
        <f>SUM(M159:M169)</f>
        <v>2.2668888888888891E-4</v>
      </c>
      <c r="N170" s="28">
        <f>M170*L170</f>
        <v>3.6662021222716057E-2</v>
      </c>
      <c r="Q170" s="41"/>
      <c r="R170" s="41"/>
      <c r="S170" s="41"/>
      <c r="T170" s="82"/>
      <c r="U170" s="84"/>
      <c r="V170" s="85"/>
      <c r="W170" s="86"/>
      <c r="X170" s="77"/>
      <c r="Y170" s="74"/>
      <c r="Z170" s="87"/>
    </row>
    <row r="171" spans="1:26" ht="15" thickBot="1">
      <c r="B171" s="15" t="s">
        <v>17</v>
      </c>
      <c r="C171" s="29">
        <f>STDEVA(C159:C167)</f>
        <v>6.0746013087060145E-4</v>
      </c>
      <c r="D171" s="29">
        <f>STDEVA(D159:D167)</f>
        <v>5.2883932626567954E-3</v>
      </c>
      <c r="E171" s="15"/>
      <c r="F171" s="30">
        <f>STDEVA(F159:F167)</f>
        <v>4.4962255775755349</v>
      </c>
      <c r="G171" s="29">
        <f>STDEVA(G159:G167)</f>
        <v>5.3231673946167717E-3</v>
      </c>
      <c r="H171" s="30">
        <f>STDEVA(H159:H169)</f>
        <v>4.496225577575534</v>
      </c>
      <c r="I171" s="30">
        <f>STDEVA(I159:I169)</f>
        <v>5.3231673946167717E-3</v>
      </c>
      <c r="J171" s="31" t="s">
        <v>16</v>
      </c>
      <c r="K171" s="32"/>
      <c r="L171" s="33"/>
      <c r="M171" s="33"/>
      <c r="N171" s="34"/>
      <c r="Q171" s="41"/>
      <c r="R171" s="41"/>
      <c r="S171" s="41"/>
      <c r="T171" s="41"/>
      <c r="U171" s="84"/>
      <c r="V171" s="85"/>
      <c r="W171" s="85"/>
      <c r="X171" s="88"/>
      <c r="Y171" s="89"/>
      <c r="Z171" s="41"/>
    </row>
    <row r="172" spans="1:26" ht="15.75">
      <c r="B172" s="15" t="s">
        <v>18</v>
      </c>
      <c r="C172" s="35">
        <f>C171^2</f>
        <v>3.6900781059732826E-7</v>
      </c>
      <c r="D172" s="35">
        <f>D171^2</f>
        <v>2.7967103300513785E-5</v>
      </c>
      <c r="E172" s="15"/>
      <c r="F172" s="30">
        <f>F171^2</f>
        <v>20.216044444444453</v>
      </c>
      <c r="G172" s="35">
        <f>G171^2</f>
        <v>2.833611111111111E-5</v>
      </c>
      <c r="H172" s="30">
        <f>H171^2</f>
        <v>20.216044444444446</v>
      </c>
      <c r="I172" s="30">
        <f>I171^2</f>
        <v>2.833611111111111E-5</v>
      </c>
      <c r="J172" s="33"/>
      <c r="K172" s="27"/>
      <c r="L172" s="33"/>
      <c r="M172" s="33"/>
      <c r="N172" s="34"/>
      <c r="Q172" s="41"/>
      <c r="R172" s="41"/>
      <c r="S172" s="41"/>
      <c r="T172" s="41"/>
      <c r="U172" s="84"/>
      <c r="V172" s="85"/>
      <c r="W172" s="85"/>
      <c r="X172" s="41"/>
      <c r="Y172" s="41"/>
      <c r="Z172" s="41"/>
    </row>
    <row r="173" spans="1:26">
      <c r="B173" s="2" t="s">
        <v>19</v>
      </c>
      <c r="C173" s="30">
        <f>COUNT(C159:C167)</f>
        <v>9</v>
      </c>
      <c r="D173" s="30">
        <f>COUNT(D159:D167)</f>
        <v>9</v>
      </c>
      <c r="F173" s="30">
        <f>COUNT(F159:F167)</f>
        <v>9</v>
      </c>
      <c r="G173" s="30">
        <f>COUNT(G159:G167)</f>
        <v>9</v>
      </c>
      <c r="I173" s="27"/>
      <c r="J173" s="33"/>
      <c r="K173" s="27"/>
      <c r="L173" s="33"/>
      <c r="M173" s="33"/>
      <c r="N173" s="34"/>
      <c r="P173" s="271" t="s">
        <v>53</v>
      </c>
      <c r="Q173" s="272"/>
      <c r="R173" s="272"/>
      <c r="S173" s="272"/>
      <c r="T173" s="272"/>
      <c r="U173" s="272"/>
      <c r="V173" s="272"/>
      <c r="W173" s="272"/>
      <c r="X173" s="273"/>
      <c r="Y173" s="41"/>
      <c r="Z173" s="41"/>
    </row>
    <row r="174" spans="1:26" ht="14.25" customHeight="1">
      <c r="B174" s="36" t="s">
        <v>20</v>
      </c>
      <c r="C174" s="37">
        <f>C170/C171</f>
        <v>0.8048081907667286</v>
      </c>
      <c r="D174" s="37">
        <f>D170/D171</f>
        <v>4.5558982500263035E-17</v>
      </c>
      <c r="E174" s="36"/>
      <c r="F174" s="37">
        <f>F170/F171</f>
        <v>1.8143613208518405</v>
      </c>
      <c r="G174" s="37">
        <f>G170/G171</f>
        <v>9.1841727424032141E-2</v>
      </c>
      <c r="I174" s="27"/>
      <c r="J174" s="36"/>
      <c r="P174" s="274"/>
      <c r="Q174" s="275"/>
      <c r="R174" s="275"/>
      <c r="S174" s="275"/>
      <c r="T174" s="275"/>
      <c r="U174" s="275"/>
      <c r="V174" s="275"/>
      <c r="W174" s="275"/>
      <c r="X174" s="276"/>
      <c r="Y174" s="41"/>
      <c r="Z174" s="41"/>
    </row>
    <row r="175" spans="1:26" ht="14.25" customHeight="1">
      <c r="B175" s="36"/>
      <c r="C175" s="37"/>
      <c r="D175" s="36"/>
      <c r="E175" s="36"/>
      <c r="F175" s="37"/>
      <c r="G175" s="37"/>
      <c r="I175" s="27"/>
      <c r="J175" s="36"/>
      <c r="P175" s="274"/>
      <c r="Q175" s="275"/>
      <c r="R175" s="275"/>
      <c r="S175" s="275"/>
      <c r="T175" s="275"/>
      <c r="U175" s="275"/>
      <c r="V175" s="275"/>
      <c r="W175" s="275"/>
      <c r="X175" s="276"/>
      <c r="Y175" s="41"/>
      <c r="Z175" s="41"/>
    </row>
    <row r="176" spans="1:26">
      <c r="B176" s="36"/>
      <c r="C176" s="37"/>
      <c r="D176" s="36"/>
      <c r="E176" s="36"/>
      <c r="F176" s="37"/>
      <c r="G176" s="48" t="s">
        <v>21</v>
      </c>
      <c r="I176" s="49" t="s">
        <v>22</v>
      </c>
      <c r="J176" s="36"/>
      <c r="P176" s="277"/>
      <c r="Q176" s="278"/>
      <c r="R176" s="278"/>
      <c r="S176" s="278"/>
      <c r="T176" s="278"/>
      <c r="U176" s="278"/>
      <c r="V176" s="278"/>
      <c r="W176" s="278"/>
      <c r="X176" s="279"/>
    </row>
    <row r="177" spans="1:26" ht="15.75">
      <c r="A177" s="2" t="s">
        <v>23</v>
      </c>
      <c r="C177" s="37"/>
      <c r="D177" s="36"/>
      <c r="E177" s="36"/>
      <c r="G177" s="39">
        <f>B156*(SQRT((C173-2)/(1-B157)))</f>
        <v>-0.30390864632161241</v>
      </c>
      <c r="H177" s="40"/>
      <c r="I177" s="42">
        <f>TDIST(ABS(G177),8,2)</f>
        <v>0.76895183906898579</v>
      </c>
      <c r="J177" s="50" t="s">
        <v>57</v>
      </c>
      <c r="N177" s="2"/>
      <c r="O177" s="41"/>
      <c r="P177" s="43"/>
    </row>
    <row r="178" spans="1:26" ht="15.75">
      <c r="A178" s="2" t="s">
        <v>24</v>
      </c>
      <c r="C178" s="37"/>
      <c r="D178" s="36"/>
      <c r="E178" s="36"/>
      <c r="G178" s="39">
        <f>B154/((G171/F171)*SQRT((1-B156^2)/(G173-2)))</f>
        <v>-0.30390864632161241</v>
      </c>
      <c r="H178" s="36"/>
      <c r="I178" s="42">
        <f>TDIST(ABS(G178),8,2)</f>
        <v>0.76895183906898579</v>
      </c>
      <c r="J178" s="36"/>
      <c r="K178" s="36"/>
      <c r="N178" s="2"/>
      <c r="O178" s="36"/>
      <c r="P178" s="43"/>
    </row>
    <row r="179" spans="1:26" ht="12.75">
      <c r="C179" s="37"/>
      <c r="D179" s="36"/>
      <c r="E179" s="36"/>
      <c r="J179" s="36"/>
      <c r="K179" s="36"/>
      <c r="N179" s="2"/>
      <c r="O179" s="36"/>
      <c r="P179" s="43"/>
    </row>
    <row r="180" spans="1:26" ht="15.75">
      <c r="A180" s="2" t="s">
        <v>25</v>
      </c>
      <c r="B180" s="37"/>
      <c r="D180" s="38"/>
      <c r="E180" s="56">
        <f>Q180*((G171/F171)*SQRT((1-B156^2)/(G173-2)))</f>
        <v>1.0512082746722453E-3</v>
      </c>
      <c r="F180" s="51" t="s">
        <v>26</v>
      </c>
      <c r="G180" s="66">
        <f>B154-E180</f>
        <v>-1.1863127351557777E-3</v>
      </c>
      <c r="H180" s="51" t="s">
        <v>27</v>
      </c>
      <c r="I180" s="67">
        <f>B154+E180</f>
        <v>9.161038141887129E-4</v>
      </c>
      <c r="K180" s="51" t="s">
        <v>28</v>
      </c>
      <c r="L180" s="52">
        <v>0.95</v>
      </c>
      <c r="M180" s="51" t="s">
        <v>29</v>
      </c>
      <c r="N180" s="53">
        <f>C173-2</f>
        <v>7</v>
      </c>
      <c r="P180" s="54" t="s">
        <v>30</v>
      </c>
      <c r="Q180" s="55">
        <f>TINV((1-L180),N180)</f>
        <v>2.3646242515927849</v>
      </c>
    </row>
    <row r="181" spans="1:26" ht="12.75">
      <c r="B181" s="37"/>
      <c r="E181" s="38"/>
      <c r="G181" s="36"/>
      <c r="J181" s="36"/>
      <c r="K181" s="36"/>
      <c r="L181" s="36"/>
      <c r="M181" s="36"/>
      <c r="N181" s="36"/>
      <c r="O181" s="36"/>
      <c r="P181" s="43"/>
    </row>
    <row r="182" spans="1:26" ht="12.75">
      <c r="B182" s="37"/>
      <c r="E182" s="38"/>
      <c r="G182" s="36"/>
      <c r="J182" s="36"/>
      <c r="K182" s="36"/>
      <c r="L182" s="36"/>
      <c r="M182" s="36"/>
      <c r="N182" s="36"/>
      <c r="O182" s="36"/>
      <c r="P182" s="43"/>
    </row>
    <row r="183" spans="1:26" ht="12.75">
      <c r="B183" s="37"/>
      <c r="E183" s="38"/>
      <c r="G183" s="36"/>
      <c r="J183" s="36"/>
      <c r="K183" s="36"/>
      <c r="L183" s="36"/>
      <c r="M183" s="36"/>
      <c r="N183" s="36"/>
      <c r="O183" s="36"/>
      <c r="P183" s="43"/>
    </row>
    <row r="184" spans="1:26" ht="12.75">
      <c r="N184" s="2"/>
    </row>
    <row r="185" spans="1:26">
      <c r="A185" s="16" t="s">
        <v>13</v>
      </c>
      <c r="B185" s="17">
        <f>J198/L198</f>
        <v>3.4211426616489702E-5</v>
      </c>
      <c r="D185" s="94"/>
      <c r="E185" s="95"/>
      <c r="F185" s="93" t="str">
        <f>F190</f>
        <v>X = Dif PAS [Int vs Conv]</v>
      </c>
      <c r="G185" s="95"/>
      <c r="H185" s="15"/>
      <c r="I185" s="96" t="str">
        <f>G190</f>
        <v>Y = RAR en EnfRenTerm</v>
      </c>
      <c r="M185" s="4"/>
    </row>
    <row r="186" spans="1:26">
      <c r="A186" s="22" t="s">
        <v>14</v>
      </c>
      <c r="B186" s="23">
        <f>B188*G199/F199</f>
        <v>3.4211426616489722E-5</v>
      </c>
      <c r="D186" s="97" t="s">
        <v>37</v>
      </c>
      <c r="E186" s="128">
        <v>-1</v>
      </c>
      <c r="F186" s="93" t="s">
        <v>33</v>
      </c>
      <c r="G186" s="15" t="s">
        <v>36</v>
      </c>
      <c r="H186" s="15"/>
      <c r="I186" s="96" t="s">
        <v>166</v>
      </c>
      <c r="J186" s="126">
        <f>E186*B186</f>
        <v>-3.4211426616489722E-5</v>
      </c>
      <c r="K186" s="6" t="s">
        <v>35</v>
      </c>
      <c r="L186" s="126">
        <f>E186*G208</f>
        <v>3.2424460438921401E-2</v>
      </c>
      <c r="M186" s="6" t="s">
        <v>34</v>
      </c>
      <c r="N186" s="126">
        <f>E186*I208</f>
        <v>-3.2492883292154384E-2</v>
      </c>
    </row>
    <row r="187" spans="1:26">
      <c r="A187" s="16" t="s">
        <v>15</v>
      </c>
      <c r="B187" s="17">
        <f>G198-(F198*B185)</f>
        <v>-1.0907902839548405E-2</v>
      </c>
      <c r="M187" s="4"/>
    </row>
    <row r="188" spans="1:26">
      <c r="A188" s="25" t="s">
        <v>31</v>
      </c>
      <c r="B188" s="24">
        <f>J198/SQRT(N198)</f>
        <v>1.9366006900878121E-3</v>
      </c>
      <c r="M188" s="4"/>
    </row>
    <row r="189" spans="1:26" ht="26.25" customHeight="1" thickBot="1">
      <c r="A189" s="108" t="s">
        <v>32</v>
      </c>
      <c r="B189" s="124">
        <f>B188^2</f>
        <v>3.7504222328485901E-6</v>
      </c>
      <c r="C189" s="125">
        <f>1-B189</f>
        <v>0.99999624957776712</v>
      </c>
      <c r="F189" s="7"/>
      <c r="G189" s="8"/>
      <c r="H189" s="269" t="s">
        <v>1</v>
      </c>
      <c r="I189" s="270"/>
      <c r="J189" s="9" t="s">
        <v>2</v>
      </c>
      <c r="K189" s="10"/>
      <c r="L189" s="9" t="s">
        <v>3</v>
      </c>
      <c r="M189" s="9" t="s">
        <v>4</v>
      </c>
      <c r="N189" s="9" t="s">
        <v>5</v>
      </c>
      <c r="Q189" s="41"/>
      <c r="R189" s="41"/>
      <c r="S189" s="41"/>
      <c r="T189" s="41"/>
      <c r="U189" s="43"/>
      <c r="V189" s="68"/>
      <c r="W189" s="68"/>
      <c r="X189" s="41"/>
      <c r="Y189" s="41"/>
      <c r="Z189" s="69"/>
    </row>
    <row r="190" spans="1:26" ht="37.5" customHeight="1" thickBot="1">
      <c r="A190" s="113" t="s">
        <v>46</v>
      </c>
      <c r="C190" s="11" t="s">
        <v>174</v>
      </c>
      <c r="D190" s="12" t="s">
        <v>6</v>
      </c>
      <c r="E190" s="12" t="s">
        <v>39</v>
      </c>
      <c r="F190" s="44" t="s">
        <v>172</v>
      </c>
      <c r="G190" s="45" t="s">
        <v>180</v>
      </c>
      <c r="H190" s="13" t="s">
        <v>7</v>
      </c>
      <c r="I190" s="14" t="s">
        <v>8</v>
      </c>
      <c r="J190" s="14" t="s">
        <v>9</v>
      </c>
      <c r="L190" s="14" t="s">
        <v>10</v>
      </c>
      <c r="M190" s="14" t="s">
        <v>11</v>
      </c>
      <c r="N190" s="14" t="s">
        <v>12</v>
      </c>
      <c r="Q190" s="41"/>
      <c r="R190" s="41"/>
      <c r="S190" s="70"/>
      <c r="T190" s="71"/>
      <c r="U190" s="41"/>
      <c r="V190" s="72"/>
      <c r="W190" s="72"/>
      <c r="X190" s="73"/>
      <c r="Y190" s="74"/>
      <c r="Z190" s="72"/>
    </row>
    <row r="191" spans="1:26">
      <c r="A191" s="112" t="s">
        <v>61</v>
      </c>
      <c r="C191" s="268">
        <f>B187+(B186*F191)</f>
        <v>-1.0668422853232978E-2</v>
      </c>
      <c r="D191" s="340">
        <f>C191-G191</f>
        <v>9.8831577146767019E-2</v>
      </c>
      <c r="E191" s="6">
        <v>1</v>
      </c>
      <c r="F191" s="46">
        <v>7</v>
      </c>
      <c r="G191" s="61">
        <v>-0.1095</v>
      </c>
      <c r="H191" s="19">
        <f>F191-F198</f>
        <v>-2</v>
      </c>
      <c r="I191" s="63">
        <f>G191-G198</f>
        <v>-9.8900000000000002E-2</v>
      </c>
      <c r="J191" s="19">
        <f>H191*I191</f>
        <v>0.1978</v>
      </c>
      <c r="K191" s="20"/>
      <c r="L191" s="20">
        <f>H191^2</f>
        <v>4</v>
      </c>
      <c r="M191" s="38">
        <f t="shared" ref="M191:M195" si="21">I191^2</f>
        <v>9.7812100000000003E-3</v>
      </c>
      <c r="N191" s="21"/>
      <c r="Q191" s="75"/>
      <c r="R191" s="76"/>
      <c r="S191" s="41"/>
      <c r="T191" s="41"/>
      <c r="U191" s="41"/>
      <c r="V191" s="58"/>
      <c r="W191" s="58"/>
      <c r="X191" s="77"/>
      <c r="Y191" s="74"/>
      <c r="Z191" s="58"/>
    </row>
    <row r="192" spans="1:26">
      <c r="A192" s="112" t="s">
        <v>66</v>
      </c>
      <c r="C192" s="268">
        <f>B187+(B186*F192)</f>
        <v>-1.0675265138556276E-2</v>
      </c>
      <c r="D192" s="340">
        <f t="shared" ref="D192:D195" si="22">C192-G192</f>
        <v>-9.1275265138556286E-2</v>
      </c>
      <c r="E192" s="6">
        <v>2</v>
      </c>
      <c r="F192" s="47">
        <v>6.8</v>
      </c>
      <c r="G192" s="62">
        <v>8.0600000000000005E-2</v>
      </c>
      <c r="H192" s="19">
        <f>F192-F198</f>
        <v>-2.2000000000000002</v>
      </c>
      <c r="I192" s="63">
        <f>G192-G198</f>
        <v>9.1200000000000003E-2</v>
      </c>
      <c r="J192" s="19">
        <f t="shared" ref="J192:J195" si="23">H192*I192</f>
        <v>-0.20064000000000001</v>
      </c>
      <c r="K192" s="20"/>
      <c r="L192" s="20">
        <f t="shared" ref="L192:L195" si="24">H192^2</f>
        <v>4.8400000000000007</v>
      </c>
      <c r="M192" s="38">
        <f t="shared" si="21"/>
        <v>8.3174400000000006E-3</v>
      </c>
      <c r="N192" s="21"/>
      <c r="Q192" s="41"/>
      <c r="R192" s="80"/>
      <c r="S192" s="41"/>
      <c r="T192" s="41"/>
      <c r="U192" s="41"/>
      <c r="V192" s="58"/>
      <c r="W192" s="58"/>
      <c r="X192" s="77"/>
      <c r="Y192" s="74"/>
      <c r="Z192" s="58"/>
    </row>
    <row r="193" spans="1:26">
      <c r="A193" s="112" t="s">
        <v>67</v>
      </c>
      <c r="C193" s="268">
        <f>B187+(B186*F193)</f>
        <v>-1.0736845706465957E-2</v>
      </c>
      <c r="D193" s="340">
        <f t="shared" si="22"/>
        <v>-3.4368457064659569E-3</v>
      </c>
      <c r="E193" s="6">
        <v>3</v>
      </c>
      <c r="F193" s="47">
        <v>5</v>
      </c>
      <c r="G193" s="62">
        <v>-7.3000000000000001E-3</v>
      </c>
      <c r="H193" s="19">
        <f>F193-F198</f>
        <v>-4</v>
      </c>
      <c r="I193" s="63">
        <f>G193-G198</f>
        <v>3.2999999999999982E-3</v>
      </c>
      <c r="J193" s="19">
        <f t="shared" si="23"/>
        <v>-1.3199999999999993E-2</v>
      </c>
      <c r="K193" s="20"/>
      <c r="L193" s="20">
        <f t="shared" si="24"/>
        <v>16</v>
      </c>
      <c r="M193" s="38">
        <f t="shared" si="21"/>
        <v>1.0889999999999989E-5</v>
      </c>
      <c r="N193" s="21"/>
      <c r="Q193" s="41"/>
      <c r="R193" s="41"/>
      <c r="S193" s="41"/>
      <c r="T193" s="41"/>
      <c r="U193" s="41"/>
      <c r="V193" s="58"/>
      <c r="W193" s="58"/>
      <c r="X193" s="77"/>
      <c r="Y193" s="74"/>
      <c r="Z193" s="58"/>
    </row>
    <row r="194" spans="1:26">
      <c r="A194" s="112" t="s">
        <v>71</v>
      </c>
      <c r="C194" s="268">
        <f>B187+(B186*F194)</f>
        <v>-1.045973315087239E-2</v>
      </c>
      <c r="D194" s="340">
        <f t="shared" si="22"/>
        <v>-9.9597331508723894E-3</v>
      </c>
      <c r="E194" s="6">
        <v>4</v>
      </c>
      <c r="F194" s="47">
        <v>13.1</v>
      </c>
      <c r="G194" s="62">
        <v>-5.0000000000000001E-4</v>
      </c>
      <c r="H194" s="19">
        <f>F194-F198</f>
        <v>4.0999999999999996</v>
      </c>
      <c r="I194" s="63">
        <f>G194-G198</f>
        <v>1.0099999999999998E-2</v>
      </c>
      <c r="J194" s="19">
        <f t="shared" si="23"/>
        <v>4.1409999999999988E-2</v>
      </c>
      <c r="K194" s="20"/>
      <c r="L194" s="20">
        <f t="shared" si="24"/>
        <v>16.809999999999999</v>
      </c>
      <c r="M194" s="38">
        <f t="shared" si="21"/>
        <v>1.0200999999999995E-4</v>
      </c>
      <c r="N194" s="21"/>
      <c r="Q194" s="41"/>
      <c r="R194" s="41"/>
      <c r="S194" s="41"/>
      <c r="T194" s="41"/>
      <c r="U194" s="41"/>
      <c r="V194" s="58"/>
      <c r="W194" s="58"/>
      <c r="X194" s="77"/>
      <c r="Y194" s="74"/>
      <c r="Z194" s="58"/>
    </row>
    <row r="195" spans="1:26">
      <c r="A195" s="112" t="s">
        <v>77</v>
      </c>
      <c r="C195" s="268">
        <f>B187+(B186*F195)</f>
        <v>-1.045973315087239E-2</v>
      </c>
      <c r="D195" s="340">
        <f t="shared" si="22"/>
        <v>5.8402668491276087E-3</v>
      </c>
      <c r="E195" s="6">
        <v>5</v>
      </c>
      <c r="F195" s="47">
        <v>13.1</v>
      </c>
      <c r="G195" s="62">
        <v>-1.6299999999999999E-2</v>
      </c>
      <c r="H195" s="19">
        <f>F195-F198</f>
        <v>4.0999999999999996</v>
      </c>
      <c r="I195" s="63">
        <f>G195-G198</f>
        <v>-5.7000000000000002E-3</v>
      </c>
      <c r="J195" s="19">
        <f t="shared" si="23"/>
        <v>-2.3369999999999998E-2</v>
      </c>
      <c r="K195" s="20"/>
      <c r="L195" s="20">
        <f t="shared" si="24"/>
        <v>16.809999999999999</v>
      </c>
      <c r="M195" s="38">
        <f t="shared" si="21"/>
        <v>3.2490000000000002E-5</v>
      </c>
      <c r="N195" s="21"/>
      <c r="Q195" s="41"/>
      <c r="R195" s="80"/>
      <c r="S195" s="41"/>
      <c r="T195" s="41"/>
      <c r="U195" s="41"/>
      <c r="V195" s="58"/>
      <c r="W195" s="58"/>
      <c r="X195" s="77"/>
      <c r="Y195" s="74"/>
      <c r="Z195" s="58"/>
    </row>
    <row r="196" spans="1:26" ht="12.75">
      <c r="C196" s="340"/>
      <c r="D196" s="340"/>
      <c r="E196" s="6"/>
      <c r="F196" s="6"/>
      <c r="G196" s="6"/>
      <c r="H196" s="65"/>
      <c r="J196" s="60"/>
      <c r="K196" s="6"/>
      <c r="L196" s="6"/>
      <c r="M196" s="18"/>
      <c r="N196" s="6"/>
      <c r="Q196" s="41"/>
      <c r="R196" s="83"/>
      <c r="S196" s="41"/>
      <c r="T196" s="41"/>
      <c r="U196" s="41"/>
      <c r="V196" s="58"/>
      <c r="W196" s="58"/>
      <c r="X196" s="77"/>
      <c r="Y196" s="74"/>
      <c r="Z196" s="58"/>
    </row>
    <row r="197" spans="1:26" ht="13.5" thickBot="1">
      <c r="C197" s="340"/>
      <c r="D197" s="340"/>
      <c r="M197" s="18"/>
      <c r="N197" s="6"/>
      <c r="Q197" s="41"/>
      <c r="R197" s="41"/>
      <c r="S197" s="41"/>
      <c r="T197" s="41"/>
      <c r="U197" s="41"/>
      <c r="V197" s="58"/>
      <c r="W197" s="58"/>
      <c r="X197" s="77"/>
      <c r="Y197" s="74"/>
      <c r="Z197" s="58"/>
    </row>
    <row r="198" spans="1:26" ht="13.5" thickBot="1">
      <c r="B198" s="2" t="s">
        <v>0</v>
      </c>
      <c r="C198" s="341">
        <f>AVERAGE(C191:C195)</f>
        <v>-1.0599999999999998E-2</v>
      </c>
      <c r="D198" s="341">
        <f>AVERAGE(D191:D195)</f>
        <v>0</v>
      </c>
      <c r="F198" s="18">
        <f>AVERAGE(F191:F195)</f>
        <v>9</v>
      </c>
      <c r="G198" s="64">
        <f>AVERAGE(G191:G195)</f>
        <v>-1.0599999999999998E-2</v>
      </c>
      <c r="H198" s="19">
        <f>AVERAGE(H191:H195)</f>
        <v>0</v>
      </c>
      <c r="I198" s="19">
        <f>AVERAGE(I191:I195)</f>
        <v>0</v>
      </c>
      <c r="J198" s="59">
        <f>SUM(J191:J196)</f>
        <v>1.9999999999999879E-3</v>
      </c>
      <c r="K198" s="27" t="s">
        <v>16</v>
      </c>
      <c r="L198" s="28">
        <f>SUM(L191:L197)</f>
        <v>58.459999999999994</v>
      </c>
      <c r="M198" s="28">
        <f>SUM(M191:M197)</f>
        <v>1.824404E-2</v>
      </c>
      <c r="N198" s="28">
        <f>M198*L198</f>
        <v>1.0665465783999999</v>
      </c>
      <c r="Q198" s="41"/>
      <c r="R198" s="41"/>
      <c r="S198" s="41"/>
      <c r="T198" s="82"/>
      <c r="U198" s="84"/>
      <c r="V198" s="85"/>
      <c r="W198" s="86"/>
      <c r="X198" s="77"/>
      <c r="Y198" s="74"/>
      <c r="Z198" s="87"/>
    </row>
    <row r="199" spans="1:26" ht="15" thickBot="1">
      <c r="B199" s="15" t="s">
        <v>17</v>
      </c>
      <c r="C199" s="29">
        <f>STDEVA(C191:C195)</f>
        <v>1.3078881186188993E-4</v>
      </c>
      <c r="D199" s="29">
        <f>STDEVA(D191:D195)</f>
        <v>6.7535123412093445E-2</v>
      </c>
      <c r="E199" s="15"/>
      <c r="F199" s="30">
        <f>STDEVA(F191:F195)</f>
        <v>3.8229569707230526</v>
      </c>
      <c r="G199" s="29">
        <f>STDEVA(G191:G195)</f>
        <v>6.7535250055063833E-2</v>
      </c>
      <c r="H199" s="30">
        <f>STDEVA(H191:H197)</f>
        <v>3.8229569707230553</v>
      </c>
      <c r="I199" s="30">
        <f>STDEVA(I191:I197)</f>
        <v>6.7535250055063833E-2</v>
      </c>
      <c r="J199" s="31" t="s">
        <v>16</v>
      </c>
      <c r="K199" s="32"/>
      <c r="L199" s="33"/>
      <c r="M199" s="33"/>
      <c r="N199" s="34"/>
      <c r="Q199" s="41"/>
      <c r="R199" s="41"/>
      <c r="S199" s="41"/>
      <c r="T199" s="41"/>
      <c r="U199" s="84"/>
      <c r="V199" s="85"/>
      <c r="W199" s="85"/>
      <c r="X199" s="88"/>
      <c r="Y199" s="89"/>
      <c r="Z199" s="41"/>
    </row>
    <row r="200" spans="1:26" ht="15.75">
      <c r="B200" s="15" t="s">
        <v>18</v>
      </c>
      <c r="C200" s="35">
        <f>C199^2</f>
        <v>1.7105713308244837E-8</v>
      </c>
      <c r="D200" s="35">
        <f>D199^2</f>
        <v>4.5609928942866923E-3</v>
      </c>
      <c r="E200" s="15"/>
      <c r="F200" s="30">
        <f>F199^2</f>
        <v>14.614999999999979</v>
      </c>
      <c r="G200" s="35">
        <f>G199^2</f>
        <v>4.5610099999999999E-3</v>
      </c>
      <c r="H200" s="30">
        <f>H199^2</f>
        <v>14.615</v>
      </c>
      <c r="I200" s="30">
        <f>I199^2</f>
        <v>4.5610099999999999E-3</v>
      </c>
      <c r="J200" s="33"/>
      <c r="K200" s="27"/>
      <c r="L200" s="33"/>
      <c r="M200" s="33"/>
      <c r="N200" s="34"/>
      <c r="Q200" s="41"/>
      <c r="R200" s="41"/>
      <c r="S200" s="41"/>
      <c r="T200" s="41"/>
      <c r="U200" s="84"/>
      <c r="V200" s="85"/>
      <c r="W200" s="85"/>
      <c r="X200" s="41"/>
      <c r="Y200" s="41"/>
      <c r="Z200" s="41"/>
    </row>
    <row r="201" spans="1:26">
      <c r="B201" s="2" t="s">
        <v>19</v>
      </c>
      <c r="C201" s="30">
        <f>COUNT(C191:C195)</f>
        <v>5</v>
      </c>
      <c r="D201" s="30">
        <f>COUNT(D191:D195)</f>
        <v>5</v>
      </c>
      <c r="F201" s="30">
        <f>COUNT(F191:F195)</f>
        <v>5</v>
      </c>
      <c r="G201" s="30">
        <f>COUNT(G191:G195)</f>
        <v>5</v>
      </c>
      <c r="I201" s="27"/>
      <c r="J201" s="33"/>
      <c r="K201" s="27"/>
      <c r="L201" s="33"/>
      <c r="M201" s="33"/>
      <c r="N201" s="34"/>
      <c r="Q201" s="41"/>
      <c r="R201" s="41"/>
      <c r="S201" s="41"/>
      <c r="T201" s="41"/>
      <c r="U201" s="41"/>
      <c r="V201" s="41"/>
      <c r="W201" s="41"/>
      <c r="X201" s="41"/>
      <c r="Y201" s="41"/>
      <c r="Z201" s="41"/>
    </row>
    <row r="202" spans="1:26">
      <c r="B202" s="36" t="s">
        <v>20</v>
      </c>
      <c r="C202" s="37">
        <f>C198/C199</f>
        <v>-81.046687779329034</v>
      </c>
      <c r="D202" s="37">
        <f>D198/D199</f>
        <v>0</v>
      </c>
      <c r="E202" s="36"/>
      <c r="F202" s="37">
        <f>F198/F199</f>
        <v>2.3541986135140283</v>
      </c>
      <c r="G202" s="37">
        <f>G198/G199</f>
        <v>-0.15695507148278048</v>
      </c>
      <c r="I202" s="27"/>
      <c r="J202" s="36"/>
      <c r="Q202" s="41"/>
      <c r="R202" s="41"/>
      <c r="S202" s="41"/>
      <c r="T202" s="41"/>
      <c r="U202" s="41"/>
      <c r="V202" s="41"/>
      <c r="W202" s="41"/>
      <c r="X202" s="41"/>
      <c r="Y202" s="41"/>
      <c r="Z202" s="41"/>
    </row>
    <row r="203" spans="1:26" ht="14.25" customHeight="1">
      <c r="B203" s="36"/>
      <c r="C203" s="37"/>
      <c r="D203" s="36"/>
      <c r="E203" s="36"/>
      <c r="F203" s="37"/>
      <c r="G203" s="37"/>
      <c r="I203" s="27"/>
      <c r="J203" s="36"/>
      <c r="P203" s="271" t="s">
        <v>55</v>
      </c>
      <c r="Q203" s="272"/>
      <c r="R203" s="272"/>
      <c r="S203" s="272"/>
      <c r="T203" s="272"/>
      <c r="U203" s="272"/>
      <c r="V203" s="272"/>
      <c r="W203" s="272"/>
      <c r="X203" s="273"/>
      <c r="Y203" s="41"/>
      <c r="Z203" s="41"/>
    </row>
    <row r="204" spans="1:26">
      <c r="B204" s="36"/>
      <c r="C204" s="37"/>
      <c r="D204" s="36"/>
      <c r="E204" s="36"/>
      <c r="F204" s="37"/>
      <c r="G204" s="48" t="s">
        <v>21</v>
      </c>
      <c r="I204" s="49" t="s">
        <v>22</v>
      </c>
      <c r="J204" s="36"/>
      <c r="P204" s="274"/>
      <c r="Q204" s="275"/>
      <c r="R204" s="275"/>
      <c r="S204" s="275"/>
      <c r="T204" s="275"/>
      <c r="U204" s="275"/>
      <c r="V204" s="275"/>
      <c r="W204" s="275"/>
      <c r="X204" s="276"/>
    </row>
    <row r="205" spans="1:26" ht="15.75">
      <c r="A205" s="2" t="s">
        <v>23</v>
      </c>
      <c r="C205" s="37"/>
      <c r="D205" s="36"/>
      <c r="E205" s="36"/>
      <c r="G205" s="24">
        <f>B188*(SQRT((C201-2)/(1-B189)))</f>
        <v>3.3542970792261083E-3</v>
      </c>
      <c r="H205" s="40"/>
      <c r="I205" s="42">
        <f>TDIST(ABS(G205),8,2)</f>
        <v>0.99740579867967805</v>
      </c>
      <c r="J205" s="50" t="s">
        <v>57</v>
      </c>
      <c r="N205" s="2"/>
      <c r="O205" s="41"/>
      <c r="P205" s="274"/>
      <c r="Q205" s="275"/>
      <c r="R205" s="275"/>
      <c r="S205" s="275"/>
      <c r="T205" s="275"/>
      <c r="U205" s="275"/>
      <c r="V205" s="275"/>
      <c r="W205" s="275"/>
      <c r="X205" s="276"/>
    </row>
    <row r="206" spans="1:26" ht="15.75">
      <c r="A206" s="2" t="s">
        <v>24</v>
      </c>
      <c r="C206" s="37"/>
      <c r="D206" s="36"/>
      <c r="E206" s="36"/>
      <c r="G206" s="24">
        <f>B186/((G199/F199)*SQRT((1-B188^2)/(G201-2)))</f>
        <v>3.3542970792261083E-3</v>
      </c>
      <c r="H206" s="36"/>
      <c r="I206" s="42">
        <f>TDIST(ABS(G206),8,2)</f>
        <v>0.99740579867967805</v>
      </c>
      <c r="J206" s="36"/>
      <c r="K206" s="36"/>
      <c r="N206" s="2"/>
      <c r="O206" s="36"/>
      <c r="P206" s="277"/>
      <c r="Q206" s="278"/>
      <c r="R206" s="278"/>
      <c r="S206" s="278"/>
      <c r="T206" s="278"/>
      <c r="U206" s="278"/>
      <c r="V206" s="278"/>
      <c r="W206" s="278"/>
      <c r="X206" s="279"/>
    </row>
    <row r="207" spans="1:26" ht="12.75">
      <c r="C207" s="37"/>
      <c r="D207" s="36"/>
      <c r="E207" s="36"/>
      <c r="J207" s="36"/>
      <c r="K207" s="36"/>
      <c r="N207" s="2"/>
      <c r="O207" s="36"/>
      <c r="P207" s="43"/>
    </row>
    <row r="208" spans="1:26" ht="15.75">
      <c r="A208" s="2" t="s">
        <v>25</v>
      </c>
      <c r="B208" s="37"/>
      <c r="D208" s="38"/>
      <c r="E208" s="56">
        <f>Q208*((G199/F199)*SQRT((1-B188^2)/(G201-2)))</f>
        <v>3.2458671865537893E-2</v>
      </c>
      <c r="F208" s="51" t="s">
        <v>26</v>
      </c>
      <c r="G208" s="66">
        <f>B186-E208</f>
        <v>-3.2424460438921401E-2</v>
      </c>
      <c r="H208" s="51" t="s">
        <v>27</v>
      </c>
      <c r="I208" s="67">
        <f>B186+E208</f>
        <v>3.2492883292154384E-2</v>
      </c>
      <c r="K208" s="51" t="s">
        <v>28</v>
      </c>
      <c r="L208" s="52">
        <v>0.95</v>
      </c>
      <c r="M208" s="51" t="s">
        <v>29</v>
      </c>
      <c r="N208" s="53">
        <f>C201-2</f>
        <v>3</v>
      </c>
      <c r="P208" s="54" t="s">
        <v>30</v>
      </c>
      <c r="Q208" s="55">
        <f>TINV((1-L208),N208)</f>
        <v>3.1824463052837078</v>
      </c>
    </row>
    <row r="213" spans="1:26">
      <c r="A213" s="16" t="s">
        <v>13</v>
      </c>
      <c r="B213" s="17">
        <f>J224/L224</f>
        <v>-1.1800000000000001E-3</v>
      </c>
      <c r="D213" s="94"/>
      <c r="E213" s="95"/>
      <c r="F213" s="93" t="str">
        <f>F218</f>
        <v>X = Dif PAS [Int vs Conv]</v>
      </c>
      <c r="G213" s="95"/>
      <c r="H213" s="15"/>
      <c r="I213" s="96" t="str">
        <f>G218</f>
        <v>Y = RAR en EfAdv grav atrib</v>
      </c>
      <c r="M213" s="4"/>
    </row>
    <row r="214" spans="1:26">
      <c r="A214" s="22" t="s">
        <v>14</v>
      </c>
      <c r="B214" s="23">
        <f>B216*G225/F225</f>
        <v>-1.1800000000000011E-3</v>
      </c>
      <c r="D214" s="97" t="s">
        <v>37</v>
      </c>
      <c r="E214" s="128">
        <v>-1</v>
      </c>
      <c r="F214" s="93" t="s">
        <v>33</v>
      </c>
      <c r="G214" s="15" t="s">
        <v>36</v>
      </c>
      <c r="H214" s="15"/>
      <c r="I214" s="96" t="s">
        <v>166</v>
      </c>
      <c r="J214" s="126">
        <f>E214*B214</f>
        <v>1.1800000000000011E-3</v>
      </c>
      <c r="K214" s="6" t="s">
        <v>35</v>
      </c>
      <c r="L214" s="126">
        <f>E214*G234</f>
        <v>3.9676536754274057E-3</v>
      </c>
      <c r="M214" s="6" t="s">
        <v>34</v>
      </c>
      <c r="N214" s="126">
        <f>E214*I234</f>
        <v>-1.6076536754274031E-3</v>
      </c>
    </row>
    <row r="215" spans="1:26">
      <c r="A215" s="16" t="s">
        <v>15</v>
      </c>
      <c r="B215" s="17">
        <f>G224-(F224*B213)</f>
        <v>-5.3919999999999992E-3</v>
      </c>
      <c r="M215" s="4"/>
    </row>
    <row r="216" spans="1:26">
      <c r="A216" s="25" t="s">
        <v>31</v>
      </c>
      <c r="B216" s="24">
        <f>J224/SQRT(N224)</f>
        <v>-0.98315128513528471</v>
      </c>
      <c r="M216" s="4"/>
    </row>
    <row r="217" spans="1:26" ht="26.25" customHeight="1" thickBot="1">
      <c r="A217" s="108" t="s">
        <v>32</v>
      </c>
      <c r="B217" s="124">
        <f>B216^2</f>
        <v>0.96658644946316186</v>
      </c>
      <c r="C217" s="125">
        <f>1-B217</f>
        <v>3.3413550536838144E-2</v>
      </c>
      <c r="F217" s="7"/>
      <c r="G217" s="8"/>
      <c r="H217" s="269" t="s">
        <v>1</v>
      </c>
      <c r="I217" s="270"/>
      <c r="J217" s="9" t="s">
        <v>2</v>
      </c>
      <c r="K217" s="10"/>
      <c r="L217" s="9" t="s">
        <v>3</v>
      </c>
      <c r="M217" s="9" t="s">
        <v>4</v>
      </c>
      <c r="N217" s="9" t="s">
        <v>5</v>
      </c>
      <c r="Q217" s="41"/>
      <c r="R217" s="41"/>
      <c r="S217" s="41"/>
      <c r="T217" s="41"/>
      <c r="U217" s="43"/>
      <c r="V217" s="68"/>
      <c r="W217" s="68"/>
      <c r="X217" s="41"/>
      <c r="Y217" s="41"/>
      <c r="Z217" s="69"/>
    </row>
    <row r="218" spans="1:26" ht="37.5" customHeight="1" thickBot="1">
      <c r="A218" s="113" t="s">
        <v>81</v>
      </c>
      <c r="C218" s="11" t="s">
        <v>174</v>
      </c>
      <c r="D218" s="12" t="s">
        <v>6</v>
      </c>
      <c r="E218" s="12" t="s">
        <v>39</v>
      </c>
      <c r="F218" s="44" t="s">
        <v>172</v>
      </c>
      <c r="G218" s="45" t="s">
        <v>181</v>
      </c>
      <c r="H218" s="13" t="s">
        <v>7</v>
      </c>
      <c r="I218" s="14" t="s">
        <v>8</v>
      </c>
      <c r="J218" s="14" t="s">
        <v>9</v>
      </c>
      <c r="L218" s="14" t="s">
        <v>10</v>
      </c>
      <c r="M218" s="14" t="s">
        <v>11</v>
      </c>
      <c r="N218" s="14" t="s">
        <v>12</v>
      </c>
      <c r="Q218" s="41"/>
      <c r="R218" s="41"/>
      <c r="S218" s="70"/>
      <c r="T218" s="71"/>
      <c r="U218" s="41"/>
      <c r="V218" s="111"/>
      <c r="W218" s="111"/>
      <c r="X218" s="73"/>
      <c r="Y218" s="74"/>
      <c r="Z218" s="111"/>
    </row>
    <row r="219" spans="1:26" ht="15">
      <c r="A219" s="130" t="s">
        <v>58</v>
      </c>
      <c r="C219" s="268">
        <f>B215+(B214*F219)</f>
        <v>-2.0850000000000014E-2</v>
      </c>
      <c r="D219" s="340">
        <f>C219-G219</f>
        <v>-9.5000000000001333E-4</v>
      </c>
      <c r="E219" s="6">
        <v>1</v>
      </c>
      <c r="F219" s="46">
        <v>13.1</v>
      </c>
      <c r="G219" s="61">
        <v>-1.9900000000000001E-2</v>
      </c>
      <c r="H219" s="19">
        <f>F219-F224</f>
        <v>2.5</v>
      </c>
      <c r="I219" s="63">
        <f>G219-G224</f>
        <v>-2.0000000000000018E-3</v>
      </c>
      <c r="J219" s="19">
        <f>H219*I219</f>
        <v>-5.0000000000000044E-3</v>
      </c>
      <c r="K219" s="20"/>
      <c r="L219" s="20">
        <f>H219^2</f>
        <v>6.25</v>
      </c>
      <c r="M219" s="38">
        <f t="shared" ref="M219:M221" si="25">I219^2</f>
        <v>4.0000000000000074E-6</v>
      </c>
      <c r="N219" s="21"/>
      <c r="Q219" s="75"/>
      <c r="R219" s="76"/>
      <c r="S219" s="41"/>
      <c r="T219" s="41"/>
      <c r="U219" s="41"/>
      <c r="V219" s="58"/>
      <c r="W219" s="58"/>
      <c r="X219" s="77"/>
      <c r="Y219" s="74"/>
      <c r="Z219" s="58"/>
    </row>
    <row r="220" spans="1:26" ht="15">
      <c r="A220" s="130" t="s">
        <v>59</v>
      </c>
      <c r="C220" s="268">
        <f>B215+(B214*F220)</f>
        <v>-1.2000000000000005E-2</v>
      </c>
      <c r="D220" s="340">
        <f t="shared" ref="D220:D221" si="26">C220-G220</f>
        <v>0</v>
      </c>
      <c r="E220" s="6">
        <v>2</v>
      </c>
      <c r="F220" s="47">
        <v>5.6</v>
      </c>
      <c r="G220" s="62">
        <v>-1.2E-2</v>
      </c>
      <c r="H220" s="19">
        <f>F220-F224</f>
        <v>-5</v>
      </c>
      <c r="I220" s="63">
        <f>G220-G224</f>
        <v>5.899999999999999E-3</v>
      </c>
      <c r="J220" s="19">
        <f t="shared" ref="J220:J221" si="27">H220*I220</f>
        <v>-2.9499999999999995E-2</v>
      </c>
      <c r="K220" s="20"/>
      <c r="L220" s="20">
        <f t="shared" ref="L220:L221" si="28">H220^2</f>
        <v>25</v>
      </c>
      <c r="M220" s="38">
        <f t="shared" si="25"/>
        <v>3.4809999999999987E-5</v>
      </c>
      <c r="N220" s="21"/>
      <c r="Q220" s="41"/>
      <c r="R220" s="80"/>
      <c r="S220" s="41"/>
      <c r="T220" s="41"/>
      <c r="U220" s="41"/>
      <c r="V220" s="58"/>
      <c r="W220" s="58"/>
      <c r="X220" s="77"/>
      <c r="Y220" s="74"/>
      <c r="Z220" s="58"/>
    </row>
    <row r="221" spans="1:26" ht="15">
      <c r="A221" s="130" t="s">
        <v>60</v>
      </c>
      <c r="C221" s="268">
        <f>B215+(B214*F221)</f>
        <v>-2.0850000000000014E-2</v>
      </c>
      <c r="D221" s="340">
        <f t="shared" si="26"/>
        <v>9.4999999999998558E-4</v>
      </c>
      <c r="E221" s="6">
        <v>3</v>
      </c>
      <c r="F221" s="47">
        <v>13.1</v>
      </c>
      <c r="G221" s="62">
        <v>-2.18E-2</v>
      </c>
      <c r="H221" s="19">
        <f>F221-F224</f>
        <v>2.5</v>
      </c>
      <c r="I221" s="63">
        <f>G221-G224</f>
        <v>-3.9000000000000007E-3</v>
      </c>
      <c r="J221" s="19">
        <f t="shared" si="27"/>
        <v>-9.7500000000000017E-3</v>
      </c>
      <c r="K221" s="20"/>
      <c r="L221" s="20">
        <f t="shared" si="28"/>
        <v>6.25</v>
      </c>
      <c r="M221" s="38">
        <f t="shared" si="25"/>
        <v>1.5210000000000005E-5</v>
      </c>
      <c r="N221" s="21"/>
      <c r="Q221" s="41"/>
      <c r="R221" s="41"/>
      <c r="S221" s="41"/>
      <c r="T221" s="41"/>
      <c r="U221" s="41"/>
      <c r="V221" s="58"/>
      <c r="W221" s="58"/>
      <c r="X221" s="77"/>
      <c r="Y221" s="74"/>
      <c r="Z221" s="58"/>
    </row>
    <row r="222" spans="1:26" ht="12.75">
      <c r="C222" s="340"/>
      <c r="D222" s="340"/>
      <c r="E222" s="6"/>
      <c r="F222" s="6"/>
      <c r="G222" s="6"/>
      <c r="H222" s="65"/>
      <c r="J222" s="60"/>
      <c r="K222" s="6"/>
      <c r="L222" s="6"/>
      <c r="M222" s="18"/>
      <c r="N222" s="6"/>
      <c r="Q222" s="41"/>
      <c r="R222" s="83"/>
      <c r="S222" s="41"/>
      <c r="T222" s="41"/>
      <c r="U222" s="41"/>
      <c r="V222" s="58"/>
      <c r="W222" s="58"/>
      <c r="X222" s="77"/>
      <c r="Y222" s="74"/>
      <c r="Z222" s="58"/>
    </row>
    <row r="223" spans="1:26" ht="13.5" thickBot="1">
      <c r="C223" s="340"/>
      <c r="D223" s="340"/>
      <c r="M223" s="18"/>
      <c r="N223" s="6"/>
      <c r="Q223" s="41"/>
      <c r="R223" s="41"/>
      <c r="S223" s="41"/>
      <c r="T223" s="41"/>
      <c r="U223" s="41"/>
      <c r="V223" s="58"/>
      <c r="W223" s="58"/>
      <c r="X223" s="77"/>
      <c r="Y223" s="74"/>
      <c r="Z223" s="58"/>
    </row>
    <row r="224" spans="1:26" ht="13.5" thickBot="1">
      <c r="B224" s="2" t="s">
        <v>0</v>
      </c>
      <c r="C224" s="341">
        <f>AVERAGE(C219:C221)</f>
        <v>-1.790000000000001E-2</v>
      </c>
      <c r="D224" s="341">
        <f>AVERAGE(D219:D221)</f>
        <v>-9.2518585385429707E-18</v>
      </c>
      <c r="F224" s="18">
        <f>AVERAGE(F219:F221)</f>
        <v>10.6</v>
      </c>
      <c r="G224" s="64">
        <f>AVERAGE(G219:G221)</f>
        <v>-1.7899999999999999E-2</v>
      </c>
      <c r="H224" s="19">
        <f>AVERAGE(H219:H221)</f>
        <v>0</v>
      </c>
      <c r="I224" s="19">
        <f>AVERAGE(I219:I221)</f>
        <v>-1.1564823173178713E-18</v>
      </c>
      <c r="J224" s="59">
        <f>SUM(J219:J222)</f>
        <v>-4.4250000000000005E-2</v>
      </c>
      <c r="K224" s="27" t="s">
        <v>16</v>
      </c>
      <c r="L224" s="28">
        <f>SUM(L219:L223)</f>
        <v>37.5</v>
      </c>
      <c r="M224" s="28">
        <f>SUM(M219:M223)</f>
        <v>5.4020000000000001E-5</v>
      </c>
      <c r="N224" s="28">
        <f>M224*L224</f>
        <v>2.0257500000000002E-3</v>
      </c>
      <c r="Q224" s="41"/>
      <c r="R224" s="41"/>
      <c r="S224" s="41"/>
      <c r="T224" s="82"/>
      <c r="U224" s="84"/>
      <c r="V224" s="85"/>
      <c r="W224" s="86"/>
      <c r="X224" s="77"/>
      <c r="Y224" s="74"/>
      <c r="Z224" s="87"/>
    </row>
    <row r="225" spans="1:26" ht="15" thickBot="1">
      <c r="B225" s="15" t="s">
        <v>17</v>
      </c>
      <c r="C225" s="29">
        <f>STDEVA(C219:C221)</f>
        <v>5.1095498823281928E-3</v>
      </c>
      <c r="D225" s="29">
        <f>STDEVA(D219:D221)</f>
        <v>9.4999999999999946E-4</v>
      </c>
      <c r="E225" s="15"/>
      <c r="F225" s="30">
        <f>STDEVA(F219:F221)</f>
        <v>4.3301270189221936</v>
      </c>
      <c r="G225" s="29">
        <f>STDEVA(G219:G221)</f>
        <v>5.1971145840745189E-3</v>
      </c>
      <c r="H225" s="30">
        <f>STDEVA(H219:H223)</f>
        <v>4.3301270189221936</v>
      </c>
      <c r="I225" s="30">
        <f>STDEVA(I219:I223)</f>
        <v>5.1971145840745137E-3</v>
      </c>
      <c r="J225" s="31" t="s">
        <v>16</v>
      </c>
      <c r="K225" s="32"/>
      <c r="L225" s="33"/>
      <c r="M225" s="33"/>
      <c r="N225" s="34"/>
      <c r="Q225" s="41"/>
      <c r="R225" s="41"/>
      <c r="S225" s="41"/>
      <c r="T225" s="41"/>
      <c r="U225" s="84"/>
      <c r="V225" s="85"/>
      <c r="W225" s="85"/>
      <c r="X225" s="88"/>
      <c r="Y225" s="89"/>
      <c r="Z225" s="41"/>
    </row>
    <row r="226" spans="1:26" ht="15.75">
      <c r="B226" s="15" t="s">
        <v>18</v>
      </c>
      <c r="C226" s="35">
        <f>C225^2</f>
        <v>2.6107500000000048E-5</v>
      </c>
      <c r="D226" s="35">
        <f>D225^2</f>
        <v>9.0249999999999898E-7</v>
      </c>
      <c r="E226" s="15"/>
      <c r="F226" s="30">
        <f>F225^2</f>
        <v>18.750000000000004</v>
      </c>
      <c r="G226" s="35">
        <f>G225^2</f>
        <v>2.7010000000000058E-5</v>
      </c>
      <c r="H226" s="30">
        <f>H225^2</f>
        <v>18.750000000000004</v>
      </c>
      <c r="I226" s="30">
        <f>I225^2</f>
        <v>2.7010000000000004E-5</v>
      </c>
      <c r="J226" s="33"/>
      <c r="K226" s="27"/>
      <c r="L226" s="33"/>
      <c r="M226" s="33"/>
      <c r="N226" s="34"/>
      <c r="Q226" s="41"/>
      <c r="R226" s="41"/>
      <c r="S226" s="41"/>
      <c r="T226" s="41"/>
      <c r="U226" s="84"/>
      <c r="V226" s="85"/>
      <c r="W226" s="85"/>
      <c r="X226" s="41"/>
      <c r="Y226" s="41"/>
      <c r="Z226" s="41"/>
    </row>
    <row r="227" spans="1:26">
      <c r="B227" s="2" t="s">
        <v>19</v>
      </c>
      <c r="C227" s="30">
        <f>COUNT(C219:C221)</f>
        <v>3</v>
      </c>
      <c r="D227" s="30">
        <f>COUNT(D219:D221)</f>
        <v>3</v>
      </c>
      <c r="F227" s="30">
        <f>COUNT(F219:F221)</f>
        <v>3</v>
      </c>
      <c r="G227" s="30">
        <f>COUNT(G219:G221)</f>
        <v>3</v>
      </c>
      <c r="I227" s="27"/>
      <c r="J227" s="33"/>
      <c r="K227" s="27"/>
      <c r="L227" s="33"/>
      <c r="M227" s="33"/>
      <c r="N227" s="34"/>
      <c r="Q227" s="41"/>
      <c r="R227" s="41"/>
      <c r="S227" s="41"/>
      <c r="T227" s="41"/>
      <c r="U227" s="41"/>
      <c r="V227" s="41"/>
      <c r="W227" s="41"/>
      <c r="X227" s="41"/>
      <c r="Y227" s="41"/>
      <c r="Z227" s="41"/>
    </row>
    <row r="228" spans="1:26">
      <c r="B228" s="36" t="s">
        <v>20</v>
      </c>
      <c r="C228" s="37">
        <f>C224/C225</f>
        <v>-3.5032440062692531</v>
      </c>
      <c r="D228" s="37">
        <f>D224/D225</f>
        <v>-9.7387984616241856E-15</v>
      </c>
      <c r="E228" s="36"/>
      <c r="F228" s="37">
        <f>F224/F225</f>
        <v>2.4479651413640129</v>
      </c>
      <c r="G228" s="37">
        <f>G224/G225</f>
        <v>-3.444218846906097</v>
      </c>
      <c r="I228" s="27"/>
      <c r="J228" s="36"/>
      <c r="Q228" s="41"/>
      <c r="R228" s="41"/>
      <c r="S228" s="41"/>
      <c r="T228" s="41"/>
      <c r="U228" s="41"/>
      <c r="V228" s="41"/>
      <c r="W228" s="41"/>
      <c r="X228" s="41"/>
      <c r="Y228" s="41"/>
      <c r="Z228" s="41"/>
    </row>
    <row r="229" spans="1:26" ht="14.25" customHeight="1">
      <c r="B229" s="36"/>
      <c r="C229" s="37"/>
      <c r="D229" s="36"/>
      <c r="E229" s="36"/>
      <c r="F229" s="37"/>
      <c r="G229" s="37"/>
      <c r="I229" s="27"/>
      <c r="J229" s="36"/>
      <c r="P229" s="280" t="s">
        <v>82</v>
      </c>
      <c r="Q229" s="281"/>
      <c r="R229" s="281"/>
      <c r="S229" s="281"/>
      <c r="T229" s="281"/>
      <c r="U229" s="281"/>
      <c r="V229" s="281"/>
      <c r="W229" s="281"/>
      <c r="X229" s="282"/>
      <c r="Y229" s="41"/>
      <c r="Z229" s="41"/>
    </row>
    <row r="230" spans="1:26">
      <c r="B230" s="36"/>
      <c r="C230" s="37"/>
      <c r="D230" s="36"/>
      <c r="E230" s="36"/>
      <c r="F230" s="37"/>
      <c r="G230" s="48" t="s">
        <v>21</v>
      </c>
      <c r="I230" s="49" t="s">
        <v>22</v>
      </c>
      <c r="J230" s="36"/>
    </row>
    <row r="231" spans="1:26" ht="15.75">
      <c r="A231" s="2" t="s">
        <v>23</v>
      </c>
      <c r="C231" s="37"/>
      <c r="D231" s="36"/>
      <c r="E231" s="36"/>
      <c r="G231" s="39">
        <f>B216*(SQRT((C227-2)/(1-B217)))</f>
        <v>-5.3784735603454665</v>
      </c>
      <c r="H231" s="40"/>
      <c r="I231" s="42">
        <f>TDIST(ABS(G231),8,2)</f>
        <v>6.628465389736664E-4</v>
      </c>
      <c r="J231" s="50" t="s">
        <v>57</v>
      </c>
      <c r="N231" s="2"/>
      <c r="O231" s="41"/>
      <c r="P231" s="41"/>
      <c r="Q231" s="41"/>
      <c r="R231" s="41"/>
      <c r="S231" s="41"/>
      <c r="T231" s="41"/>
      <c r="U231" s="41"/>
      <c r="V231" s="41"/>
      <c r="W231" s="41"/>
      <c r="X231" s="41"/>
      <c r="Y231" s="41"/>
      <c r="Z231" s="41"/>
    </row>
    <row r="232" spans="1:26" ht="15.75">
      <c r="A232" s="2" t="s">
        <v>24</v>
      </c>
      <c r="C232" s="37"/>
      <c r="D232" s="36"/>
      <c r="E232" s="36"/>
      <c r="G232" s="39">
        <f>B214/((G225/F225)*SQRT((1-B216^2)/(G227-2)))</f>
        <v>-5.3784735603454656</v>
      </c>
      <c r="H232" s="36"/>
      <c r="I232" s="42">
        <f>TDIST(ABS(G232),8,2)</f>
        <v>6.6284653897366759E-4</v>
      </c>
      <c r="J232" s="36"/>
      <c r="K232" s="36"/>
      <c r="N232" s="2"/>
      <c r="O232" s="36"/>
      <c r="P232" s="36"/>
      <c r="Q232" s="36"/>
      <c r="R232" s="36"/>
      <c r="S232" s="36"/>
      <c r="T232" s="36"/>
      <c r="U232" s="36"/>
      <c r="V232" s="36"/>
      <c r="W232" s="36"/>
      <c r="X232" s="36"/>
      <c r="Y232" s="36"/>
      <c r="Z232" s="36"/>
    </row>
    <row r="233" spans="1:26" ht="12.75">
      <c r="C233" s="37"/>
      <c r="D233" s="36"/>
      <c r="E233" s="36"/>
      <c r="J233" s="36"/>
      <c r="K233" s="36"/>
      <c r="N233" s="2"/>
      <c r="O233" s="36"/>
      <c r="P233" s="43"/>
    </row>
    <row r="234" spans="1:26" ht="15.75">
      <c r="A234" s="2" t="s">
        <v>25</v>
      </c>
      <c r="B234" s="37"/>
      <c r="D234" s="38"/>
      <c r="E234" s="56">
        <f>Q234*((G225/F225)*SQRT((1-B216^2)/(G227-2)))</f>
        <v>2.7876536754274043E-3</v>
      </c>
      <c r="F234" s="51" t="s">
        <v>26</v>
      </c>
      <c r="G234" s="66">
        <f>B214-E234</f>
        <v>-3.9676536754274057E-3</v>
      </c>
      <c r="H234" s="51" t="s">
        <v>27</v>
      </c>
      <c r="I234" s="67">
        <f>B214+E234</f>
        <v>1.6076536754274031E-3</v>
      </c>
      <c r="K234" s="51" t="s">
        <v>28</v>
      </c>
      <c r="L234" s="52">
        <v>0.95</v>
      </c>
      <c r="M234" s="51" t="s">
        <v>29</v>
      </c>
      <c r="N234" s="53">
        <f>C227-2</f>
        <v>1</v>
      </c>
      <c r="P234" s="54" t="s">
        <v>30</v>
      </c>
      <c r="Q234" s="55">
        <f>TINV((1-L234),N234)</f>
        <v>12.706204736174694</v>
      </c>
    </row>
  </sheetData>
  <mergeCells count="14">
    <mergeCell ref="P203:X206"/>
    <mergeCell ref="H217:I217"/>
    <mergeCell ref="P229:X229"/>
    <mergeCell ref="P27:X30"/>
    <mergeCell ref="P63:X66"/>
    <mergeCell ref="P100:X103"/>
    <mergeCell ref="P137:X140"/>
    <mergeCell ref="P173:X176"/>
    <mergeCell ref="H8:I8"/>
    <mergeCell ref="H157:I157"/>
    <mergeCell ref="H189:I189"/>
    <mergeCell ref="H49:I49"/>
    <mergeCell ref="H85:I85"/>
    <mergeCell ref="H121:I121"/>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0D51E-315F-47EE-9843-7621C9F77284}">
  <dimension ref="A1:Z340"/>
  <sheetViews>
    <sheetView zoomScale="90" zoomScaleNormal="90" workbookViewId="0"/>
  </sheetViews>
  <sheetFormatPr baseColWidth="10" defaultRowHeight="14.25"/>
  <cols>
    <col min="1" max="1" width="20.28515625" style="2" customWidth="1"/>
    <col min="2" max="3" width="11.42578125" style="2"/>
    <col min="4" max="4" width="11.85546875" style="2" customWidth="1"/>
    <col min="5" max="9" width="11.42578125" style="2"/>
    <col min="10" max="10" width="11.7109375" style="2" customWidth="1"/>
    <col min="11" max="13" width="11.42578125" style="2"/>
    <col min="14" max="14" width="14" style="3" customWidth="1"/>
    <col min="15" max="15" width="4.5703125" style="2" customWidth="1"/>
    <col min="16" max="16" width="11.42578125" style="2"/>
    <col min="17" max="17" width="11.5703125" style="2" customWidth="1"/>
    <col min="18" max="18" width="11.42578125" style="2"/>
    <col min="19" max="19" width="11.7109375" style="2" customWidth="1"/>
    <col min="20" max="256" width="11.42578125" style="2"/>
    <col min="257" max="257" width="20.28515625" style="2" customWidth="1"/>
    <col min="258" max="259" width="11.42578125" style="2"/>
    <col min="260" max="260" width="11.85546875" style="2" customWidth="1"/>
    <col min="261" max="265" width="11.42578125" style="2"/>
    <col min="266" max="266" width="11.7109375" style="2" customWidth="1"/>
    <col min="267" max="269" width="11.42578125" style="2"/>
    <col min="270" max="270" width="14" style="2" customWidth="1"/>
    <col min="271" max="271" width="4.5703125" style="2" customWidth="1"/>
    <col min="272" max="272" width="11.42578125" style="2"/>
    <col min="273" max="273" width="11.5703125" style="2" customWidth="1"/>
    <col min="274" max="274" width="11.42578125" style="2"/>
    <col min="275" max="275" width="11.7109375" style="2" customWidth="1"/>
    <col min="276" max="512" width="11.42578125" style="2"/>
    <col min="513" max="513" width="20.28515625" style="2" customWidth="1"/>
    <col min="514" max="515" width="11.42578125" style="2"/>
    <col min="516" max="516" width="11.85546875" style="2" customWidth="1"/>
    <col min="517" max="521" width="11.42578125" style="2"/>
    <col min="522" max="522" width="11.7109375" style="2" customWidth="1"/>
    <col min="523" max="525" width="11.42578125" style="2"/>
    <col min="526" max="526" width="14" style="2" customWidth="1"/>
    <col min="527" max="527" width="4.5703125" style="2" customWidth="1"/>
    <col min="528" max="528" width="11.42578125" style="2"/>
    <col min="529" max="529" width="11.5703125" style="2" customWidth="1"/>
    <col min="530" max="530" width="11.42578125" style="2"/>
    <col min="531" max="531" width="11.7109375" style="2" customWidth="1"/>
    <col min="532" max="768" width="11.42578125" style="2"/>
    <col min="769" max="769" width="20.28515625" style="2" customWidth="1"/>
    <col min="770" max="771" width="11.42578125" style="2"/>
    <col min="772" max="772" width="11.85546875" style="2" customWidth="1"/>
    <col min="773" max="777" width="11.42578125" style="2"/>
    <col min="778" max="778" width="11.7109375" style="2" customWidth="1"/>
    <col min="779" max="781" width="11.42578125" style="2"/>
    <col min="782" max="782" width="14" style="2" customWidth="1"/>
    <col min="783" max="783" width="4.5703125" style="2" customWidth="1"/>
    <col min="784" max="784" width="11.42578125" style="2"/>
    <col min="785" max="785" width="11.5703125" style="2" customWidth="1"/>
    <col min="786" max="786" width="11.42578125" style="2"/>
    <col min="787" max="787" width="11.7109375" style="2" customWidth="1"/>
    <col min="788" max="1024" width="11.42578125" style="2"/>
    <col min="1025" max="1025" width="20.28515625" style="2" customWidth="1"/>
    <col min="1026" max="1027" width="11.42578125" style="2"/>
    <col min="1028" max="1028" width="11.85546875" style="2" customWidth="1"/>
    <col min="1029" max="1033" width="11.42578125" style="2"/>
    <col min="1034" max="1034" width="11.7109375" style="2" customWidth="1"/>
    <col min="1035" max="1037" width="11.42578125" style="2"/>
    <col min="1038" max="1038" width="14" style="2" customWidth="1"/>
    <col min="1039" max="1039" width="4.5703125" style="2" customWidth="1"/>
    <col min="1040" max="1040" width="11.42578125" style="2"/>
    <col min="1041" max="1041" width="11.5703125" style="2" customWidth="1"/>
    <col min="1042" max="1042" width="11.42578125" style="2"/>
    <col min="1043" max="1043" width="11.7109375" style="2" customWidth="1"/>
    <col min="1044" max="1280" width="11.42578125" style="2"/>
    <col min="1281" max="1281" width="20.28515625" style="2" customWidth="1"/>
    <col min="1282" max="1283" width="11.42578125" style="2"/>
    <col min="1284" max="1284" width="11.85546875" style="2" customWidth="1"/>
    <col min="1285" max="1289" width="11.42578125" style="2"/>
    <col min="1290" max="1290" width="11.7109375" style="2" customWidth="1"/>
    <col min="1291" max="1293" width="11.42578125" style="2"/>
    <col min="1294" max="1294" width="14" style="2" customWidth="1"/>
    <col min="1295" max="1295" width="4.5703125" style="2" customWidth="1"/>
    <col min="1296" max="1296" width="11.42578125" style="2"/>
    <col min="1297" max="1297" width="11.5703125" style="2" customWidth="1"/>
    <col min="1298" max="1298" width="11.42578125" style="2"/>
    <col min="1299" max="1299" width="11.7109375" style="2" customWidth="1"/>
    <col min="1300" max="1536" width="11.42578125" style="2"/>
    <col min="1537" max="1537" width="20.28515625" style="2" customWidth="1"/>
    <col min="1538" max="1539" width="11.42578125" style="2"/>
    <col min="1540" max="1540" width="11.85546875" style="2" customWidth="1"/>
    <col min="1541" max="1545" width="11.42578125" style="2"/>
    <col min="1546" max="1546" width="11.7109375" style="2" customWidth="1"/>
    <col min="1547" max="1549" width="11.42578125" style="2"/>
    <col min="1550" max="1550" width="14" style="2" customWidth="1"/>
    <col min="1551" max="1551" width="4.5703125" style="2" customWidth="1"/>
    <col min="1552" max="1552" width="11.42578125" style="2"/>
    <col min="1553" max="1553" width="11.5703125" style="2" customWidth="1"/>
    <col min="1554" max="1554" width="11.42578125" style="2"/>
    <col min="1555" max="1555" width="11.7109375" style="2" customWidth="1"/>
    <col min="1556" max="1792" width="11.42578125" style="2"/>
    <col min="1793" max="1793" width="20.28515625" style="2" customWidth="1"/>
    <col min="1794" max="1795" width="11.42578125" style="2"/>
    <col min="1796" max="1796" width="11.85546875" style="2" customWidth="1"/>
    <col min="1797" max="1801" width="11.42578125" style="2"/>
    <col min="1802" max="1802" width="11.7109375" style="2" customWidth="1"/>
    <col min="1803" max="1805" width="11.42578125" style="2"/>
    <col min="1806" max="1806" width="14" style="2" customWidth="1"/>
    <col min="1807" max="1807" width="4.5703125" style="2" customWidth="1"/>
    <col min="1808" max="1808" width="11.42578125" style="2"/>
    <col min="1809" max="1809" width="11.5703125" style="2" customWidth="1"/>
    <col min="1810" max="1810" width="11.42578125" style="2"/>
    <col min="1811" max="1811" width="11.7109375" style="2" customWidth="1"/>
    <col min="1812" max="2048" width="11.42578125" style="2"/>
    <col min="2049" max="2049" width="20.28515625" style="2" customWidth="1"/>
    <col min="2050" max="2051" width="11.42578125" style="2"/>
    <col min="2052" max="2052" width="11.85546875" style="2" customWidth="1"/>
    <col min="2053" max="2057" width="11.42578125" style="2"/>
    <col min="2058" max="2058" width="11.7109375" style="2" customWidth="1"/>
    <col min="2059" max="2061" width="11.42578125" style="2"/>
    <col min="2062" max="2062" width="14" style="2" customWidth="1"/>
    <col min="2063" max="2063" width="4.5703125" style="2" customWidth="1"/>
    <col min="2064" max="2064" width="11.42578125" style="2"/>
    <col min="2065" max="2065" width="11.5703125" style="2" customWidth="1"/>
    <col min="2066" max="2066" width="11.42578125" style="2"/>
    <col min="2067" max="2067" width="11.7109375" style="2" customWidth="1"/>
    <col min="2068" max="2304" width="11.42578125" style="2"/>
    <col min="2305" max="2305" width="20.28515625" style="2" customWidth="1"/>
    <col min="2306" max="2307" width="11.42578125" style="2"/>
    <col min="2308" max="2308" width="11.85546875" style="2" customWidth="1"/>
    <col min="2309" max="2313" width="11.42578125" style="2"/>
    <col min="2314" max="2314" width="11.7109375" style="2" customWidth="1"/>
    <col min="2315" max="2317" width="11.42578125" style="2"/>
    <col min="2318" max="2318" width="14" style="2" customWidth="1"/>
    <col min="2319" max="2319" width="4.5703125" style="2" customWidth="1"/>
    <col min="2320" max="2320" width="11.42578125" style="2"/>
    <col min="2321" max="2321" width="11.5703125" style="2" customWidth="1"/>
    <col min="2322" max="2322" width="11.42578125" style="2"/>
    <col min="2323" max="2323" width="11.7109375" style="2" customWidth="1"/>
    <col min="2324" max="2560" width="11.42578125" style="2"/>
    <col min="2561" max="2561" width="20.28515625" style="2" customWidth="1"/>
    <col min="2562" max="2563" width="11.42578125" style="2"/>
    <col min="2564" max="2564" width="11.85546875" style="2" customWidth="1"/>
    <col min="2565" max="2569" width="11.42578125" style="2"/>
    <col min="2570" max="2570" width="11.7109375" style="2" customWidth="1"/>
    <col min="2571" max="2573" width="11.42578125" style="2"/>
    <col min="2574" max="2574" width="14" style="2" customWidth="1"/>
    <col min="2575" max="2575" width="4.5703125" style="2" customWidth="1"/>
    <col min="2576" max="2576" width="11.42578125" style="2"/>
    <col min="2577" max="2577" width="11.5703125" style="2" customWidth="1"/>
    <col min="2578" max="2578" width="11.42578125" style="2"/>
    <col min="2579" max="2579" width="11.7109375" style="2" customWidth="1"/>
    <col min="2580" max="2816" width="11.42578125" style="2"/>
    <col min="2817" max="2817" width="20.28515625" style="2" customWidth="1"/>
    <col min="2818" max="2819" width="11.42578125" style="2"/>
    <col min="2820" max="2820" width="11.85546875" style="2" customWidth="1"/>
    <col min="2821" max="2825" width="11.42578125" style="2"/>
    <col min="2826" max="2826" width="11.7109375" style="2" customWidth="1"/>
    <col min="2827" max="2829" width="11.42578125" style="2"/>
    <col min="2830" max="2830" width="14" style="2" customWidth="1"/>
    <col min="2831" max="2831" width="4.5703125" style="2" customWidth="1"/>
    <col min="2832" max="2832" width="11.42578125" style="2"/>
    <col min="2833" max="2833" width="11.5703125" style="2" customWidth="1"/>
    <col min="2834" max="2834" width="11.42578125" style="2"/>
    <col min="2835" max="2835" width="11.7109375" style="2" customWidth="1"/>
    <col min="2836" max="3072" width="11.42578125" style="2"/>
    <col min="3073" max="3073" width="20.28515625" style="2" customWidth="1"/>
    <col min="3074" max="3075" width="11.42578125" style="2"/>
    <col min="3076" max="3076" width="11.85546875" style="2" customWidth="1"/>
    <col min="3077" max="3081" width="11.42578125" style="2"/>
    <col min="3082" max="3082" width="11.7109375" style="2" customWidth="1"/>
    <col min="3083" max="3085" width="11.42578125" style="2"/>
    <col min="3086" max="3086" width="14" style="2" customWidth="1"/>
    <col min="3087" max="3087" width="4.5703125" style="2" customWidth="1"/>
    <col min="3088" max="3088" width="11.42578125" style="2"/>
    <col min="3089" max="3089" width="11.5703125" style="2" customWidth="1"/>
    <col min="3090" max="3090" width="11.42578125" style="2"/>
    <col min="3091" max="3091" width="11.7109375" style="2" customWidth="1"/>
    <col min="3092" max="3328" width="11.42578125" style="2"/>
    <col min="3329" max="3329" width="20.28515625" style="2" customWidth="1"/>
    <col min="3330" max="3331" width="11.42578125" style="2"/>
    <col min="3332" max="3332" width="11.85546875" style="2" customWidth="1"/>
    <col min="3333" max="3337" width="11.42578125" style="2"/>
    <col min="3338" max="3338" width="11.7109375" style="2" customWidth="1"/>
    <col min="3339" max="3341" width="11.42578125" style="2"/>
    <col min="3342" max="3342" width="14" style="2" customWidth="1"/>
    <col min="3343" max="3343" width="4.5703125" style="2" customWidth="1"/>
    <col min="3344" max="3344" width="11.42578125" style="2"/>
    <col min="3345" max="3345" width="11.5703125" style="2" customWidth="1"/>
    <col min="3346" max="3346" width="11.42578125" style="2"/>
    <col min="3347" max="3347" width="11.7109375" style="2" customWidth="1"/>
    <col min="3348" max="3584" width="11.42578125" style="2"/>
    <col min="3585" max="3585" width="20.28515625" style="2" customWidth="1"/>
    <col min="3586" max="3587" width="11.42578125" style="2"/>
    <col min="3588" max="3588" width="11.85546875" style="2" customWidth="1"/>
    <col min="3589" max="3593" width="11.42578125" style="2"/>
    <col min="3594" max="3594" width="11.7109375" style="2" customWidth="1"/>
    <col min="3595" max="3597" width="11.42578125" style="2"/>
    <col min="3598" max="3598" width="14" style="2" customWidth="1"/>
    <col min="3599" max="3599" width="4.5703125" style="2" customWidth="1"/>
    <col min="3600" max="3600" width="11.42578125" style="2"/>
    <col min="3601" max="3601" width="11.5703125" style="2" customWidth="1"/>
    <col min="3602" max="3602" width="11.42578125" style="2"/>
    <col min="3603" max="3603" width="11.7109375" style="2" customWidth="1"/>
    <col min="3604" max="3840" width="11.42578125" style="2"/>
    <col min="3841" max="3841" width="20.28515625" style="2" customWidth="1"/>
    <col min="3842" max="3843" width="11.42578125" style="2"/>
    <col min="3844" max="3844" width="11.85546875" style="2" customWidth="1"/>
    <col min="3845" max="3849" width="11.42578125" style="2"/>
    <col min="3850" max="3850" width="11.7109375" style="2" customWidth="1"/>
    <col min="3851" max="3853" width="11.42578125" style="2"/>
    <col min="3854" max="3854" width="14" style="2" customWidth="1"/>
    <col min="3855" max="3855" width="4.5703125" style="2" customWidth="1"/>
    <col min="3856" max="3856" width="11.42578125" style="2"/>
    <col min="3857" max="3857" width="11.5703125" style="2" customWidth="1"/>
    <col min="3858" max="3858" width="11.42578125" style="2"/>
    <col min="3859" max="3859" width="11.7109375" style="2" customWidth="1"/>
    <col min="3860" max="4096" width="11.42578125" style="2"/>
    <col min="4097" max="4097" width="20.28515625" style="2" customWidth="1"/>
    <col min="4098" max="4099" width="11.42578125" style="2"/>
    <col min="4100" max="4100" width="11.85546875" style="2" customWidth="1"/>
    <col min="4101" max="4105" width="11.42578125" style="2"/>
    <col min="4106" max="4106" width="11.7109375" style="2" customWidth="1"/>
    <col min="4107" max="4109" width="11.42578125" style="2"/>
    <col min="4110" max="4110" width="14" style="2" customWidth="1"/>
    <col min="4111" max="4111" width="4.5703125" style="2" customWidth="1"/>
    <col min="4112" max="4112" width="11.42578125" style="2"/>
    <col min="4113" max="4113" width="11.5703125" style="2" customWidth="1"/>
    <col min="4114" max="4114" width="11.42578125" style="2"/>
    <col min="4115" max="4115" width="11.7109375" style="2" customWidth="1"/>
    <col min="4116" max="4352" width="11.42578125" style="2"/>
    <col min="4353" max="4353" width="20.28515625" style="2" customWidth="1"/>
    <col min="4354" max="4355" width="11.42578125" style="2"/>
    <col min="4356" max="4356" width="11.85546875" style="2" customWidth="1"/>
    <col min="4357" max="4361" width="11.42578125" style="2"/>
    <col min="4362" max="4362" width="11.7109375" style="2" customWidth="1"/>
    <col min="4363" max="4365" width="11.42578125" style="2"/>
    <col min="4366" max="4366" width="14" style="2" customWidth="1"/>
    <col min="4367" max="4367" width="4.5703125" style="2" customWidth="1"/>
    <col min="4368" max="4368" width="11.42578125" style="2"/>
    <col min="4369" max="4369" width="11.5703125" style="2" customWidth="1"/>
    <col min="4370" max="4370" width="11.42578125" style="2"/>
    <col min="4371" max="4371" width="11.7109375" style="2" customWidth="1"/>
    <col min="4372" max="4608" width="11.42578125" style="2"/>
    <col min="4609" max="4609" width="20.28515625" style="2" customWidth="1"/>
    <col min="4610" max="4611" width="11.42578125" style="2"/>
    <col min="4612" max="4612" width="11.85546875" style="2" customWidth="1"/>
    <col min="4613" max="4617" width="11.42578125" style="2"/>
    <col min="4618" max="4618" width="11.7109375" style="2" customWidth="1"/>
    <col min="4619" max="4621" width="11.42578125" style="2"/>
    <col min="4622" max="4622" width="14" style="2" customWidth="1"/>
    <col min="4623" max="4623" width="4.5703125" style="2" customWidth="1"/>
    <col min="4624" max="4624" width="11.42578125" style="2"/>
    <col min="4625" max="4625" width="11.5703125" style="2" customWidth="1"/>
    <col min="4626" max="4626" width="11.42578125" style="2"/>
    <col min="4627" max="4627" width="11.7109375" style="2" customWidth="1"/>
    <col min="4628" max="4864" width="11.42578125" style="2"/>
    <col min="4865" max="4865" width="20.28515625" style="2" customWidth="1"/>
    <col min="4866" max="4867" width="11.42578125" style="2"/>
    <col min="4868" max="4868" width="11.85546875" style="2" customWidth="1"/>
    <col min="4869" max="4873" width="11.42578125" style="2"/>
    <col min="4874" max="4874" width="11.7109375" style="2" customWidth="1"/>
    <col min="4875" max="4877" width="11.42578125" style="2"/>
    <col min="4878" max="4878" width="14" style="2" customWidth="1"/>
    <col min="4879" max="4879" width="4.5703125" style="2" customWidth="1"/>
    <col min="4880" max="4880" width="11.42578125" style="2"/>
    <col min="4881" max="4881" width="11.5703125" style="2" customWidth="1"/>
    <col min="4882" max="4882" width="11.42578125" style="2"/>
    <col min="4883" max="4883" width="11.7109375" style="2" customWidth="1"/>
    <col min="4884" max="5120" width="11.42578125" style="2"/>
    <col min="5121" max="5121" width="20.28515625" style="2" customWidth="1"/>
    <col min="5122" max="5123" width="11.42578125" style="2"/>
    <col min="5124" max="5124" width="11.85546875" style="2" customWidth="1"/>
    <col min="5125" max="5129" width="11.42578125" style="2"/>
    <col min="5130" max="5130" width="11.7109375" style="2" customWidth="1"/>
    <col min="5131" max="5133" width="11.42578125" style="2"/>
    <col min="5134" max="5134" width="14" style="2" customWidth="1"/>
    <col min="5135" max="5135" width="4.5703125" style="2" customWidth="1"/>
    <col min="5136" max="5136" width="11.42578125" style="2"/>
    <col min="5137" max="5137" width="11.5703125" style="2" customWidth="1"/>
    <col min="5138" max="5138" width="11.42578125" style="2"/>
    <col min="5139" max="5139" width="11.7109375" style="2" customWidth="1"/>
    <col min="5140" max="5376" width="11.42578125" style="2"/>
    <col min="5377" max="5377" width="20.28515625" style="2" customWidth="1"/>
    <col min="5378" max="5379" width="11.42578125" style="2"/>
    <col min="5380" max="5380" width="11.85546875" style="2" customWidth="1"/>
    <col min="5381" max="5385" width="11.42578125" style="2"/>
    <col min="5386" max="5386" width="11.7109375" style="2" customWidth="1"/>
    <col min="5387" max="5389" width="11.42578125" style="2"/>
    <col min="5390" max="5390" width="14" style="2" customWidth="1"/>
    <col min="5391" max="5391" width="4.5703125" style="2" customWidth="1"/>
    <col min="5392" max="5392" width="11.42578125" style="2"/>
    <col min="5393" max="5393" width="11.5703125" style="2" customWidth="1"/>
    <col min="5394" max="5394" width="11.42578125" style="2"/>
    <col min="5395" max="5395" width="11.7109375" style="2" customWidth="1"/>
    <col min="5396" max="5632" width="11.42578125" style="2"/>
    <col min="5633" max="5633" width="20.28515625" style="2" customWidth="1"/>
    <col min="5634" max="5635" width="11.42578125" style="2"/>
    <col min="5636" max="5636" width="11.85546875" style="2" customWidth="1"/>
    <col min="5637" max="5641" width="11.42578125" style="2"/>
    <col min="5642" max="5642" width="11.7109375" style="2" customWidth="1"/>
    <col min="5643" max="5645" width="11.42578125" style="2"/>
    <col min="5646" max="5646" width="14" style="2" customWidth="1"/>
    <col min="5647" max="5647" width="4.5703125" style="2" customWidth="1"/>
    <col min="5648" max="5648" width="11.42578125" style="2"/>
    <col min="5649" max="5649" width="11.5703125" style="2" customWidth="1"/>
    <col min="5650" max="5650" width="11.42578125" style="2"/>
    <col min="5651" max="5651" width="11.7109375" style="2" customWidth="1"/>
    <col min="5652" max="5888" width="11.42578125" style="2"/>
    <col min="5889" max="5889" width="20.28515625" style="2" customWidth="1"/>
    <col min="5890" max="5891" width="11.42578125" style="2"/>
    <col min="5892" max="5892" width="11.85546875" style="2" customWidth="1"/>
    <col min="5893" max="5897" width="11.42578125" style="2"/>
    <col min="5898" max="5898" width="11.7109375" style="2" customWidth="1"/>
    <col min="5899" max="5901" width="11.42578125" style="2"/>
    <col min="5902" max="5902" width="14" style="2" customWidth="1"/>
    <col min="5903" max="5903" width="4.5703125" style="2" customWidth="1"/>
    <col min="5904" max="5904" width="11.42578125" style="2"/>
    <col min="5905" max="5905" width="11.5703125" style="2" customWidth="1"/>
    <col min="5906" max="5906" width="11.42578125" style="2"/>
    <col min="5907" max="5907" width="11.7109375" style="2" customWidth="1"/>
    <col min="5908" max="6144" width="11.42578125" style="2"/>
    <col min="6145" max="6145" width="20.28515625" style="2" customWidth="1"/>
    <col min="6146" max="6147" width="11.42578125" style="2"/>
    <col min="6148" max="6148" width="11.85546875" style="2" customWidth="1"/>
    <col min="6149" max="6153" width="11.42578125" style="2"/>
    <col min="6154" max="6154" width="11.7109375" style="2" customWidth="1"/>
    <col min="6155" max="6157" width="11.42578125" style="2"/>
    <col min="6158" max="6158" width="14" style="2" customWidth="1"/>
    <col min="6159" max="6159" width="4.5703125" style="2" customWidth="1"/>
    <col min="6160" max="6160" width="11.42578125" style="2"/>
    <col min="6161" max="6161" width="11.5703125" style="2" customWidth="1"/>
    <col min="6162" max="6162" width="11.42578125" style="2"/>
    <col min="6163" max="6163" width="11.7109375" style="2" customWidth="1"/>
    <col min="6164" max="6400" width="11.42578125" style="2"/>
    <col min="6401" max="6401" width="20.28515625" style="2" customWidth="1"/>
    <col min="6402" max="6403" width="11.42578125" style="2"/>
    <col min="6404" max="6404" width="11.85546875" style="2" customWidth="1"/>
    <col min="6405" max="6409" width="11.42578125" style="2"/>
    <col min="6410" max="6410" width="11.7109375" style="2" customWidth="1"/>
    <col min="6411" max="6413" width="11.42578125" style="2"/>
    <col min="6414" max="6414" width="14" style="2" customWidth="1"/>
    <col min="6415" max="6415" width="4.5703125" style="2" customWidth="1"/>
    <col min="6416" max="6416" width="11.42578125" style="2"/>
    <col min="6417" max="6417" width="11.5703125" style="2" customWidth="1"/>
    <col min="6418" max="6418" width="11.42578125" style="2"/>
    <col min="6419" max="6419" width="11.7109375" style="2" customWidth="1"/>
    <col min="6420" max="6656" width="11.42578125" style="2"/>
    <col min="6657" max="6657" width="20.28515625" style="2" customWidth="1"/>
    <col min="6658" max="6659" width="11.42578125" style="2"/>
    <col min="6660" max="6660" width="11.85546875" style="2" customWidth="1"/>
    <col min="6661" max="6665" width="11.42578125" style="2"/>
    <col min="6666" max="6666" width="11.7109375" style="2" customWidth="1"/>
    <col min="6667" max="6669" width="11.42578125" style="2"/>
    <col min="6670" max="6670" width="14" style="2" customWidth="1"/>
    <col min="6671" max="6671" width="4.5703125" style="2" customWidth="1"/>
    <col min="6672" max="6672" width="11.42578125" style="2"/>
    <col min="6673" max="6673" width="11.5703125" style="2" customWidth="1"/>
    <col min="6674" max="6674" width="11.42578125" style="2"/>
    <col min="6675" max="6675" width="11.7109375" style="2" customWidth="1"/>
    <col min="6676" max="6912" width="11.42578125" style="2"/>
    <col min="6913" max="6913" width="20.28515625" style="2" customWidth="1"/>
    <col min="6914" max="6915" width="11.42578125" style="2"/>
    <col min="6916" max="6916" width="11.85546875" style="2" customWidth="1"/>
    <col min="6917" max="6921" width="11.42578125" style="2"/>
    <col min="6922" max="6922" width="11.7109375" style="2" customWidth="1"/>
    <col min="6923" max="6925" width="11.42578125" style="2"/>
    <col min="6926" max="6926" width="14" style="2" customWidth="1"/>
    <col min="6927" max="6927" width="4.5703125" style="2" customWidth="1"/>
    <col min="6928" max="6928" width="11.42578125" style="2"/>
    <col min="6929" max="6929" width="11.5703125" style="2" customWidth="1"/>
    <col min="6930" max="6930" width="11.42578125" style="2"/>
    <col min="6931" max="6931" width="11.7109375" style="2" customWidth="1"/>
    <col min="6932" max="7168" width="11.42578125" style="2"/>
    <col min="7169" max="7169" width="20.28515625" style="2" customWidth="1"/>
    <col min="7170" max="7171" width="11.42578125" style="2"/>
    <col min="7172" max="7172" width="11.85546875" style="2" customWidth="1"/>
    <col min="7173" max="7177" width="11.42578125" style="2"/>
    <col min="7178" max="7178" width="11.7109375" style="2" customWidth="1"/>
    <col min="7179" max="7181" width="11.42578125" style="2"/>
    <col min="7182" max="7182" width="14" style="2" customWidth="1"/>
    <col min="7183" max="7183" width="4.5703125" style="2" customWidth="1"/>
    <col min="7184" max="7184" width="11.42578125" style="2"/>
    <col min="7185" max="7185" width="11.5703125" style="2" customWidth="1"/>
    <col min="7186" max="7186" width="11.42578125" style="2"/>
    <col min="7187" max="7187" width="11.7109375" style="2" customWidth="1"/>
    <col min="7188" max="7424" width="11.42578125" style="2"/>
    <col min="7425" max="7425" width="20.28515625" style="2" customWidth="1"/>
    <col min="7426" max="7427" width="11.42578125" style="2"/>
    <col min="7428" max="7428" width="11.85546875" style="2" customWidth="1"/>
    <col min="7429" max="7433" width="11.42578125" style="2"/>
    <col min="7434" max="7434" width="11.7109375" style="2" customWidth="1"/>
    <col min="7435" max="7437" width="11.42578125" style="2"/>
    <col min="7438" max="7438" width="14" style="2" customWidth="1"/>
    <col min="7439" max="7439" width="4.5703125" style="2" customWidth="1"/>
    <col min="7440" max="7440" width="11.42578125" style="2"/>
    <col min="7441" max="7441" width="11.5703125" style="2" customWidth="1"/>
    <col min="7442" max="7442" width="11.42578125" style="2"/>
    <col min="7443" max="7443" width="11.7109375" style="2" customWidth="1"/>
    <col min="7444" max="7680" width="11.42578125" style="2"/>
    <col min="7681" max="7681" width="20.28515625" style="2" customWidth="1"/>
    <col min="7682" max="7683" width="11.42578125" style="2"/>
    <col min="7684" max="7684" width="11.85546875" style="2" customWidth="1"/>
    <col min="7685" max="7689" width="11.42578125" style="2"/>
    <col min="7690" max="7690" width="11.7109375" style="2" customWidth="1"/>
    <col min="7691" max="7693" width="11.42578125" style="2"/>
    <col min="7694" max="7694" width="14" style="2" customWidth="1"/>
    <col min="7695" max="7695" width="4.5703125" style="2" customWidth="1"/>
    <col min="7696" max="7696" width="11.42578125" style="2"/>
    <col min="7697" max="7697" width="11.5703125" style="2" customWidth="1"/>
    <col min="7698" max="7698" width="11.42578125" style="2"/>
    <col min="7699" max="7699" width="11.7109375" style="2" customWidth="1"/>
    <col min="7700" max="7936" width="11.42578125" style="2"/>
    <col min="7937" max="7937" width="20.28515625" style="2" customWidth="1"/>
    <col min="7938" max="7939" width="11.42578125" style="2"/>
    <col min="7940" max="7940" width="11.85546875" style="2" customWidth="1"/>
    <col min="7941" max="7945" width="11.42578125" style="2"/>
    <col min="7946" max="7946" width="11.7109375" style="2" customWidth="1"/>
    <col min="7947" max="7949" width="11.42578125" style="2"/>
    <col min="7950" max="7950" width="14" style="2" customWidth="1"/>
    <col min="7951" max="7951" width="4.5703125" style="2" customWidth="1"/>
    <col min="7952" max="7952" width="11.42578125" style="2"/>
    <col min="7953" max="7953" width="11.5703125" style="2" customWidth="1"/>
    <col min="7954" max="7954" width="11.42578125" style="2"/>
    <col min="7955" max="7955" width="11.7109375" style="2" customWidth="1"/>
    <col min="7956" max="8192" width="11.42578125" style="2"/>
    <col min="8193" max="8193" width="20.28515625" style="2" customWidth="1"/>
    <col min="8194" max="8195" width="11.42578125" style="2"/>
    <col min="8196" max="8196" width="11.85546875" style="2" customWidth="1"/>
    <col min="8197" max="8201" width="11.42578125" style="2"/>
    <col min="8202" max="8202" width="11.7109375" style="2" customWidth="1"/>
    <col min="8203" max="8205" width="11.42578125" style="2"/>
    <col min="8206" max="8206" width="14" style="2" customWidth="1"/>
    <col min="8207" max="8207" width="4.5703125" style="2" customWidth="1"/>
    <col min="8208" max="8208" width="11.42578125" style="2"/>
    <col min="8209" max="8209" width="11.5703125" style="2" customWidth="1"/>
    <col min="8210" max="8210" width="11.42578125" style="2"/>
    <col min="8211" max="8211" width="11.7109375" style="2" customWidth="1"/>
    <col min="8212" max="8448" width="11.42578125" style="2"/>
    <col min="8449" max="8449" width="20.28515625" style="2" customWidth="1"/>
    <col min="8450" max="8451" width="11.42578125" style="2"/>
    <col min="8452" max="8452" width="11.85546875" style="2" customWidth="1"/>
    <col min="8453" max="8457" width="11.42578125" style="2"/>
    <col min="8458" max="8458" width="11.7109375" style="2" customWidth="1"/>
    <col min="8459" max="8461" width="11.42578125" style="2"/>
    <col min="8462" max="8462" width="14" style="2" customWidth="1"/>
    <col min="8463" max="8463" width="4.5703125" style="2" customWidth="1"/>
    <col min="8464" max="8464" width="11.42578125" style="2"/>
    <col min="8465" max="8465" width="11.5703125" style="2" customWidth="1"/>
    <col min="8466" max="8466" width="11.42578125" style="2"/>
    <col min="8467" max="8467" width="11.7109375" style="2" customWidth="1"/>
    <col min="8468" max="8704" width="11.42578125" style="2"/>
    <col min="8705" max="8705" width="20.28515625" style="2" customWidth="1"/>
    <col min="8706" max="8707" width="11.42578125" style="2"/>
    <col min="8708" max="8708" width="11.85546875" style="2" customWidth="1"/>
    <col min="8709" max="8713" width="11.42578125" style="2"/>
    <col min="8714" max="8714" width="11.7109375" style="2" customWidth="1"/>
    <col min="8715" max="8717" width="11.42578125" style="2"/>
    <col min="8718" max="8718" width="14" style="2" customWidth="1"/>
    <col min="8719" max="8719" width="4.5703125" style="2" customWidth="1"/>
    <col min="8720" max="8720" width="11.42578125" style="2"/>
    <col min="8721" max="8721" width="11.5703125" style="2" customWidth="1"/>
    <col min="8722" max="8722" width="11.42578125" style="2"/>
    <col min="8723" max="8723" width="11.7109375" style="2" customWidth="1"/>
    <col min="8724" max="8960" width="11.42578125" style="2"/>
    <col min="8961" max="8961" width="20.28515625" style="2" customWidth="1"/>
    <col min="8962" max="8963" width="11.42578125" style="2"/>
    <col min="8964" max="8964" width="11.85546875" style="2" customWidth="1"/>
    <col min="8965" max="8969" width="11.42578125" style="2"/>
    <col min="8970" max="8970" width="11.7109375" style="2" customWidth="1"/>
    <col min="8971" max="8973" width="11.42578125" style="2"/>
    <col min="8974" max="8974" width="14" style="2" customWidth="1"/>
    <col min="8975" max="8975" width="4.5703125" style="2" customWidth="1"/>
    <col min="8976" max="8976" width="11.42578125" style="2"/>
    <col min="8977" max="8977" width="11.5703125" style="2" customWidth="1"/>
    <col min="8978" max="8978" width="11.42578125" style="2"/>
    <col min="8979" max="8979" width="11.7109375" style="2" customWidth="1"/>
    <col min="8980" max="9216" width="11.42578125" style="2"/>
    <col min="9217" max="9217" width="20.28515625" style="2" customWidth="1"/>
    <col min="9218" max="9219" width="11.42578125" style="2"/>
    <col min="9220" max="9220" width="11.85546875" style="2" customWidth="1"/>
    <col min="9221" max="9225" width="11.42578125" style="2"/>
    <col min="9226" max="9226" width="11.7109375" style="2" customWidth="1"/>
    <col min="9227" max="9229" width="11.42578125" style="2"/>
    <col min="9230" max="9230" width="14" style="2" customWidth="1"/>
    <col min="9231" max="9231" width="4.5703125" style="2" customWidth="1"/>
    <col min="9232" max="9232" width="11.42578125" style="2"/>
    <col min="9233" max="9233" width="11.5703125" style="2" customWidth="1"/>
    <col min="9234" max="9234" width="11.42578125" style="2"/>
    <col min="9235" max="9235" width="11.7109375" style="2" customWidth="1"/>
    <col min="9236" max="9472" width="11.42578125" style="2"/>
    <col min="9473" max="9473" width="20.28515625" style="2" customWidth="1"/>
    <col min="9474" max="9475" width="11.42578125" style="2"/>
    <col min="9476" max="9476" width="11.85546875" style="2" customWidth="1"/>
    <col min="9477" max="9481" width="11.42578125" style="2"/>
    <col min="9482" max="9482" width="11.7109375" style="2" customWidth="1"/>
    <col min="9483" max="9485" width="11.42578125" style="2"/>
    <col min="9486" max="9486" width="14" style="2" customWidth="1"/>
    <col min="9487" max="9487" width="4.5703125" style="2" customWidth="1"/>
    <col min="9488" max="9488" width="11.42578125" style="2"/>
    <col min="9489" max="9489" width="11.5703125" style="2" customWidth="1"/>
    <col min="9490" max="9490" width="11.42578125" style="2"/>
    <col min="9491" max="9491" width="11.7109375" style="2" customWidth="1"/>
    <col min="9492" max="9728" width="11.42578125" style="2"/>
    <col min="9729" max="9729" width="20.28515625" style="2" customWidth="1"/>
    <col min="9730" max="9731" width="11.42578125" style="2"/>
    <col min="9732" max="9732" width="11.85546875" style="2" customWidth="1"/>
    <col min="9733" max="9737" width="11.42578125" style="2"/>
    <col min="9738" max="9738" width="11.7109375" style="2" customWidth="1"/>
    <col min="9739" max="9741" width="11.42578125" style="2"/>
    <col min="9742" max="9742" width="14" style="2" customWidth="1"/>
    <col min="9743" max="9743" width="4.5703125" style="2" customWidth="1"/>
    <col min="9744" max="9744" width="11.42578125" style="2"/>
    <col min="9745" max="9745" width="11.5703125" style="2" customWidth="1"/>
    <col min="9746" max="9746" width="11.42578125" style="2"/>
    <col min="9747" max="9747" width="11.7109375" style="2" customWidth="1"/>
    <col min="9748" max="9984" width="11.42578125" style="2"/>
    <col min="9985" max="9985" width="20.28515625" style="2" customWidth="1"/>
    <col min="9986" max="9987" width="11.42578125" style="2"/>
    <col min="9988" max="9988" width="11.85546875" style="2" customWidth="1"/>
    <col min="9989" max="9993" width="11.42578125" style="2"/>
    <col min="9994" max="9994" width="11.7109375" style="2" customWidth="1"/>
    <col min="9995" max="9997" width="11.42578125" style="2"/>
    <col min="9998" max="9998" width="14" style="2" customWidth="1"/>
    <col min="9999" max="9999" width="4.5703125" style="2" customWidth="1"/>
    <col min="10000" max="10000" width="11.42578125" style="2"/>
    <col min="10001" max="10001" width="11.5703125" style="2" customWidth="1"/>
    <col min="10002" max="10002" width="11.42578125" style="2"/>
    <col min="10003" max="10003" width="11.7109375" style="2" customWidth="1"/>
    <col min="10004" max="10240" width="11.42578125" style="2"/>
    <col min="10241" max="10241" width="20.28515625" style="2" customWidth="1"/>
    <col min="10242" max="10243" width="11.42578125" style="2"/>
    <col min="10244" max="10244" width="11.85546875" style="2" customWidth="1"/>
    <col min="10245" max="10249" width="11.42578125" style="2"/>
    <col min="10250" max="10250" width="11.7109375" style="2" customWidth="1"/>
    <col min="10251" max="10253" width="11.42578125" style="2"/>
    <col min="10254" max="10254" width="14" style="2" customWidth="1"/>
    <col min="10255" max="10255" width="4.5703125" style="2" customWidth="1"/>
    <col min="10256" max="10256" width="11.42578125" style="2"/>
    <col min="10257" max="10257" width="11.5703125" style="2" customWidth="1"/>
    <col min="10258" max="10258" width="11.42578125" style="2"/>
    <col min="10259" max="10259" width="11.7109375" style="2" customWidth="1"/>
    <col min="10260" max="10496" width="11.42578125" style="2"/>
    <col min="10497" max="10497" width="20.28515625" style="2" customWidth="1"/>
    <col min="10498" max="10499" width="11.42578125" style="2"/>
    <col min="10500" max="10500" width="11.85546875" style="2" customWidth="1"/>
    <col min="10501" max="10505" width="11.42578125" style="2"/>
    <col min="10506" max="10506" width="11.7109375" style="2" customWidth="1"/>
    <col min="10507" max="10509" width="11.42578125" style="2"/>
    <col min="10510" max="10510" width="14" style="2" customWidth="1"/>
    <col min="10511" max="10511" width="4.5703125" style="2" customWidth="1"/>
    <col min="10512" max="10512" width="11.42578125" style="2"/>
    <col min="10513" max="10513" width="11.5703125" style="2" customWidth="1"/>
    <col min="10514" max="10514" width="11.42578125" style="2"/>
    <col min="10515" max="10515" width="11.7109375" style="2" customWidth="1"/>
    <col min="10516" max="10752" width="11.42578125" style="2"/>
    <col min="10753" max="10753" width="20.28515625" style="2" customWidth="1"/>
    <col min="10754" max="10755" width="11.42578125" style="2"/>
    <col min="10756" max="10756" width="11.85546875" style="2" customWidth="1"/>
    <col min="10757" max="10761" width="11.42578125" style="2"/>
    <col min="10762" max="10762" width="11.7109375" style="2" customWidth="1"/>
    <col min="10763" max="10765" width="11.42578125" style="2"/>
    <col min="10766" max="10766" width="14" style="2" customWidth="1"/>
    <col min="10767" max="10767" width="4.5703125" style="2" customWidth="1"/>
    <col min="10768" max="10768" width="11.42578125" style="2"/>
    <col min="10769" max="10769" width="11.5703125" style="2" customWidth="1"/>
    <col min="10770" max="10770" width="11.42578125" style="2"/>
    <col min="10771" max="10771" width="11.7109375" style="2" customWidth="1"/>
    <col min="10772" max="11008" width="11.42578125" style="2"/>
    <col min="11009" max="11009" width="20.28515625" style="2" customWidth="1"/>
    <col min="11010" max="11011" width="11.42578125" style="2"/>
    <col min="11012" max="11012" width="11.85546875" style="2" customWidth="1"/>
    <col min="11013" max="11017" width="11.42578125" style="2"/>
    <col min="11018" max="11018" width="11.7109375" style="2" customWidth="1"/>
    <col min="11019" max="11021" width="11.42578125" style="2"/>
    <col min="11022" max="11022" width="14" style="2" customWidth="1"/>
    <col min="11023" max="11023" width="4.5703125" style="2" customWidth="1"/>
    <col min="11024" max="11024" width="11.42578125" style="2"/>
    <col min="11025" max="11025" width="11.5703125" style="2" customWidth="1"/>
    <col min="11026" max="11026" width="11.42578125" style="2"/>
    <col min="11027" max="11027" width="11.7109375" style="2" customWidth="1"/>
    <col min="11028" max="11264" width="11.42578125" style="2"/>
    <col min="11265" max="11265" width="20.28515625" style="2" customWidth="1"/>
    <col min="11266" max="11267" width="11.42578125" style="2"/>
    <col min="11268" max="11268" width="11.85546875" style="2" customWidth="1"/>
    <col min="11269" max="11273" width="11.42578125" style="2"/>
    <col min="11274" max="11274" width="11.7109375" style="2" customWidth="1"/>
    <col min="11275" max="11277" width="11.42578125" style="2"/>
    <col min="11278" max="11278" width="14" style="2" customWidth="1"/>
    <col min="11279" max="11279" width="4.5703125" style="2" customWidth="1"/>
    <col min="11280" max="11280" width="11.42578125" style="2"/>
    <col min="11281" max="11281" width="11.5703125" style="2" customWidth="1"/>
    <col min="11282" max="11282" width="11.42578125" style="2"/>
    <col min="11283" max="11283" width="11.7109375" style="2" customWidth="1"/>
    <col min="11284" max="11520" width="11.42578125" style="2"/>
    <col min="11521" max="11521" width="20.28515625" style="2" customWidth="1"/>
    <col min="11522" max="11523" width="11.42578125" style="2"/>
    <col min="11524" max="11524" width="11.85546875" style="2" customWidth="1"/>
    <col min="11525" max="11529" width="11.42578125" style="2"/>
    <col min="11530" max="11530" width="11.7109375" style="2" customWidth="1"/>
    <col min="11531" max="11533" width="11.42578125" style="2"/>
    <col min="11534" max="11534" width="14" style="2" customWidth="1"/>
    <col min="11535" max="11535" width="4.5703125" style="2" customWidth="1"/>
    <col min="11536" max="11536" width="11.42578125" style="2"/>
    <col min="11537" max="11537" width="11.5703125" style="2" customWidth="1"/>
    <col min="11538" max="11538" width="11.42578125" style="2"/>
    <col min="11539" max="11539" width="11.7109375" style="2" customWidth="1"/>
    <col min="11540" max="11776" width="11.42578125" style="2"/>
    <col min="11777" max="11777" width="20.28515625" style="2" customWidth="1"/>
    <col min="11778" max="11779" width="11.42578125" style="2"/>
    <col min="11780" max="11780" width="11.85546875" style="2" customWidth="1"/>
    <col min="11781" max="11785" width="11.42578125" style="2"/>
    <col min="11786" max="11786" width="11.7109375" style="2" customWidth="1"/>
    <col min="11787" max="11789" width="11.42578125" style="2"/>
    <col min="11790" max="11790" width="14" style="2" customWidth="1"/>
    <col min="11791" max="11791" width="4.5703125" style="2" customWidth="1"/>
    <col min="11792" max="11792" width="11.42578125" style="2"/>
    <col min="11793" max="11793" width="11.5703125" style="2" customWidth="1"/>
    <col min="11794" max="11794" width="11.42578125" style="2"/>
    <col min="11795" max="11795" width="11.7109375" style="2" customWidth="1"/>
    <col min="11796" max="12032" width="11.42578125" style="2"/>
    <col min="12033" max="12033" width="20.28515625" style="2" customWidth="1"/>
    <col min="12034" max="12035" width="11.42578125" style="2"/>
    <col min="12036" max="12036" width="11.85546875" style="2" customWidth="1"/>
    <col min="12037" max="12041" width="11.42578125" style="2"/>
    <col min="12042" max="12042" width="11.7109375" style="2" customWidth="1"/>
    <col min="12043" max="12045" width="11.42578125" style="2"/>
    <col min="12046" max="12046" width="14" style="2" customWidth="1"/>
    <col min="12047" max="12047" width="4.5703125" style="2" customWidth="1"/>
    <col min="12048" max="12048" width="11.42578125" style="2"/>
    <col min="12049" max="12049" width="11.5703125" style="2" customWidth="1"/>
    <col min="12050" max="12050" width="11.42578125" style="2"/>
    <col min="12051" max="12051" width="11.7109375" style="2" customWidth="1"/>
    <col min="12052" max="12288" width="11.42578125" style="2"/>
    <col min="12289" max="12289" width="20.28515625" style="2" customWidth="1"/>
    <col min="12290" max="12291" width="11.42578125" style="2"/>
    <col min="12292" max="12292" width="11.85546875" style="2" customWidth="1"/>
    <col min="12293" max="12297" width="11.42578125" style="2"/>
    <col min="12298" max="12298" width="11.7109375" style="2" customWidth="1"/>
    <col min="12299" max="12301" width="11.42578125" style="2"/>
    <col min="12302" max="12302" width="14" style="2" customWidth="1"/>
    <col min="12303" max="12303" width="4.5703125" style="2" customWidth="1"/>
    <col min="12304" max="12304" width="11.42578125" style="2"/>
    <col min="12305" max="12305" width="11.5703125" style="2" customWidth="1"/>
    <col min="12306" max="12306" width="11.42578125" style="2"/>
    <col min="12307" max="12307" width="11.7109375" style="2" customWidth="1"/>
    <col min="12308" max="12544" width="11.42578125" style="2"/>
    <col min="12545" max="12545" width="20.28515625" style="2" customWidth="1"/>
    <col min="12546" max="12547" width="11.42578125" style="2"/>
    <col min="12548" max="12548" width="11.85546875" style="2" customWidth="1"/>
    <col min="12549" max="12553" width="11.42578125" style="2"/>
    <col min="12554" max="12554" width="11.7109375" style="2" customWidth="1"/>
    <col min="12555" max="12557" width="11.42578125" style="2"/>
    <col min="12558" max="12558" width="14" style="2" customWidth="1"/>
    <col min="12559" max="12559" width="4.5703125" style="2" customWidth="1"/>
    <col min="12560" max="12560" width="11.42578125" style="2"/>
    <col min="12561" max="12561" width="11.5703125" style="2" customWidth="1"/>
    <col min="12562" max="12562" width="11.42578125" style="2"/>
    <col min="12563" max="12563" width="11.7109375" style="2" customWidth="1"/>
    <col min="12564" max="12800" width="11.42578125" style="2"/>
    <col min="12801" max="12801" width="20.28515625" style="2" customWidth="1"/>
    <col min="12802" max="12803" width="11.42578125" style="2"/>
    <col min="12804" max="12804" width="11.85546875" style="2" customWidth="1"/>
    <col min="12805" max="12809" width="11.42578125" style="2"/>
    <col min="12810" max="12810" width="11.7109375" style="2" customWidth="1"/>
    <col min="12811" max="12813" width="11.42578125" style="2"/>
    <col min="12814" max="12814" width="14" style="2" customWidth="1"/>
    <col min="12815" max="12815" width="4.5703125" style="2" customWidth="1"/>
    <col min="12816" max="12816" width="11.42578125" style="2"/>
    <col min="12817" max="12817" width="11.5703125" style="2" customWidth="1"/>
    <col min="12818" max="12818" width="11.42578125" style="2"/>
    <col min="12819" max="12819" width="11.7109375" style="2" customWidth="1"/>
    <col min="12820" max="13056" width="11.42578125" style="2"/>
    <col min="13057" max="13057" width="20.28515625" style="2" customWidth="1"/>
    <col min="13058" max="13059" width="11.42578125" style="2"/>
    <col min="13060" max="13060" width="11.85546875" style="2" customWidth="1"/>
    <col min="13061" max="13065" width="11.42578125" style="2"/>
    <col min="13066" max="13066" width="11.7109375" style="2" customWidth="1"/>
    <col min="13067" max="13069" width="11.42578125" style="2"/>
    <col min="13070" max="13070" width="14" style="2" customWidth="1"/>
    <col min="13071" max="13071" width="4.5703125" style="2" customWidth="1"/>
    <col min="13072" max="13072" width="11.42578125" style="2"/>
    <col min="13073" max="13073" width="11.5703125" style="2" customWidth="1"/>
    <col min="13074" max="13074" width="11.42578125" style="2"/>
    <col min="13075" max="13075" width="11.7109375" style="2" customWidth="1"/>
    <col min="13076" max="13312" width="11.42578125" style="2"/>
    <col min="13313" max="13313" width="20.28515625" style="2" customWidth="1"/>
    <col min="13314" max="13315" width="11.42578125" style="2"/>
    <col min="13316" max="13316" width="11.85546875" style="2" customWidth="1"/>
    <col min="13317" max="13321" width="11.42578125" style="2"/>
    <col min="13322" max="13322" width="11.7109375" style="2" customWidth="1"/>
    <col min="13323" max="13325" width="11.42578125" style="2"/>
    <col min="13326" max="13326" width="14" style="2" customWidth="1"/>
    <col min="13327" max="13327" width="4.5703125" style="2" customWidth="1"/>
    <col min="13328" max="13328" width="11.42578125" style="2"/>
    <col min="13329" max="13329" width="11.5703125" style="2" customWidth="1"/>
    <col min="13330" max="13330" width="11.42578125" style="2"/>
    <col min="13331" max="13331" width="11.7109375" style="2" customWidth="1"/>
    <col min="13332" max="13568" width="11.42578125" style="2"/>
    <col min="13569" max="13569" width="20.28515625" style="2" customWidth="1"/>
    <col min="13570" max="13571" width="11.42578125" style="2"/>
    <col min="13572" max="13572" width="11.85546875" style="2" customWidth="1"/>
    <col min="13573" max="13577" width="11.42578125" style="2"/>
    <col min="13578" max="13578" width="11.7109375" style="2" customWidth="1"/>
    <col min="13579" max="13581" width="11.42578125" style="2"/>
    <col min="13582" max="13582" width="14" style="2" customWidth="1"/>
    <col min="13583" max="13583" width="4.5703125" style="2" customWidth="1"/>
    <col min="13584" max="13584" width="11.42578125" style="2"/>
    <col min="13585" max="13585" width="11.5703125" style="2" customWidth="1"/>
    <col min="13586" max="13586" width="11.42578125" style="2"/>
    <col min="13587" max="13587" width="11.7109375" style="2" customWidth="1"/>
    <col min="13588" max="13824" width="11.42578125" style="2"/>
    <col min="13825" max="13825" width="20.28515625" style="2" customWidth="1"/>
    <col min="13826" max="13827" width="11.42578125" style="2"/>
    <col min="13828" max="13828" width="11.85546875" style="2" customWidth="1"/>
    <col min="13829" max="13833" width="11.42578125" style="2"/>
    <col min="13834" max="13834" width="11.7109375" style="2" customWidth="1"/>
    <col min="13835" max="13837" width="11.42578125" style="2"/>
    <col min="13838" max="13838" width="14" style="2" customWidth="1"/>
    <col min="13839" max="13839" width="4.5703125" style="2" customWidth="1"/>
    <col min="13840" max="13840" width="11.42578125" style="2"/>
    <col min="13841" max="13841" width="11.5703125" style="2" customWidth="1"/>
    <col min="13842" max="13842" width="11.42578125" style="2"/>
    <col min="13843" max="13843" width="11.7109375" style="2" customWidth="1"/>
    <col min="13844" max="14080" width="11.42578125" style="2"/>
    <col min="14081" max="14081" width="20.28515625" style="2" customWidth="1"/>
    <col min="14082" max="14083" width="11.42578125" style="2"/>
    <col min="14084" max="14084" width="11.85546875" style="2" customWidth="1"/>
    <col min="14085" max="14089" width="11.42578125" style="2"/>
    <col min="14090" max="14090" width="11.7109375" style="2" customWidth="1"/>
    <col min="14091" max="14093" width="11.42578125" style="2"/>
    <col min="14094" max="14094" width="14" style="2" customWidth="1"/>
    <col min="14095" max="14095" width="4.5703125" style="2" customWidth="1"/>
    <col min="14096" max="14096" width="11.42578125" style="2"/>
    <col min="14097" max="14097" width="11.5703125" style="2" customWidth="1"/>
    <col min="14098" max="14098" width="11.42578125" style="2"/>
    <col min="14099" max="14099" width="11.7109375" style="2" customWidth="1"/>
    <col min="14100" max="14336" width="11.42578125" style="2"/>
    <col min="14337" max="14337" width="20.28515625" style="2" customWidth="1"/>
    <col min="14338" max="14339" width="11.42578125" style="2"/>
    <col min="14340" max="14340" width="11.85546875" style="2" customWidth="1"/>
    <col min="14341" max="14345" width="11.42578125" style="2"/>
    <col min="14346" max="14346" width="11.7109375" style="2" customWidth="1"/>
    <col min="14347" max="14349" width="11.42578125" style="2"/>
    <col min="14350" max="14350" width="14" style="2" customWidth="1"/>
    <col min="14351" max="14351" width="4.5703125" style="2" customWidth="1"/>
    <col min="14352" max="14352" width="11.42578125" style="2"/>
    <col min="14353" max="14353" width="11.5703125" style="2" customWidth="1"/>
    <col min="14354" max="14354" width="11.42578125" style="2"/>
    <col min="14355" max="14355" width="11.7109375" style="2" customWidth="1"/>
    <col min="14356" max="14592" width="11.42578125" style="2"/>
    <col min="14593" max="14593" width="20.28515625" style="2" customWidth="1"/>
    <col min="14594" max="14595" width="11.42578125" style="2"/>
    <col min="14596" max="14596" width="11.85546875" style="2" customWidth="1"/>
    <col min="14597" max="14601" width="11.42578125" style="2"/>
    <col min="14602" max="14602" width="11.7109375" style="2" customWidth="1"/>
    <col min="14603" max="14605" width="11.42578125" style="2"/>
    <col min="14606" max="14606" width="14" style="2" customWidth="1"/>
    <col min="14607" max="14607" width="4.5703125" style="2" customWidth="1"/>
    <col min="14608" max="14608" width="11.42578125" style="2"/>
    <col min="14609" max="14609" width="11.5703125" style="2" customWidth="1"/>
    <col min="14610" max="14610" width="11.42578125" style="2"/>
    <col min="14611" max="14611" width="11.7109375" style="2" customWidth="1"/>
    <col min="14612" max="14848" width="11.42578125" style="2"/>
    <col min="14849" max="14849" width="20.28515625" style="2" customWidth="1"/>
    <col min="14850" max="14851" width="11.42578125" style="2"/>
    <col min="14852" max="14852" width="11.85546875" style="2" customWidth="1"/>
    <col min="14853" max="14857" width="11.42578125" style="2"/>
    <col min="14858" max="14858" width="11.7109375" style="2" customWidth="1"/>
    <col min="14859" max="14861" width="11.42578125" style="2"/>
    <col min="14862" max="14862" width="14" style="2" customWidth="1"/>
    <col min="14863" max="14863" width="4.5703125" style="2" customWidth="1"/>
    <col min="14864" max="14864" width="11.42578125" style="2"/>
    <col min="14865" max="14865" width="11.5703125" style="2" customWidth="1"/>
    <col min="14866" max="14866" width="11.42578125" style="2"/>
    <col min="14867" max="14867" width="11.7109375" style="2" customWidth="1"/>
    <col min="14868" max="15104" width="11.42578125" style="2"/>
    <col min="15105" max="15105" width="20.28515625" style="2" customWidth="1"/>
    <col min="15106" max="15107" width="11.42578125" style="2"/>
    <col min="15108" max="15108" width="11.85546875" style="2" customWidth="1"/>
    <col min="15109" max="15113" width="11.42578125" style="2"/>
    <col min="15114" max="15114" width="11.7109375" style="2" customWidth="1"/>
    <col min="15115" max="15117" width="11.42578125" style="2"/>
    <col min="15118" max="15118" width="14" style="2" customWidth="1"/>
    <col min="15119" max="15119" width="4.5703125" style="2" customWidth="1"/>
    <col min="15120" max="15120" width="11.42578125" style="2"/>
    <col min="15121" max="15121" width="11.5703125" style="2" customWidth="1"/>
    <col min="15122" max="15122" width="11.42578125" style="2"/>
    <col min="15123" max="15123" width="11.7109375" style="2" customWidth="1"/>
    <col min="15124" max="15360" width="11.42578125" style="2"/>
    <col min="15361" max="15361" width="20.28515625" style="2" customWidth="1"/>
    <col min="15362" max="15363" width="11.42578125" style="2"/>
    <col min="15364" max="15364" width="11.85546875" style="2" customWidth="1"/>
    <col min="15365" max="15369" width="11.42578125" style="2"/>
    <col min="15370" max="15370" width="11.7109375" style="2" customWidth="1"/>
    <col min="15371" max="15373" width="11.42578125" style="2"/>
    <col min="15374" max="15374" width="14" style="2" customWidth="1"/>
    <col min="15375" max="15375" width="4.5703125" style="2" customWidth="1"/>
    <col min="15376" max="15376" width="11.42578125" style="2"/>
    <col min="15377" max="15377" width="11.5703125" style="2" customWidth="1"/>
    <col min="15378" max="15378" width="11.42578125" style="2"/>
    <col min="15379" max="15379" width="11.7109375" style="2" customWidth="1"/>
    <col min="15380" max="15616" width="11.42578125" style="2"/>
    <col min="15617" max="15617" width="20.28515625" style="2" customWidth="1"/>
    <col min="15618" max="15619" width="11.42578125" style="2"/>
    <col min="15620" max="15620" width="11.85546875" style="2" customWidth="1"/>
    <col min="15621" max="15625" width="11.42578125" style="2"/>
    <col min="15626" max="15626" width="11.7109375" style="2" customWidth="1"/>
    <col min="15627" max="15629" width="11.42578125" style="2"/>
    <col min="15630" max="15630" width="14" style="2" customWidth="1"/>
    <col min="15631" max="15631" width="4.5703125" style="2" customWidth="1"/>
    <col min="15632" max="15632" width="11.42578125" style="2"/>
    <col min="15633" max="15633" width="11.5703125" style="2" customWidth="1"/>
    <col min="15634" max="15634" width="11.42578125" style="2"/>
    <col min="15635" max="15635" width="11.7109375" style="2" customWidth="1"/>
    <col min="15636" max="15872" width="11.42578125" style="2"/>
    <col min="15873" max="15873" width="20.28515625" style="2" customWidth="1"/>
    <col min="15874" max="15875" width="11.42578125" style="2"/>
    <col min="15876" max="15876" width="11.85546875" style="2" customWidth="1"/>
    <col min="15877" max="15881" width="11.42578125" style="2"/>
    <col min="15882" max="15882" width="11.7109375" style="2" customWidth="1"/>
    <col min="15883" max="15885" width="11.42578125" style="2"/>
    <col min="15886" max="15886" width="14" style="2" customWidth="1"/>
    <col min="15887" max="15887" width="4.5703125" style="2" customWidth="1"/>
    <col min="15888" max="15888" width="11.42578125" style="2"/>
    <col min="15889" max="15889" width="11.5703125" style="2" customWidth="1"/>
    <col min="15890" max="15890" width="11.42578125" style="2"/>
    <col min="15891" max="15891" width="11.7109375" style="2" customWidth="1"/>
    <col min="15892" max="16128" width="11.42578125" style="2"/>
    <col min="16129" max="16129" width="20.28515625" style="2" customWidth="1"/>
    <col min="16130" max="16131" width="11.42578125" style="2"/>
    <col min="16132" max="16132" width="11.85546875" style="2" customWidth="1"/>
    <col min="16133" max="16137" width="11.42578125" style="2"/>
    <col min="16138" max="16138" width="11.7109375" style="2" customWidth="1"/>
    <col min="16139" max="16141" width="11.42578125" style="2"/>
    <col min="16142" max="16142" width="14" style="2" customWidth="1"/>
    <col min="16143" max="16143" width="4.5703125" style="2" customWidth="1"/>
    <col min="16144" max="16144" width="11.42578125" style="2"/>
    <col min="16145" max="16145" width="11.5703125" style="2" customWidth="1"/>
    <col min="16146" max="16146" width="11.42578125" style="2"/>
    <col min="16147" max="16147" width="11.7109375" style="2" customWidth="1"/>
    <col min="16148" max="16384" width="11.42578125" style="2"/>
  </cols>
  <sheetData>
    <row r="1" spans="1:26" ht="18.75">
      <c r="A1" s="1" t="s">
        <v>80</v>
      </c>
    </row>
    <row r="2" spans="1:26">
      <c r="A2" s="5"/>
      <c r="M2" s="4"/>
    </row>
    <row r="3" spans="1:26">
      <c r="M3" s="4"/>
    </row>
    <row r="4" spans="1:26">
      <c r="A4" s="16" t="s">
        <v>13</v>
      </c>
      <c r="B4" s="17">
        <f>J48/L48</f>
        <v>9.8770047237525311E-5</v>
      </c>
      <c r="D4" s="94"/>
      <c r="E4" s="95"/>
      <c r="F4" s="93" t="str">
        <f>F9</f>
        <v>X = Dif PAS [desp vs antes]</v>
      </c>
      <c r="G4" s="95"/>
      <c r="H4" s="15"/>
      <c r="I4" s="96" t="str">
        <f>G9</f>
        <v>Y = Mort /año</v>
      </c>
      <c r="M4" s="4"/>
    </row>
    <row r="5" spans="1:26">
      <c r="A5" s="22" t="s">
        <v>14</v>
      </c>
      <c r="B5" s="23">
        <f>B7*G49/F49</f>
        <v>9.8770047237525338E-5</v>
      </c>
      <c r="D5" s="97" t="s">
        <v>37</v>
      </c>
      <c r="E5" s="128">
        <v>-1</v>
      </c>
      <c r="F5" s="93" t="s">
        <v>33</v>
      </c>
      <c r="G5" s="15" t="s">
        <v>36</v>
      </c>
      <c r="H5" s="15"/>
      <c r="I5" s="96" t="s">
        <v>166</v>
      </c>
      <c r="J5" s="126">
        <f>E5*B5</f>
        <v>-9.8770047237525338E-5</v>
      </c>
      <c r="K5" s="6" t="s">
        <v>35</v>
      </c>
      <c r="L5" s="126">
        <f>E5*G58</f>
        <v>2.3438557973345659E-4</v>
      </c>
      <c r="M5" s="6" t="s">
        <v>34</v>
      </c>
      <c r="N5" s="126">
        <f>E5*I58</f>
        <v>-4.3192567420850727E-4</v>
      </c>
    </row>
    <row r="6" spans="1:26">
      <c r="A6" s="16" t="s">
        <v>15</v>
      </c>
      <c r="B6" s="17">
        <f>G48-(F48*B4)</f>
        <v>1.4214751220345778E-2</v>
      </c>
      <c r="M6" s="4"/>
    </row>
    <row r="7" spans="1:26">
      <c r="A7" s="25" t="s">
        <v>31</v>
      </c>
      <c r="B7" s="24">
        <f>J48/SQRT(N48)</f>
        <v>0.10277997872087803</v>
      </c>
      <c r="M7" s="4"/>
    </row>
    <row r="8" spans="1:26" ht="26.25" customHeight="1" thickBot="1">
      <c r="A8" s="108" t="s">
        <v>32</v>
      </c>
      <c r="B8" s="109">
        <f>B7^2</f>
        <v>1.0563724025864141E-2</v>
      </c>
      <c r="C8" s="110">
        <f>1-B8</f>
        <v>0.98943627597413586</v>
      </c>
      <c r="F8" s="7"/>
      <c r="G8" s="8"/>
      <c r="H8" s="269" t="s">
        <v>1</v>
      </c>
      <c r="I8" s="270"/>
      <c r="J8" s="9" t="s">
        <v>2</v>
      </c>
      <c r="K8" s="10"/>
      <c r="L8" s="9" t="s">
        <v>3</v>
      </c>
      <c r="M8" s="9" t="s">
        <v>4</v>
      </c>
      <c r="N8" s="9" t="s">
        <v>5</v>
      </c>
      <c r="Q8" s="41"/>
      <c r="R8" s="41"/>
      <c r="S8" s="41"/>
      <c r="T8" s="41"/>
      <c r="U8" s="43"/>
      <c r="V8" s="68"/>
      <c r="W8" s="68"/>
      <c r="X8" s="41"/>
      <c r="Y8" s="41"/>
      <c r="Z8" s="69"/>
    </row>
    <row r="9" spans="1:26" ht="37.5" customHeight="1" thickBot="1">
      <c r="A9" s="113" t="s">
        <v>41</v>
      </c>
      <c r="C9" s="11" t="s">
        <v>174</v>
      </c>
      <c r="D9" s="12" t="s">
        <v>6</v>
      </c>
      <c r="E9" s="12" t="s">
        <v>39</v>
      </c>
      <c r="F9" s="44" t="s">
        <v>189</v>
      </c>
      <c r="G9" s="45" t="s">
        <v>182</v>
      </c>
      <c r="H9" s="13" t="s">
        <v>7</v>
      </c>
      <c r="I9" s="14" t="s">
        <v>8</v>
      </c>
      <c r="J9" s="14" t="s">
        <v>9</v>
      </c>
      <c r="L9" s="14" t="s">
        <v>10</v>
      </c>
      <c r="M9" s="14" t="s">
        <v>11</v>
      </c>
      <c r="N9" s="14" t="s">
        <v>12</v>
      </c>
      <c r="Q9" s="41"/>
      <c r="R9" s="41"/>
      <c r="S9" s="70"/>
      <c r="T9" s="71"/>
      <c r="U9" s="41"/>
      <c r="V9" s="72"/>
      <c r="W9" s="72"/>
      <c r="X9" s="73"/>
      <c r="Y9" s="74"/>
      <c r="Z9" s="72"/>
    </row>
    <row r="10" spans="1:26">
      <c r="A10" s="112" t="s">
        <v>61</v>
      </c>
      <c r="C10" s="268">
        <f>B6+(B5*F10)</f>
        <v>1.520245169272103E-2</v>
      </c>
      <c r="D10" s="340">
        <f>C10-G10</f>
        <v>8.3011404435836943E-3</v>
      </c>
      <c r="E10" s="6">
        <v>1</v>
      </c>
      <c r="F10" s="46">
        <v>10</v>
      </c>
      <c r="G10" s="61">
        <v>6.901311249137336E-3</v>
      </c>
      <c r="H10" s="19">
        <f>F10-F48</f>
        <v>24.116666666666667</v>
      </c>
      <c r="I10" s="63">
        <f>G10-G48</f>
        <v>-5.9191361377053768E-3</v>
      </c>
      <c r="J10" s="19">
        <f>H10*I10</f>
        <v>-0.14274983318766135</v>
      </c>
      <c r="K10" s="20"/>
      <c r="L10" s="20">
        <f>H10^2</f>
        <v>581.61361111111114</v>
      </c>
      <c r="M10" s="38">
        <f t="shared" ref="M10:M45" si="0">I10^2</f>
        <v>3.5036172616689729E-5</v>
      </c>
      <c r="N10" s="21"/>
      <c r="Q10" s="75"/>
      <c r="R10" s="76"/>
      <c r="S10" s="41"/>
      <c r="T10" s="41"/>
      <c r="U10" s="41"/>
      <c r="V10" s="58"/>
      <c r="W10" s="58"/>
      <c r="X10" s="77"/>
      <c r="Y10" s="74"/>
      <c r="Z10" s="58"/>
    </row>
    <row r="11" spans="1:26">
      <c r="A11" s="112" t="s">
        <v>62</v>
      </c>
      <c r="C11" s="268">
        <f>B6+(B5*F11)</f>
        <v>1.1222018789048759E-2</v>
      </c>
      <c r="D11" s="340">
        <f t="shared" ref="D11:D45" si="1">C11-G11</f>
        <v>2.5649561388108987E-3</v>
      </c>
      <c r="E11" s="6">
        <v>2</v>
      </c>
      <c r="F11" s="46">
        <v>-30.300000000000011</v>
      </c>
      <c r="G11" s="61">
        <v>8.6570626502378602E-3</v>
      </c>
      <c r="H11" s="19">
        <f>F11-F48</f>
        <v>-16.183333333333344</v>
      </c>
      <c r="I11" s="63">
        <f>G11-G48</f>
        <v>-4.1633847366048526E-3</v>
      </c>
      <c r="J11" s="19">
        <f t="shared" ref="J11:J29" si="2">H11*I11</f>
        <v>6.7377442987388583E-2</v>
      </c>
      <c r="K11" s="20"/>
      <c r="L11" s="20">
        <f t="shared" ref="L11:L45" si="3">H11^2</f>
        <v>261.90027777777811</v>
      </c>
      <c r="M11" s="38">
        <f t="shared" si="0"/>
        <v>1.7333772464994257E-5</v>
      </c>
      <c r="N11" s="21"/>
      <c r="Q11" s="75"/>
      <c r="R11" s="76"/>
      <c r="S11" s="41"/>
      <c r="T11" s="41"/>
      <c r="U11" s="41"/>
      <c r="V11" s="58"/>
      <c r="W11" s="58"/>
      <c r="X11" s="77"/>
      <c r="Y11" s="74"/>
      <c r="Z11" s="58"/>
    </row>
    <row r="12" spans="1:26">
      <c r="A12" s="112" t="s">
        <v>63</v>
      </c>
      <c r="C12" s="268">
        <f>B6+(B5*F12)</f>
        <v>1.2733200511782897E-2</v>
      </c>
      <c r="D12" s="340">
        <f t="shared" si="1"/>
        <v>-8.3121569451840606E-3</v>
      </c>
      <c r="E12" s="6">
        <v>3</v>
      </c>
      <c r="F12" s="46">
        <v>-15</v>
      </c>
      <c r="G12" s="61">
        <v>2.1045357456966958E-2</v>
      </c>
      <c r="H12" s="19">
        <f>F12-F48</f>
        <v>-0.88333333333333464</v>
      </c>
      <c r="I12" s="63">
        <f>G12-G48</f>
        <v>8.2249100701242452E-3</v>
      </c>
      <c r="J12" s="19">
        <f t="shared" si="2"/>
        <v>-7.2653372286097606E-3</v>
      </c>
      <c r="K12" s="20"/>
      <c r="L12" s="20">
        <f t="shared" si="3"/>
        <v>0.78027777777778007</v>
      </c>
      <c r="M12" s="38">
        <f t="shared" si="0"/>
        <v>6.764914566163121E-5</v>
      </c>
      <c r="N12" s="21"/>
      <c r="Q12" s="75"/>
      <c r="R12" s="76"/>
      <c r="S12" s="41"/>
      <c r="T12" s="41"/>
      <c r="U12" s="41"/>
      <c r="V12" s="58"/>
      <c r="W12" s="58"/>
      <c r="X12" s="77"/>
      <c r="Y12" s="74"/>
      <c r="Z12" s="58"/>
    </row>
    <row r="13" spans="1:26">
      <c r="A13" s="112" t="s">
        <v>64</v>
      </c>
      <c r="C13" s="268">
        <f>B6+(B5*F13)</f>
        <v>1.1943040133882695E-2</v>
      </c>
      <c r="D13" s="340">
        <f t="shared" si="1"/>
        <v>9.7257599886159743E-4</v>
      </c>
      <c r="E13" s="6">
        <v>4</v>
      </c>
      <c r="F13" s="46">
        <v>-23</v>
      </c>
      <c r="G13" s="61">
        <v>1.0970464135021098E-2</v>
      </c>
      <c r="H13" s="19">
        <f>F13-F48</f>
        <v>-8.8833333333333346</v>
      </c>
      <c r="I13" s="63">
        <f>G13-G48</f>
        <v>-1.8499832518216151E-3</v>
      </c>
      <c r="J13" s="19">
        <f t="shared" si="2"/>
        <v>1.6434017887015349E-2</v>
      </c>
      <c r="K13" s="20"/>
      <c r="L13" s="20">
        <f t="shared" si="3"/>
        <v>78.913611111111138</v>
      </c>
      <c r="M13" s="38">
        <f t="shared" si="0"/>
        <v>3.4224380320204774E-6</v>
      </c>
      <c r="N13" s="21"/>
      <c r="Q13" s="75"/>
      <c r="R13" s="76"/>
      <c r="S13" s="41"/>
      <c r="T13" s="41"/>
      <c r="U13" s="41"/>
      <c r="V13" s="58"/>
      <c r="W13" s="58"/>
      <c r="X13" s="77"/>
      <c r="Y13" s="74"/>
      <c r="Z13" s="58"/>
    </row>
    <row r="14" spans="1:26">
      <c r="A14" s="129" t="s">
        <v>65</v>
      </c>
      <c r="C14" s="268">
        <f>B6+(B5*F14)</f>
        <v>1.3424590842445575E-2</v>
      </c>
      <c r="D14" s="340">
        <f t="shared" si="1"/>
        <v>-1.7652825752759432E-3</v>
      </c>
      <c r="E14" s="6">
        <v>5</v>
      </c>
      <c r="F14" s="46">
        <v>-8</v>
      </c>
      <c r="G14" s="61">
        <v>1.5189873417721518E-2</v>
      </c>
      <c r="H14" s="19">
        <f>F14-F48</f>
        <v>6.1166666666666654</v>
      </c>
      <c r="I14" s="63">
        <f>G14-G48</f>
        <v>2.3694260308788056E-3</v>
      </c>
      <c r="J14" s="19">
        <f t="shared" si="2"/>
        <v>1.4492989222208692E-2</v>
      </c>
      <c r="K14" s="20"/>
      <c r="L14" s="20">
        <f t="shared" si="3"/>
        <v>37.413611111111095</v>
      </c>
      <c r="M14" s="38">
        <f t="shared" si="0"/>
        <v>5.6141797158060905E-6</v>
      </c>
      <c r="N14" s="21"/>
      <c r="Q14" s="75"/>
      <c r="R14" s="76"/>
      <c r="S14" s="41"/>
      <c r="T14" s="41"/>
      <c r="U14" s="41"/>
      <c r="V14" s="58"/>
      <c r="W14" s="58"/>
      <c r="X14" s="77"/>
      <c r="Y14" s="74"/>
      <c r="Z14" s="58"/>
    </row>
    <row r="15" spans="1:26">
      <c r="A15" s="112" t="s">
        <v>66</v>
      </c>
      <c r="C15" s="268">
        <f>B6+(B5*F15)</f>
        <v>1.3770286007776914E-2</v>
      </c>
      <c r="D15" s="340">
        <f t="shared" si="1"/>
        <v>-2.65743203284435E-3</v>
      </c>
      <c r="E15" s="6">
        <v>6</v>
      </c>
      <c r="F15" s="46">
        <v>-4.5</v>
      </c>
      <c r="G15" s="61">
        <v>1.6427718040621264E-2</v>
      </c>
      <c r="H15" s="19">
        <f>F15-F48</f>
        <v>9.6166666666666654</v>
      </c>
      <c r="I15" s="63">
        <f>G15-G48</f>
        <v>3.6072706537785514E-3</v>
      </c>
      <c r="J15" s="19">
        <f t="shared" si="2"/>
        <v>3.4689919453837065E-2</v>
      </c>
      <c r="K15" s="20"/>
      <c r="L15" s="20">
        <f t="shared" si="3"/>
        <v>92.480277777777758</v>
      </c>
      <c r="M15" s="38">
        <f t="shared" si="0"/>
        <v>1.3012401569611937E-5</v>
      </c>
      <c r="N15" s="21"/>
      <c r="Q15" s="75"/>
      <c r="R15" s="76"/>
      <c r="S15" s="41"/>
      <c r="T15" s="41"/>
      <c r="U15" s="41"/>
      <c r="V15" s="58"/>
      <c r="W15" s="58"/>
      <c r="X15" s="77"/>
      <c r="Y15" s="74"/>
      <c r="Z15" s="58"/>
    </row>
    <row r="16" spans="1:26">
      <c r="A16" s="112" t="s">
        <v>67</v>
      </c>
      <c r="C16" s="268">
        <f>B6+(B5*F16)</f>
        <v>1.355299190385436E-2</v>
      </c>
      <c r="D16" s="340">
        <f t="shared" si="1"/>
        <v>6.0679619637345993E-3</v>
      </c>
      <c r="E16" s="6">
        <v>7</v>
      </c>
      <c r="F16" s="46">
        <v>-6.6999999999999886</v>
      </c>
      <c r="G16" s="61">
        <v>7.4850299401197605E-3</v>
      </c>
      <c r="H16" s="19">
        <f>F16-F48</f>
        <v>7.4166666666666767</v>
      </c>
      <c r="I16" s="63">
        <f>G16-G48</f>
        <v>-5.3354174467229523E-3</v>
      </c>
      <c r="J16" s="19">
        <f t="shared" si="2"/>
        <v>-3.9571012729861951E-2</v>
      </c>
      <c r="K16" s="20"/>
      <c r="L16" s="20">
        <f t="shared" si="3"/>
        <v>55.006944444444592</v>
      </c>
      <c r="M16" s="38">
        <f t="shared" si="0"/>
        <v>2.8466679330795669E-5</v>
      </c>
      <c r="N16" s="21"/>
      <c r="Q16" s="75"/>
      <c r="R16" s="76"/>
      <c r="S16" s="41"/>
      <c r="T16" s="41"/>
      <c r="U16" s="41"/>
      <c r="V16" s="58"/>
      <c r="W16" s="58"/>
      <c r="X16" s="77"/>
      <c r="Y16" s="74"/>
      <c r="Z16" s="58"/>
    </row>
    <row r="17" spans="1:26">
      <c r="A17" s="112" t="s">
        <v>68</v>
      </c>
      <c r="C17" s="268">
        <f>B6+(B5*F17)</f>
        <v>1.3424590842445575E-2</v>
      </c>
      <c r="D17" s="340">
        <f t="shared" si="1"/>
        <v>5.4501091837533891E-3</v>
      </c>
      <c r="E17" s="6">
        <v>8</v>
      </c>
      <c r="F17" s="46">
        <v>-8</v>
      </c>
      <c r="G17" s="61">
        <v>7.9744816586921861E-3</v>
      </c>
      <c r="H17" s="19">
        <f>F17-F48</f>
        <v>6.1166666666666654</v>
      </c>
      <c r="I17" s="63">
        <f>G17-G48</f>
        <v>-4.8459657281505267E-3</v>
      </c>
      <c r="J17" s="19">
        <f t="shared" si="2"/>
        <v>-2.9641157037187383E-2</v>
      </c>
      <c r="K17" s="20"/>
      <c r="L17" s="20">
        <f t="shared" si="3"/>
        <v>37.413611111111095</v>
      </c>
      <c r="M17" s="38">
        <f t="shared" si="0"/>
        <v>2.3483383838409464E-5</v>
      </c>
      <c r="N17" s="21"/>
      <c r="Q17" s="75"/>
      <c r="R17" s="76"/>
      <c r="S17" s="41"/>
      <c r="T17" s="41"/>
      <c r="U17" s="41"/>
      <c r="V17" s="58"/>
      <c r="W17" s="58"/>
      <c r="X17" s="77"/>
      <c r="Y17" s="74"/>
      <c r="Z17" s="58"/>
    </row>
    <row r="18" spans="1:26">
      <c r="A18" s="112" t="s">
        <v>69</v>
      </c>
      <c r="C18" s="268">
        <f>B6+(B5*F18)</f>
        <v>1.0688660533966124E-2</v>
      </c>
      <c r="D18" s="340">
        <f t="shared" si="1"/>
        <v>8.6634580137140982E-3</v>
      </c>
      <c r="E18" s="6">
        <v>9</v>
      </c>
      <c r="F18" s="46">
        <v>-35.699999999999989</v>
      </c>
      <c r="G18" s="61">
        <v>2.0252025202520253E-3</v>
      </c>
      <c r="H18" s="19">
        <f>F18-F48</f>
        <v>-21.583333333333321</v>
      </c>
      <c r="I18" s="63">
        <f>G18-G48</f>
        <v>-1.0795244866590687E-2</v>
      </c>
      <c r="J18" s="19">
        <f t="shared" si="2"/>
        <v>0.23299736837058221</v>
      </c>
      <c r="K18" s="20"/>
      <c r="L18" s="20">
        <f t="shared" si="3"/>
        <v>465.84027777777726</v>
      </c>
      <c r="M18" s="38">
        <f t="shared" si="0"/>
        <v>1.1653731172965257E-4</v>
      </c>
      <c r="N18" s="21"/>
      <c r="Q18" s="75"/>
      <c r="R18" s="76"/>
      <c r="S18" s="41"/>
      <c r="T18" s="41"/>
      <c r="U18" s="41"/>
      <c r="V18" s="58"/>
      <c r="W18" s="58"/>
      <c r="X18" s="77"/>
      <c r="Y18" s="74"/>
      <c r="Z18" s="58"/>
    </row>
    <row r="19" spans="1:26">
      <c r="A19" s="112" t="s">
        <v>70</v>
      </c>
      <c r="C19" s="268">
        <f>B6+(B5*F19)</f>
        <v>1.1518328930761334E-2</v>
      </c>
      <c r="D19" s="340">
        <f t="shared" si="1"/>
        <v>7.927664657870849E-3</v>
      </c>
      <c r="E19" s="6">
        <v>10</v>
      </c>
      <c r="F19" s="46">
        <v>-27.300000000000011</v>
      </c>
      <c r="G19" s="61">
        <v>3.5906642728904849E-3</v>
      </c>
      <c r="H19" s="19">
        <f>F19-F48</f>
        <v>-13.183333333333346</v>
      </c>
      <c r="I19" s="63">
        <f>G19-G48</f>
        <v>-9.2297831139522279E-3</v>
      </c>
      <c r="J19" s="19">
        <f t="shared" si="2"/>
        <v>0.12167930738560366</v>
      </c>
      <c r="K19" s="20"/>
      <c r="L19" s="20">
        <f t="shared" si="3"/>
        <v>173.80027777777812</v>
      </c>
      <c r="M19" s="38">
        <f t="shared" si="0"/>
        <v>8.5188896330597687E-5</v>
      </c>
      <c r="N19" s="21"/>
      <c r="Q19" s="75"/>
      <c r="R19" s="76"/>
      <c r="S19" s="41"/>
      <c r="T19" s="41"/>
      <c r="U19" s="41"/>
      <c r="V19" s="58"/>
      <c r="W19" s="58"/>
      <c r="X19" s="77"/>
      <c r="Y19" s="74"/>
      <c r="Z19" s="58"/>
    </row>
    <row r="20" spans="1:26">
      <c r="A20" s="112" t="s">
        <v>71</v>
      </c>
      <c r="C20" s="268">
        <f>B6+(B5*F20)</f>
        <v>1.2367751337004055E-2</v>
      </c>
      <c r="D20" s="340">
        <f t="shared" si="1"/>
        <v>-1.1440579843428021E-3</v>
      </c>
      <c r="E20" s="6">
        <v>11</v>
      </c>
      <c r="F20" s="46">
        <v>-18.699999999999989</v>
      </c>
      <c r="G20" s="61">
        <v>1.3511809321346857E-2</v>
      </c>
      <c r="H20" s="19">
        <f>F20-F48</f>
        <v>-4.5833333333333233</v>
      </c>
      <c r="I20" s="63">
        <f>G20-G48</f>
        <v>6.9136193450414392E-4</v>
      </c>
      <c r="J20" s="19">
        <f t="shared" si="2"/>
        <v>-3.1687421998106528E-3</v>
      </c>
      <c r="K20" s="20"/>
      <c r="L20" s="20">
        <f t="shared" si="3"/>
        <v>21.00694444444435</v>
      </c>
      <c r="M20" s="38">
        <f t="shared" si="0"/>
        <v>4.7798132448131221E-7</v>
      </c>
      <c r="N20" s="21"/>
      <c r="Q20" s="75"/>
      <c r="R20" s="76"/>
      <c r="S20" s="41"/>
      <c r="T20" s="41"/>
      <c r="U20" s="41"/>
      <c r="V20" s="58"/>
      <c r="W20" s="58"/>
      <c r="X20" s="77"/>
      <c r="Y20" s="74"/>
      <c r="Z20" s="58"/>
    </row>
    <row r="21" spans="1:26">
      <c r="A21" s="112" t="s">
        <v>72</v>
      </c>
      <c r="C21" s="268">
        <f>B6+(B5*F21)</f>
        <v>1.0965216666231193E-2</v>
      </c>
      <c r="D21" s="340">
        <f t="shared" si="1"/>
        <v>5.9052881377216577E-3</v>
      </c>
      <c r="E21" s="6">
        <v>12</v>
      </c>
      <c r="F21" s="46">
        <v>-32.900000000000006</v>
      </c>
      <c r="G21" s="61">
        <v>5.0599285285095356E-3</v>
      </c>
      <c r="H21" s="19">
        <f>F21-F48</f>
        <v>-18.783333333333339</v>
      </c>
      <c r="I21" s="63">
        <f>G21-G48</f>
        <v>-7.7605188583331772E-3</v>
      </c>
      <c r="J21" s="19">
        <f t="shared" si="2"/>
        <v>0.14576841255569156</v>
      </c>
      <c r="K21" s="20"/>
      <c r="L21" s="20">
        <f t="shared" si="3"/>
        <v>352.8136111111113</v>
      </c>
      <c r="M21" s="38">
        <f t="shared" si="0"/>
        <v>6.0225652950544883E-5</v>
      </c>
      <c r="N21" s="21"/>
      <c r="Q21" s="75"/>
      <c r="R21" s="76"/>
      <c r="S21" s="41"/>
      <c r="T21" s="41"/>
      <c r="U21" s="41"/>
      <c r="V21" s="58"/>
      <c r="W21" s="58"/>
      <c r="X21" s="77"/>
      <c r="Y21" s="74"/>
      <c r="Z21" s="58"/>
    </row>
    <row r="22" spans="1:26">
      <c r="A22" s="112" t="s">
        <v>73</v>
      </c>
      <c r="C22" s="268">
        <f>B6+(B5*F22)</f>
        <v>1.2189965251976508E-2</v>
      </c>
      <c r="D22" s="340">
        <f t="shared" si="1"/>
        <v>-1.1266824871480284E-2</v>
      </c>
      <c r="E22" s="6">
        <v>13</v>
      </c>
      <c r="F22" s="46">
        <v>-20.5</v>
      </c>
      <c r="G22" s="61">
        <v>2.3456790123456792E-2</v>
      </c>
      <c r="H22" s="19">
        <f>F22-F48</f>
        <v>-6.3833333333333346</v>
      </c>
      <c r="I22" s="63">
        <f>G22-G48</f>
        <v>1.0636342736614079E-2</v>
      </c>
      <c r="J22" s="19">
        <f t="shared" si="2"/>
        <v>-6.7895321135386544E-2</v>
      </c>
      <c r="K22" s="20"/>
      <c r="L22" s="20">
        <f t="shared" si="3"/>
        <v>40.746944444444459</v>
      </c>
      <c r="M22" s="38">
        <f t="shared" si="0"/>
        <v>1.1313178681072307E-4</v>
      </c>
      <c r="N22" s="21"/>
      <c r="Q22" s="75"/>
      <c r="R22" s="76"/>
      <c r="S22" s="41"/>
      <c r="T22" s="41"/>
      <c r="U22" s="41"/>
      <c r="V22" s="58"/>
      <c r="W22" s="58"/>
      <c r="X22" s="77"/>
      <c r="Y22" s="74"/>
      <c r="Z22" s="58"/>
    </row>
    <row r="23" spans="1:26">
      <c r="A23" s="112" t="s">
        <v>74</v>
      </c>
      <c r="C23" s="268">
        <f>B6+(B5*F23)</f>
        <v>1.188377810554018E-2</v>
      </c>
      <c r="D23" s="340">
        <f t="shared" si="1"/>
        <v>8.7512004582220148E-3</v>
      </c>
      <c r="E23" s="6">
        <v>14</v>
      </c>
      <c r="F23" s="46">
        <v>-23.599999999999994</v>
      </c>
      <c r="G23" s="61">
        <v>3.1325776473181653E-3</v>
      </c>
      <c r="H23" s="19">
        <f>F23-F48</f>
        <v>-9.483333333333329</v>
      </c>
      <c r="I23" s="63">
        <f>G23-G48</f>
        <v>-9.6878697395245475E-3</v>
      </c>
      <c r="J23" s="19">
        <f t="shared" si="2"/>
        <v>9.1873298029824413E-2</v>
      </c>
      <c r="K23" s="20"/>
      <c r="L23" s="20">
        <f t="shared" si="3"/>
        <v>89.933611111111034</v>
      </c>
      <c r="M23" s="38">
        <f t="shared" si="0"/>
        <v>9.3854820089995424E-5</v>
      </c>
      <c r="N23" s="21"/>
      <c r="Q23" s="75"/>
      <c r="R23" s="76"/>
      <c r="S23" s="41"/>
      <c r="T23" s="41"/>
      <c r="U23" s="41"/>
      <c r="V23" s="58"/>
      <c r="W23" s="58"/>
      <c r="X23" s="77"/>
      <c r="Y23" s="74"/>
      <c r="Z23" s="58"/>
    </row>
    <row r="24" spans="1:26">
      <c r="A24" s="112" t="s">
        <v>75</v>
      </c>
      <c r="C24" s="268">
        <f>B6+(B5*F24)</f>
        <v>1.1864024096092673E-2</v>
      </c>
      <c r="D24" s="340">
        <f t="shared" si="1"/>
        <v>-2.3259942846056089E-2</v>
      </c>
      <c r="E24" s="6">
        <v>15</v>
      </c>
      <c r="F24" s="46">
        <v>-23.800000000000011</v>
      </c>
      <c r="G24" s="61">
        <v>3.5123966942148761E-2</v>
      </c>
      <c r="H24" s="19">
        <f>F24-F48</f>
        <v>-9.683333333333346</v>
      </c>
      <c r="I24" s="63">
        <f>G24-G48</f>
        <v>2.2303519555306048E-2</v>
      </c>
      <c r="J24" s="19">
        <f t="shared" si="2"/>
        <v>-0.21597241436054718</v>
      </c>
      <c r="K24" s="20"/>
      <c r="L24" s="20">
        <f t="shared" si="3"/>
        <v>93.76694444444469</v>
      </c>
      <c r="M24" s="38">
        <f t="shared" si="0"/>
        <v>4.9744698455391932E-4</v>
      </c>
      <c r="N24" s="21"/>
      <c r="Q24" s="75"/>
      <c r="R24" s="76"/>
      <c r="S24" s="41"/>
      <c r="T24" s="41"/>
      <c r="U24" s="41"/>
      <c r="V24" s="58"/>
      <c r="W24" s="58"/>
      <c r="X24" s="77"/>
      <c r="Y24" s="74"/>
      <c r="Z24" s="58"/>
    </row>
    <row r="25" spans="1:26">
      <c r="A25" s="112" t="s">
        <v>76</v>
      </c>
      <c r="C25" s="268">
        <f>B6+(B5*F25)</f>
        <v>1.2189965251976508E-2</v>
      </c>
      <c r="D25" s="340">
        <f t="shared" si="1"/>
        <v>-6.896409597223126E-3</v>
      </c>
      <c r="E25" s="6">
        <v>16</v>
      </c>
      <c r="F25" s="46">
        <v>-20.5</v>
      </c>
      <c r="G25" s="61">
        <v>1.9086374849199634E-2</v>
      </c>
      <c r="H25" s="19">
        <f>F25-F48</f>
        <v>-6.3833333333333346</v>
      </c>
      <c r="I25" s="63">
        <f>G25-G48</f>
        <v>6.2659274623569211E-3</v>
      </c>
      <c r="J25" s="19">
        <f t="shared" si="2"/>
        <v>-3.999750363471169E-2</v>
      </c>
      <c r="K25" s="20"/>
      <c r="L25" s="20">
        <f t="shared" si="3"/>
        <v>40.746944444444459</v>
      </c>
      <c r="M25" s="38">
        <f t="shared" si="0"/>
        <v>3.9261846963518643E-5</v>
      </c>
      <c r="N25" s="21"/>
      <c r="Q25" s="75"/>
      <c r="R25" s="76"/>
      <c r="S25" s="41"/>
      <c r="T25" s="41"/>
      <c r="U25" s="41"/>
      <c r="V25" s="58"/>
      <c r="W25" s="58"/>
      <c r="X25" s="77"/>
      <c r="Y25" s="74"/>
      <c r="Z25" s="58"/>
    </row>
    <row r="26" spans="1:26" ht="14.25" customHeight="1">
      <c r="A26" s="112" t="s">
        <v>77</v>
      </c>
      <c r="C26" s="268">
        <f>B6+(B5*F26)</f>
        <v>1.2417136360622817E-2</v>
      </c>
      <c r="D26" s="340">
        <f t="shared" si="1"/>
        <v>2.2533885474679098E-3</v>
      </c>
      <c r="E26" s="6">
        <v>17</v>
      </c>
      <c r="F26" s="46">
        <v>-18.199999999999989</v>
      </c>
      <c r="G26" s="61">
        <v>1.0163747813154907E-2</v>
      </c>
      <c r="H26" s="19">
        <f>F26-F48</f>
        <v>-4.0833333333333233</v>
      </c>
      <c r="I26" s="63">
        <f>G26-G48</f>
        <v>-2.6566995736878058E-3</v>
      </c>
      <c r="J26" s="19">
        <f t="shared" si="2"/>
        <v>1.0848189925891847E-2</v>
      </c>
      <c r="K26" s="20"/>
      <c r="L26" s="20">
        <f t="shared" si="3"/>
        <v>16.673611111111029</v>
      </c>
      <c r="M26" s="38">
        <f t="shared" si="0"/>
        <v>7.0580526248329691E-6</v>
      </c>
      <c r="N26" s="21"/>
      <c r="P26" s="271" t="s">
        <v>47</v>
      </c>
      <c r="Q26" s="272"/>
      <c r="R26" s="272"/>
      <c r="S26" s="272"/>
      <c r="T26" s="272"/>
      <c r="U26" s="272"/>
      <c r="V26" s="272"/>
      <c r="W26" s="272"/>
      <c r="X26" s="273"/>
      <c r="Y26" s="74"/>
      <c r="Z26" s="58"/>
    </row>
    <row r="27" spans="1:26">
      <c r="A27" s="112" t="s">
        <v>78</v>
      </c>
      <c r="C27" s="268">
        <f>B6+(B5*F27)</f>
        <v>1.2664061478716631E-2</v>
      </c>
      <c r="D27" s="340">
        <f t="shared" si="1"/>
        <v>5.1452644862354287E-3</v>
      </c>
      <c r="E27" s="6">
        <v>18</v>
      </c>
      <c r="F27" s="46">
        <v>-15.699999999999989</v>
      </c>
      <c r="G27" s="61">
        <v>7.5187969924812026E-3</v>
      </c>
      <c r="H27" s="19">
        <f>F27-F48</f>
        <v>-1.5833333333333233</v>
      </c>
      <c r="I27" s="63">
        <f>G27-G48</f>
        <v>-5.3016503943615102E-3</v>
      </c>
      <c r="J27" s="19">
        <f t="shared" si="2"/>
        <v>8.3942797910723371E-3</v>
      </c>
      <c r="K27" s="20"/>
      <c r="L27" s="20">
        <f t="shared" si="3"/>
        <v>2.5069444444444127</v>
      </c>
      <c r="M27" s="38">
        <f t="shared" si="0"/>
        <v>2.8107496904033556E-5</v>
      </c>
      <c r="N27" s="21"/>
      <c r="P27" s="274"/>
      <c r="Q27" s="275"/>
      <c r="R27" s="275"/>
      <c r="S27" s="275"/>
      <c r="T27" s="275"/>
      <c r="U27" s="275"/>
      <c r="V27" s="275"/>
      <c r="W27" s="275"/>
      <c r="X27" s="276"/>
      <c r="Y27" s="74"/>
      <c r="Z27" s="58"/>
    </row>
    <row r="28" spans="1:26">
      <c r="A28" s="112" t="s">
        <v>61</v>
      </c>
      <c r="C28" s="268">
        <f>B6+(B5*F28)</f>
        <v>1.5696301928908658E-2</v>
      </c>
      <c r="D28" s="340">
        <f t="shared" si="1"/>
        <v>1.5696301928908658E-2</v>
      </c>
      <c r="E28" s="6">
        <v>19</v>
      </c>
      <c r="F28" s="46">
        <v>15</v>
      </c>
      <c r="G28" s="61">
        <v>0</v>
      </c>
      <c r="H28" s="19">
        <f>F28-F48</f>
        <v>29.116666666666667</v>
      </c>
      <c r="I28" s="63">
        <f>G28-G48</f>
        <v>-1.2820447386842713E-2</v>
      </c>
      <c r="J28" s="19">
        <f t="shared" si="2"/>
        <v>-0.37328869308023699</v>
      </c>
      <c r="K28" s="20"/>
      <c r="L28" s="20">
        <f t="shared" si="3"/>
        <v>847.78027777777777</v>
      </c>
      <c r="M28" s="38">
        <f t="shared" si="0"/>
        <v>1.6436387119880214E-4</v>
      </c>
      <c r="N28" s="21"/>
      <c r="P28" s="274"/>
      <c r="Q28" s="275"/>
      <c r="R28" s="275"/>
      <c r="S28" s="275"/>
      <c r="T28" s="275"/>
      <c r="U28" s="275"/>
      <c r="V28" s="275"/>
      <c r="W28" s="275"/>
      <c r="X28" s="276"/>
      <c r="Y28" s="74"/>
      <c r="Z28" s="58"/>
    </row>
    <row r="29" spans="1:26">
      <c r="A29" s="112" t="s">
        <v>62</v>
      </c>
      <c r="C29" s="268">
        <f>B6+(B5*F29)</f>
        <v>1.1508451926037583E-2</v>
      </c>
      <c r="D29" s="340">
        <f t="shared" si="1"/>
        <v>3.4633151377066011E-3</v>
      </c>
      <c r="E29" s="6">
        <v>20</v>
      </c>
      <c r="F29" s="47">
        <v>-27.400000000000006</v>
      </c>
      <c r="G29" s="62">
        <v>8.0451367883309817E-3</v>
      </c>
      <c r="H29" s="19">
        <f>F29-F48</f>
        <v>-13.28333333333334</v>
      </c>
      <c r="I29" s="63">
        <f>G29-G48</f>
        <v>-4.7753105985117311E-3</v>
      </c>
      <c r="J29" s="19">
        <f t="shared" si="2"/>
        <v>6.3432042450230861E-2</v>
      </c>
      <c r="K29" s="20"/>
      <c r="L29" s="20">
        <f t="shared" si="3"/>
        <v>176.44694444444463</v>
      </c>
      <c r="M29" s="38">
        <f t="shared" si="0"/>
        <v>2.2803591312258467E-5</v>
      </c>
      <c r="N29" s="21"/>
      <c r="P29" s="277"/>
      <c r="Q29" s="278"/>
      <c r="R29" s="278"/>
      <c r="S29" s="278"/>
      <c r="T29" s="278"/>
      <c r="U29" s="278"/>
      <c r="V29" s="278"/>
      <c r="W29" s="278"/>
      <c r="X29" s="279"/>
      <c r="Y29" s="74"/>
      <c r="Z29" s="58"/>
    </row>
    <row r="30" spans="1:26">
      <c r="A30" s="112" t="s">
        <v>63</v>
      </c>
      <c r="C30" s="268">
        <f>B6+(B5*F30)</f>
        <v>1.372090098415815E-2</v>
      </c>
      <c r="D30" s="340">
        <f t="shared" si="1"/>
        <v>-1.1614874351617186E-2</v>
      </c>
      <c r="E30" s="6">
        <v>21</v>
      </c>
      <c r="F30" s="47">
        <v>-5</v>
      </c>
      <c r="G30" s="62">
        <v>2.5335775335775336E-2</v>
      </c>
      <c r="H30" s="19">
        <f>F30-F48</f>
        <v>9.1166666666666654</v>
      </c>
      <c r="I30" s="63">
        <f>G30-G48</f>
        <v>1.2515327948932623E-2</v>
      </c>
      <c r="J30" s="19">
        <f t="shared" ref="J30:J45" si="4">H30*I30</f>
        <v>0.11409807313443573</v>
      </c>
      <c r="K30" s="20"/>
      <c r="L30" s="20">
        <f t="shared" si="3"/>
        <v>83.113611111111084</v>
      </c>
      <c r="M30" s="38">
        <f t="shared" si="0"/>
        <v>1.5663343366933405E-4</v>
      </c>
      <c r="N30" s="21"/>
      <c r="Q30" s="41"/>
      <c r="R30" s="57"/>
      <c r="S30" s="78"/>
      <c r="T30" s="79"/>
      <c r="U30" s="41"/>
      <c r="V30" s="58"/>
      <c r="W30" s="58"/>
      <c r="X30" s="77"/>
      <c r="Y30" s="74"/>
      <c r="Z30" s="58"/>
    </row>
    <row r="31" spans="1:26">
      <c r="A31" s="112" t="s">
        <v>64</v>
      </c>
      <c r="C31" s="268">
        <f>B6+(B5*F31)</f>
        <v>1.2535660417307847E-2</v>
      </c>
      <c r="D31" s="340">
        <f t="shared" si="1"/>
        <v>-8.9235670505033119E-3</v>
      </c>
      <c r="E31" s="6">
        <v>22</v>
      </c>
      <c r="F31" s="47">
        <v>-17</v>
      </c>
      <c r="G31" s="62">
        <v>2.1459227467811159E-2</v>
      </c>
      <c r="H31" s="19">
        <f>F31-F48</f>
        <v>-2.8833333333333346</v>
      </c>
      <c r="I31" s="63">
        <f>G31-G48</f>
        <v>8.6387800809684459E-3</v>
      </c>
      <c r="J31" s="19">
        <f t="shared" si="4"/>
        <v>-2.4908482566792362E-2</v>
      </c>
      <c r="K31" s="20"/>
      <c r="L31" s="20">
        <f t="shared" si="3"/>
        <v>8.3136111111111184</v>
      </c>
      <c r="M31" s="38">
        <f t="shared" si="0"/>
        <v>7.4628521287337194E-5</v>
      </c>
      <c r="N31" s="21"/>
      <c r="Q31" s="41"/>
      <c r="R31" s="80"/>
      <c r="S31" s="41"/>
      <c r="T31" s="41"/>
      <c r="U31" s="41"/>
      <c r="V31" s="58"/>
      <c r="W31" s="58"/>
      <c r="X31" s="77"/>
      <c r="Y31" s="74"/>
      <c r="Z31" s="58"/>
    </row>
    <row r="32" spans="1:26">
      <c r="A32" s="129" t="s">
        <v>65</v>
      </c>
      <c r="C32" s="268">
        <f>B6+(B5*F32)</f>
        <v>1.4313521267583304E-2</v>
      </c>
      <c r="D32" s="340">
        <f t="shared" si="1"/>
        <v>-2.1473840822109364E-3</v>
      </c>
      <c r="E32" s="6">
        <v>23</v>
      </c>
      <c r="F32" s="47">
        <v>1</v>
      </c>
      <c r="G32" s="62">
        <v>1.646090534979424E-2</v>
      </c>
      <c r="H32" s="19">
        <f>F32-F48</f>
        <v>15.116666666666665</v>
      </c>
      <c r="I32" s="63">
        <f>G32-G48</f>
        <v>3.6404579629515273E-3</v>
      </c>
      <c r="J32" s="19">
        <f t="shared" si="4"/>
        <v>5.5031589539950583E-2</v>
      </c>
      <c r="K32" s="20"/>
      <c r="L32" s="20">
        <f t="shared" si="3"/>
        <v>228.51361111111106</v>
      </c>
      <c r="M32" s="38">
        <f t="shared" si="0"/>
        <v>1.3252934180017184E-5</v>
      </c>
      <c r="N32" s="21"/>
      <c r="Q32" s="41"/>
      <c r="R32" s="80"/>
      <c r="S32" s="41"/>
      <c r="T32" s="41"/>
      <c r="U32" s="41"/>
      <c r="V32" s="58"/>
      <c r="W32" s="58"/>
      <c r="X32" s="77"/>
      <c r="Y32" s="74"/>
      <c r="Z32" s="58"/>
    </row>
    <row r="33" spans="1:26">
      <c r="A33" s="112" t="s">
        <v>66</v>
      </c>
      <c r="C33" s="268">
        <f>B6+(B5*F33)</f>
        <v>1.446167633843959E-2</v>
      </c>
      <c r="D33" s="340">
        <f t="shared" si="1"/>
        <v>4.1833714681043591E-3</v>
      </c>
      <c r="E33" s="6">
        <v>24</v>
      </c>
      <c r="F33" s="47">
        <v>2.5</v>
      </c>
      <c r="G33" s="62">
        <v>1.0278304870335231E-2</v>
      </c>
      <c r="H33" s="19">
        <f>F33-F48</f>
        <v>16.616666666666667</v>
      </c>
      <c r="I33" s="63">
        <f>G33-G48</f>
        <v>-2.5421425165074816E-3</v>
      </c>
      <c r="J33" s="19">
        <f t="shared" si="4"/>
        <v>-4.2241934815965984E-2</v>
      </c>
      <c r="K33" s="20"/>
      <c r="L33" s="20">
        <f t="shared" si="3"/>
        <v>276.11361111111114</v>
      </c>
      <c r="M33" s="38">
        <f t="shared" si="0"/>
        <v>6.4624885742349913E-6</v>
      </c>
      <c r="N33" s="21"/>
      <c r="Q33" s="41"/>
      <c r="R33" s="80"/>
      <c r="S33" s="41"/>
      <c r="T33" s="41"/>
      <c r="U33" s="41"/>
      <c r="V33" s="58"/>
      <c r="W33" s="58"/>
      <c r="X33" s="77"/>
      <c r="Y33" s="74"/>
      <c r="Z33" s="58"/>
    </row>
    <row r="34" spans="1:26">
      <c r="A34" s="112" t="s">
        <v>67</v>
      </c>
      <c r="C34" s="268">
        <f>B6+(B5*F34)</f>
        <v>1.3948072092804461E-2</v>
      </c>
      <c r="D34" s="340">
        <f t="shared" si="1"/>
        <v>2.7873578070901749E-3</v>
      </c>
      <c r="E34" s="6">
        <v>25</v>
      </c>
      <c r="F34" s="47">
        <v>-2.6999999999999886</v>
      </c>
      <c r="G34" s="62">
        <v>1.1160714285714286E-2</v>
      </c>
      <c r="H34" s="19">
        <f>F34-F48</f>
        <v>11.416666666666677</v>
      </c>
      <c r="I34" s="63">
        <f>G34-G48</f>
        <v>-1.6597331011284269E-3</v>
      </c>
      <c r="J34" s="19">
        <f t="shared" si="4"/>
        <v>-1.8948619571216224E-2</v>
      </c>
      <c r="K34" s="20"/>
      <c r="L34" s="20">
        <f t="shared" si="3"/>
        <v>130.340277777778</v>
      </c>
      <c r="M34" s="38">
        <f t="shared" si="0"/>
        <v>2.7547139669813848E-6</v>
      </c>
      <c r="N34" s="21"/>
      <c r="Q34" s="41"/>
      <c r="R34" s="41"/>
      <c r="S34" s="41"/>
      <c r="T34" s="41"/>
      <c r="U34" s="41"/>
      <c r="V34" s="58"/>
      <c r="W34" s="58"/>
      <c r="X34" s="77"/>
      <c r="Y34" s="74"/>
      <c r="Z34" s="58"/>
    </row>
    <row r="35" spans="1:26">
      <c r="A35" s="112" t="s">
        <v>68</v>
      </c>
      <c r="C35" s="268">
        <f>B6+(B5*F35)</f>
        <v>1.4017211125870727E-2</v>
      </c>
      <c r="D35" s="340">
        <f t="shared" si="1"/>
        <v>1.4017211125870727E-2</v>
      </c>
      <c r="E35" s="6">
        <v>26</v>
      </c>
      <c r="F35" s="47">
        <v>-2</v>
      </c>
      <c r="G35" s="62">
        <v>0</v>
      </c>
      <c r="H35" s="19">
        <f>F35-F48</f>
        <v>12.116666666666665</v>
      </c>
      <c r="I35" s="63">
        <f>G35-G48</f>
        <v>-1.2820447386842713E-2</v>
      </c>
      <c r="J35" s="19">
        <f t="shared" si="4"/>
        <v>-0.15534108750391085</v>
      </c>
      <c r="K35" s="20"/>
      <c r="L35" s="20">
        <f t="shared" si="3"/>
        <v>146.81361111111107</v>
      </c>
      <c r="M35" s="38">
        <f t="shared" si="0"/>
        <v>1.6436387119880214E-4</v>
      </c>
      <c r="N35" s="21"/>
      <c r="Q35" s="41"/>
      <c r="R35" s="41"/>
      <c r="S35" s="41"/>
      <c r="T35" s="41"/>
      <c r="U35" s="41"/>
      <c r="V35" s="58"/>
      <c r="W35" s="58"/>
      <c r="X35" s="77"/>
      <c r="Y35" s="74"/>
      <c r="Z35" s="58"/>
    </row>
    <row r="36" spans="1:26">
      <c r="A36" s="112" t="s">
        <v>69</v>
      </c>
      <c r="C36" s="268">
        <f>B6+(B5*F36)</f>
        <v>1.1646729992170118E-2</v>
      </c>
      <c r="D36" s="340">
        <f t="shared" si="1"/>
        <v>9.8334933647902453E-3</v>
      </c>
      <c r="E36" s="6">
        <v>27</v>
      </c>
      <c r="F36" s="47">
        <v>-26</v>
      </c>
      <c r="G36" s="62">
        <v>1.8132366273798731E-3</v>
      </c>
      <c r="H36" s="19">
        <f>F36-F48</f>
        <v>-11.883333333333335</v>
      </c>
      <c r="I36" s="63">
        <f>G36-G48</f>
        <v>-1.100721075946284E-2</v>
      </c>
      <c r="J36" s="19">
        <f t="shared" si="4"/>
        <v>0.13080235452495009</v>
      </c>
      <c r="K36" s="20"/>
      <c r="L36" s="20">
        <f t="shared" si="3"/>
        <v>141.21361111111113</v>
      </c>
      <c r="M36" s="38">
        <f t="shared" si="0"/>
        <v>1.211586887032345E-4</v>
      </c>
      <c r="N36" s="21"/>
      <c r="Q36" s="41"/>
      <c r="R36" s="41"/>
      <c r="S36" s="41"/>
      <c r="T36" s="41"/>
      <c r="U36" s="41"/>
      <c r="V36" s="58"/>
      <c r="W36" s="58"/>
      <c r="X36" s="77"/>
      <c r="Y36" s="74"/>
      <c r="Z36" s="58"/>
    </row>
    <row r="37" spans="1:26">
      <c r="A37" s="112" t="s">
        <v>70</v>
      </c>
      <c r="C37" s="268">
        <f>B6+(B5*F37)</f>
        <v>1.1696115015788881E-2</v>
      </c>
      <c r="D37" s="340">
        <f t="shared" si="1"/>
        <v>7.1753193557527141E-3</v>
      </c>
      <c r="E37" s="6">
        <v>28</v>
      </c>
      <c r="F37" s="47">
        <v>-25.5</v>
      </c>
      <c r="G37" s="62">
        <v>4.5207956600361665E-3</v>
      </c>
      <c r="H37" s="19">
        <f>F37-F48</f>
        <v>-11.383333333333335</v>
      </c>
      <c r="I37" s="63">
        <f>G37-G48</f>
        <v>-8.2996517268065471E-3</v>
      </c>
      <c r="J37" s="19">
        <f t="shared" si="4"/>
        <v>9.4477702156814544E-2</v>
      </c>
      <c r="K37" s="20"/>
      <c r="L37" s="20">
        <f t="shared" si="3"/>
        <v>129.58027777777781</v>
      </c>
      <c r="M37" s="38">
        <f t="shared" si="0"/>
        <v>6.88842187862829E-5</v>
      </c>
      <c r="N37" s="21"/>
      <c r="Q37" s="41"/>
      <c r="R37" s="41"/>
      <c r="S37" s="41"/>
      <c r="T37" s="41"/>
      <c r="U37" s="41"/>
      <c r="V37" s="58"/>
      <c r="W37" s="58"/>
      <c r="X37" s="77"/>
      <c r="Y37" s="74"/>
      <c r="Z37" s="58"/>
    </row>
    <row r="38" spans="1:26">
      <c r="A38" s="112" t="s">
        <v>71</v>
      </c>
      <c r="C38" s="268">
        <f>B6+(B5*F38)</f>
        <v>1.3651761951091884E-2</v>
      </c>
      <c r="D38" s="340">
        <f t="shared" si="1"/>
        <v>7.2966246887323262E-4</v>
      </c>
      <c r="E38" s="6">
        <v>29</v>
      </c>
      <c r="F38" s="47">
        <v>-5.6999999999999886</v>
      </c>
      <c r="G38" s="62">
        <v>1.2922099482218652E-2</v>
      </c>
      <c r="H38" s="19">
        <f>F38-F48</f>
        <v>8.4166666666666767</v>
      </c>
      <c r="I38" s="63">
        <f>G38-G48</f>
        <v>1.0165209537593874E-4</v>
      </c>
      <c r="J38" s="19">
        <f t="shared" si="4"/>
        <v>8.5557180274748541E-4</v>
      </c>
      <c r="K38" s="20"/>
      <c r="L38" s="20">
        <f t="shared" si="3"/>
        <v>70.840277777777942</v>
      </c>
      <c r="M38" s="38">
        <f t="shared" si="0"/>
        <v>1.0333148494318945E-8</v>
      </c>
      <c r="N38" s="21"/>
      <c r="Q38" s="41"/>
      <c r="R38" s="41"/>
      <c r="S38" s="41"/>
      <c r="T38" s="41"/>
      <c r="U38" s="41"/>
      <c r="V38" s="58"/>
      <c r="W38" s="58"/>
      <c r="X38" s="77"/>
      <c r="Y38" s="74"/>
      <c r="Z38" s="58"/>
    </row>
    <row r="39" spans="1:26">
      <c r="A39" s="112" t="s">
        <v>72</v>
      </c>
      <c r="C39" s="268">
        <f>B6+(B5*F39)</f>
        <v>1.1498574921313832E-2</v>
      </c>
      <c r="D39" s="340">
        <f t="shared" si="1"/>
        <v>5.1283096209982912E-3</v>
      </c>
      <c r="E39" s="6">
        <v>30</v>
      </c>
      <c r="F39" s="47">
        <v>-27.5</v>
      </c>
      <c r="G39" s="62">
        <v>6.3702653003155406E-3</v>
      </c>
      <c r="H39" s="19">
        <f>F39-F48</f>
        <v>-13.383333333333335</v>
      </c>
      <c r="I39" s="63">
        <f>G39-G48</f>
        <v>-6.4501820865271722E-3</v>
      </c>
      <c r="J39" s="19">
        <f t="shared" si="4"/>
        <v>8.6324936924688664E-2</v>
      </c>
      <c r="K39" s="20"/>
      <c r="L39" s="20">
        <f t="shared" si="3"/>
        <v>179.11361111111114</v>
      </c>
      <c r="M39" s="38">
        <f t="shared" si="0"/>
        <v>4.1604848949356028E-5</v>
      </c>
      <c r="N39" s="21"/>
      <c r="Q39" s="41"/>
      <c r="R39" s="41"/>
      <c r="S39" s="41"/>
      <c r="T39" s="41"/>
      <c r="U39" s="41"/>
      <c r="V39" s="58"/>
      <c r="W39" s="58"/>
      <c r="X39" s="77"/>
      <c r="Y39" s="74"/>
      <c r="Z39" s="58"/>
    </row>
    <row r="40" spans="1:26">
      <c r="A40" s="112" t="s">
        <v>73</v>
      </c>
      <c r="C40" s="268">
        <f>B6+(B5*F40)</f>
        <v>1.3276435771589287E-2</v>
      </c>
      <c r="D40" s="340">
        <f t="shared" si="1"/>
        <v>-1.319769178557076E-2</v>
      </c>
      <c r="E40" s="6">
        <v>31</v>
      </c>
      <c r="F40" s="47">
        <v>-9.5</v>
      </c>
      <c r="G40" s="62">
        <v>2.6474127557160047E-2</v>
      </c>
      <c r="H40" s="19">
        <f>F40-F48</f>
        <v>4.6166666666666654</v>
      </c>
      <c r="I40" s="63">
        <f>G40-G48</f>
        <v>1.3653680170317335E-2</v>
      </c>
      <c r="J40" s="19">
        <f t="shared" si="4"/>
        <v>6.3034490119631678E-2</v>
      </c>
      <c r="K40" s="20"/>
      <c r="L40" s="20">
        <f t="shared" si="3"/>
        <v>21.313611111111101</v>
      </c>
      <c r="M40" s="38">
        <f t="shared" si="0"/>
        <v>1.864229821933168E-4</v>
      </c>
      <c r="N40" s="21"/>
      <c r="Q40" s="41"/>
      <c r="R40" s="41"/>
      <c r="S40" s="41"/>
      <c r="T40" s="41"/>
      <c r="U40" s="41"/>
      <c r="V40" s="58"/>
      <c r="W40" s="58"/>
      <c r="X40" s="77"/>
      <c r="Y40" s="74"/>
      <c r="Z40" s="58"/>
    </row>
    <row r="41" spans="1:26">
      <c r="A41" s="112" t="s">
        <v>74</v>
      </c>
      <c r="C41" s="268">
        <f>B6+(B5*F41)</f>
        <v>1.2120826218910242E-2</v>
      </c>
      <c r="D41" s="340">
        <f t="shared" si="1"/>
        <v>8.5241629942116072E-3</v>
      </c>
      <c r="E41" s="6">
        <v>32</v>
      </c>
      <c r="F41" s="47">
        <v>-21.199999999999989</v>
      </c>
      <c r="G41" s="62">
        <v>3.5966632246986342E-3</v>
      </c>
      <c r="H41" s="19">
        <f>F41-F48</f>
        <v>-7.0833333333333233</v>
      </c>
      <c r="I41" s="63">
        <f>G41-G48</f>
        <v>-9.2237841621440782E-3</v>
      </c>
      <c r="J41" s="19">
        <f t="shared" si="4"/>
        <v>6.5335137815187128E-2</v>
      </c>
      <c r="K41" s="20"/>
      <c r="L41" s="20">
        <f t="shared" si="3"/>
        <v>50.173611111110965</v>
      </c>
      <c r="M41" s="38">
        <f t="shared" si="0"/>
        <v>8.5078194269819931E-5</v>
      </c>
      <c r="N41" s="21"/>
      <c r="Q41" s="41"/>
      <c r="R41" s="41"/>
      <c r="S41" s="41"/>
      <c r="T41" s="41"/>
      <c r="U41" s="41"/>
      <c r="V41" s="58"/>
      <c r="W41" s="58"/>
      <c r="X41" s="77"/>
      <c r="Y41" s="74"/>
      <c r="Z41" s="58"/>
    </row>
    <row r="42" spans="1:26">
      <c r="A42" s="112" t="s">
        <v>75</v>
      </c>
      <c r="C42" s="268">
        <f>B6+(B5*F42)</f>
        <v>1.3246804757418029E-2</v>
      </c>
      <c r="D42" s="340">
        <f t="shared" si="1"/>
        <v>-4.7002502721806352E-2</v>
      </c>
      <c r="E42" s="6">
        <v>33</v>
      </c>
      <c r="F42" s="47">
        <v>-9.8000000000000114</v>
      </c>
      <c r="G42" s="62">
        <v>6.0249307479224377E-2</v>
      </c>
      <c r="H42" s="19">
        <f>F42-F48</f>
        <v>4.316666666666654</v>
      </c>
      <c r="I42" s="63">
        <f>G42-G48</f>
        <v>4.7428860092381661E-2</v>
      </c>
      <c r="J42" s="19">
        <f t="shared" si="4"/>
        <v>0.20473457939878023</v>
      </c>
      <c r="K42" s="20"/>
      <c r="L42" s="20">
        <f t="shared" si="3"/>
        <v>18.633611111111001</v>
      </c>
      <c r="M42" s="38">
        <f t="shared" si="0"/>
        <v>2.2494967696627139E-3</v>
      </c>
      <c r="N42" s="21"/>
      <c r="Q42" s="41"/>
      <c r="R42" s="41"/>
      <c r="S42" s="41"/>
      <c r="T42" s="41"/>
      <c r="U42" s="41"/>
      <c r="V42" s="58"/>
      <c r="W42" s="58"/>
      <c r="X42" s="77"/>
      <c r="Y42" s="74"/>
      <c r="Z42" s="58"/>
    </row>
    <row r="43" spans="1:26">
      <c r="A43" s="112" t="s">
        <v>76</v>
      </c>
      <c r="C43" s="268">
        <f>B6+(B5*F43)</f>
        <v>1.3572745913301864E-2</v>
      </c>
      <c r="D43" s="340">
        <f t="shared" si="1"/>
        <v>-4.3978250526608056E-3</v>
      </c>
      <c r="E43" s="6">
        <v>34</v>
      </c>
      <c r="F43" s="47">
        <v>-6.5</v>
      </c>
      <c r="G43" s="62">
        <v>1.7970570965962669E-2</v>
      </c>
      <c r="H43" s="19">
        <f>F43-F48</f>
        <v>7.6166666666666654</v>
      </c>
      <c r="I43" s="63">
        <f>G43-G48</f>
        <v>5.1501235791199564E-3</v>
      </c>
      <c r="J43" s="19">
        <f t="shared" si="4"/>
        <v>3.9226774594296993E-2</v>
      </c>
      <c r="K43" s="20"/>
      <c r="L43" s="20">
        <f t="shared" si="3"/>
        <v>58.013611111111089</v>
      </c>
      <c r="M43" s="38">
        <f t="shared" si="0"/>
        <v>2.652377288020735E-5</v>
      </c>
      <c r="N43" s="21"/>
      <c r="Q43" s="26"/>
      <c r="R43" s="80"/>
      <c r="S43" s="41"/>
      <c r="T43" s="41"/>
      <c r="U43" s="41"/>
      <c r="V43" s="58"/>
      <c r="W43" s="58"/>
      <c r="X43" s="77"/>
      <c r="Y43" s="74"/>
      <c r="Z43" s="58"/>
    </row>
    <row r="44" spans="1:26">
      <c r="A44" s="112" t="s">
        <v>77</v>
      </c>
      <c r="C44" s="268">
        <f>B6+(B5*F44)</f>
        <v>1.3711023979434399E-2</v>
      </c>
      <c r="D44" s="340">
        <f t="shared" si="1"/>
        <v>-4.4512624048503868E-5</v>
      </c>
      <c r="E44" s="6">
        <v>35</v>
      </c>
      <c r="F44" s="47">
        <v>-5.0999999999999943</v>
      </c>
      <c r="G44" s="62">
        <v>1.3755536603482903E-2</v>
      </c>
      <c r="H44" s="19">
        <f>F44-F48</f>
        <v>9.016666666666671</v>
      </c>
      <c r="I44" s="63">
        <f>G44-G48</f>
        <v>9.3508921664019022E-4</v>
      </c>
      <c r="J44" s="19">
        <f t="shared" si="4"/>
        <v>8.4313877700390519E-3</v>
      </c>
      <c r="K44" s="20"/>
      <c r="L44" s="20">
        <f t="shared" si="3"/>
        <v>81.30027777777785</v>
      </c>
      <c r="M44" s="38">
        <f t="shared" si="0"/>
        <v>8.7439184307676458E-7</v>
      </c>
      <c r="N44" s="21"/>
      <c r="Q44" s="41"/>
      <c r="R44" s="80"/>
      <c r="S44" s="41"/>
      <c r="T44" s="41"/>
      <c r="U44" s="41"/>
      <c r="V44" s="58"/>
      <c r="W44" s="58"/>
      <c r="X44" s="77"/>
      <c r="Y44" s="74"/>
      <c r="Z44" s="58"/>
    </row>
    <row r="45" spans="1:26">
      <c r="A45" s="112" t="s">
        <v>78</v>
      </c>
      <c r="C45" s="268">
        <f>B6+(B5*F45)</f>
        <v>1.2891232587362937E-2</v>
      </c>
      <c r="D45" s="340">
        <f t="shared" si="1"/>
        <v>9.0889512185416445E-3</v>
      </c>
      <c r="E45" s="6">
        <v>36</v>
      </c>
      <c r="F45" s="47">
        <v>-13.400000000000006</v>
      </c>
      <c r="G45" s="62">
        <v>3.8022813688212928E-3</v>
      </c>
      <c r="H45" s="19">
        <f>F45-F48</f>
        <v>0.71666666666665968</v>
      </c>
      <c r="I45" s="63">
        <f>G45-G48</f>
        <v>-9.0181660180214205E-3</v>
      </c>
      <c r="J45" s="19">
        <f t="shared" si="4"/>
        <v>-6.4630189795819547E-3</v>
      </c>
      <c r="K45" s="20"/>
      <c r="L45" s="20">
        <f t="shared" si="3"/>
        <v>0.51361111111110114</v>
      </c>
      <c r="M45" s="38">
        <f t="shared" si="0"/>
        <v>8.1327318328596327E-5</v>
      </c>
      <c r="N45" s="21"/>
      <c r="Q45" s="41"/>
      <c r="R45" s="81"/>
      <c r="S45" s="41"/>
      <c r="T45" s="82"/>
      <c r="U45" s="41"/>
      <c r="V45" s="58"/>
      <c r="W45" s="58"/>
      <c r="X45" s="77"/>
      <c r="Y45" s="74"/>
      <c r="Z45" s="58"/>
    </row>
    <row r="46" spans="1:26" ht="12.75">
      <c r="C46" s="340"/>
      <c r="D46" s="340"/>
      <c r="E46" s="6"/>
      <c r="F46" s="91"/>
      <c r="G46" s="92"/>
      <c r="H46" s="65"/>
      <c r="J46" s="60"/>
      <c r="K46" s="6"/>
      <c r="L46" s="6"/>
      <c r="M46" s="18"/>
      <c r="N46" s="6"/>
      <c r="Q46" s="41"/>
      <c r="R46" s="83"/>
      <c r="S46" s="41"/>
      <c r="T46" s="41"/>
      <c r="U46" s="41"/>
      <c r="V46" s="58"/>
      <c r="W46" s="58"/>
      <c r="X46" s="77"/>
      <c r="Y46" s="74"/>
      <c r="Z46" s="58"/>
    </row>
    <row r="47" spans="1:26" ht="13.5" thickBot="1">
      <c r="B47" s="2" t="s">
        <v>16</v>
      </c>
      <c r="C47" s="340"/>
      <c r="D47" s="340"/>
      <c r="M47" s="18"/>
      <c r="N47" s="6"/>
      <c r="Q47" s="41"/>
      <c r="R47" s="41"/>
      <c r="S47" s="41"/>
      <c r="T47" s="41"/>
      <c r="U47" s="41"/>
      <c r="V47" s="58"/>
      <c r="W47" s="58"/>
      <c r="X47" s="77"/>
      <c r="Y47" s="74"/>
      <c r="Z47" s="58"/>
    </row>
    <row r="48" spans="1:26" ht="13.5" thickBot="1">
      <c r="B48" s="2" t="s">
        <v>0</v>
      </c>
      <c r="C48" s="340">
        <f>AVERAGE(C10:C45)</f>
        <v>1.2820447386842711E-2</v>
      </c>
      <c r="D48" s="340">
        <f>AVERAGE(D10:D45)</f>
        <v>-3.1321396094025684E-18</v>
      </c>
      <c r="F48" s="18">
        <f>AVERAGE(F10:F45)</f>
        <v>-14.116666666666665</v>
      </c>
      <c r="G48" s="64">
        <f>AVERAGE(G10:G45)</f>
        <v>1.2820447386842713E-2</v>
      </c>
      <c r="H48" s="19">
        <f t="shared" ref="H48:I48" si="5">AVERAGE(H10:H45)</f>
        <v>2.4671622769447924E-16</v>
      </c>
      <c r="I48" s="19">
        <f t="shared" si="5"/>
        <v>1.7347234759768071E-18</v>
      </c>
      <c r="J48" s="59">
        <f>SUM(J10:J45)</f>
        <v>0.50288670780938793</v>
      </c>
      <c r="K48" s="27" t="s">
        <v>16</v>
      </c>
      <c r="L48" s="28">
        <f>SUM(L10:L45)</f>
        <v>5091.4900000000016</v>
      </c>
      <c r="M48" s="28">
        <f>SUM(M10:M45)</f>
        <v>4.7019539476651252E-3</v>
      </c>
      <c r="N48" s="28">
        <f>M48*L48</f>
        <v>23.939951504997516</v>
      </c>
      <c r="Q48" s="41"/>
      <c r="R48" s="41"/>
      <c r="S48" s="41"/>
      <c r="T48" s="82"/>
      <c r="U48" s="84"/>
      <c r="V48" s="85"/>
      <c r="W48" s="86"/>
      <c r="X48" s="77"/>
      <c r="Y48" s="74"/>
      <c r="Z48" s="87"/>
    </row>
    <row r="49" spans="1:26" ht="15" thickBot="1">
      <c r="B49" s="15" t="s">
        <v>17</v>
      </c>
      <c r="C49" s="29">
        <f>STDEVA(C10:C45)</f>
        <v>1.1912795508006969E-3</v>
      </c>
      <c r="D49" s="29">
        <f>STDEVA(D10:D45)</f>
        <v>1.1529197473966035E-2</v>
      </c>
      <c r="E49" s="15"/>
      <c r="F49" s="30">
        <f>STDEVA(F10:F45)</f>
        <v>12.06114185544399</v>
      </c>
      <c r="G49" s="29">
        <f>STDEVA(G10:G45)</f>
        <v>1.1590579854427508E-2</v>
      </c>
      <c r="H49" s="30">
        <f>STDEVA(H10:H45)</f>
        <v>12.06114185544399</v>
      </c>
      <c r="I49" s="30">
        <f>STDEVA(I10:I45)</f>
        <v>1.1590579854427505E-2</v>
      </c>
      <c r="J49" s="31" t="s">
        <v>16</v>
      </c>
      <c r="K49" s="32"/>
      <c r="L49" s="33"/>
      <c r="M49" s="33"/>
      <c r="N49" s="34"/>
      <c r="Q49" s="41"/>
      <c r="R49" s="41"/>
      <c r="S49" s="41"/>
      <c r="T49" s="41"/>
      <c r="U49" s="84"/>
      <c r="V49" s="85"/>
      <c r="W49" s="85"/>
      <c r="X49" s="88"/>
      <c r="Y49" s="89"/>
      <c r="Z49" s="41"/>
    </row>
    <row r="50" spans="1:26" ht="15.75">
      <c r="B50" s="15" t="s">
        <v>18</v>
      </c>
      <c r="C50" s="35">
        <f>C49^2</f>
        <v>1.4191469681559102E-6</v>
      </c>
      <c r="D50" s="35">
        <f>D49^2</f>
        <v>1.3292239439370479E-4</v>
      </c>
      <c r="E50" s="15"/>
      <c r="F50" s="30">
        <f>F49^2</f>
        <v>145.47114285714289</v>
      </c>
      <c r="G50" s="35">
        <f>G49^2</f>
        <v>1.3434154136186078E-4</v>
      </c>
      <c r="H50" s="30">
        <f>H49^2</f>
        <v>145.47114285714289</v>
      </c>
      <c r="I50" s="30">
        <f>I49^2</f>
        <v>1.343415413618607E-4</v>
      </c>
      <c r="J50" s="33"/>
      <c r="K50" s="27"/>
      <c r="L50" s="33"/>
      <c r="M50" s="33"/>
      <c r="N50" s="34"/>
      <c r="Q50" s="41"/>
      <c r="R50" s="41"/>
      <c r="S50" s="41"/>
      <c r="T50" s="41"/>
      <c r="U50" s="84"/>
      <c r="V50" s="85"/>
      <c r="W50" s="85"/>
      <c r="X50" s="41"/>
      <c r="Y50" s="41"/>
      <c r="Z50" s="41"/>
    </row>
    <row r="51" spans="1:26">
      <c r="B51" s="2" t="s">
        <v>19</v>
      </c>
      <c r="C51" s="30">
        <f>COUNT(C10:C45)</f>
        <v>36</v>
      </c>
      <c r="D51" s="30">
        <f>COUNT(D10:D45)</f>
        <v>36</v>
      </c>
      <c r="F51" s="30">
        <f>COUNT(F10:F45)</f>
        <v>36</v>
      </c>
      <c r="G51" s="30">
        <f>COUNT(G10:G45)</f>
        <v>36</v>
      </c>
      <c r="I51" s="27"/>
      <c r="J51" s="33"/>
      <c r="K51" s="27"/>
      <c r="L51" s="33"/>
      <c r="M51" s="33"/>
      <c r="N51" s="34"/>
      <c r="Q51" s="41"/>
      <c r="R51" s="41"/>
      <c r="S51" s="41"/>
      <c r="T51" s="41"/>
      <c r="U51" s="41"/>
      <c r="V51" s="41"/>
      <c r="W51" s="41"/>
      <c r="X51" s="41"/>
      <c r="Y51" s="41"/>
      <c r="Z51" s="41"/>
    </row>
    <row r="52" spans="1:26">
      <c r="B52" s="36" t="s">
        <v>20</v>
      </c>
      <c r="C52" s="37">
        <f>C48/C49</f>
        <v>10.761913421770466</v>
      </c>
      <c r="D52" s="37">
        <f>D48/D49</f>
        <v>-2.716702195859878E-16</v>
      </c>
      <c r="E52" s="36"/>
      <c r="F52" s="37">
        <f>F48/F49</f>
        <v>-1.1704253905524609</v>
      </c>
      <c r="G52" s="37">
        <f>G48/G49</f>
        <v>1.1061092324855004</v>
      </c>
      <c r="I52" s="27"/>
      <c r="J52" s="36"/>
      <c r="Q52" s="41"/>
      <c r="R52" s="41"/>
      <c r="S52" s="41"/>
      <c r="T52" s="41"/>
      <c r="U52" s="41"/>
      <c r="V52" s="41"/>
      <c r="W52" s="41"/>
      <c r="X52" s="41"/>
      <c r="Y52" s="41"/>
      <c r="Z52" s="41"/>
    </row>
    <row r="53" spans="1:26">
      <c r="B53" s="36"/>
      <c r="C53" s="37"/>
      <c r="D53" s="36"/>
      <c r="E53" s="36"/>
      <c r="F53" s="37"/>
      <c r="G53" s="37"/>
      <c r="I53" s="27"/>
      <c r="J53" s="36"/>
      <c r="Q53" s="41"/>
      <c r="R53" s="41"/>
      <c r="S53" s="41"/>
      <c r="T53" s="41"/>
      <c r="U53" s="41"/>
      <c r="V53" s="41"/>
      <c r="W53" s="41"/>
      <c r="X53" s="41"/>
      <c r="Y53" s="41"/>
      <c r="Z53" s="41"/>
    </row>
    <row r="54" spans="1:26">
      <c r="B54" s="36"/>
      <c r="C54" s="37"/>
      <c r="D54" s="36"/>
      <c r="E54" s="36"/>
      <c r="F54" s="37"/>
      <c r="G54" s="48" t="s">
        <v>21</v>
      </c>
      <c r="I54" s="49" t="s">
        <v>22</v>
      </c>
      <c r="J54" s="36"/>
    </row>
    <row r="55" spans="1:26" ht="15.75">
      <c r="A55" s="2" t="s">
        <v>23</v>
      </c>
      <c r="C55" s="37"/>
      <c r="D55" s="36"/>
      <c r="E55" s="36"/>
      <c r="G55" s="24">
        <f>B7*(SQRT((C51-2)/(1-B8)))</f>
        <v>0.60249586059369142</v>
      </c>
      <c r="H55" s="40"/>
      <c r="I55" s="42">
        <f>TDIST(ABS(G55),8,2)</f>
        <v>0.56352790074230019</v>
      </c>
      <c r="J55" s="50" t="s">
        <v>57</v>
      </c>
      <c r="N55" s="2"/>
      <c r="O55" s="41"/>
      <c r="P55" s="43"/>
    </row>
    <row r="56" spans="1:26" ht="15.75">
      <c r="A56" s="2" t="s">
        <v>24</v>
      </c>
      <c r="C56" s="37"/>
      <c r="D56" s="36"/>
      <c r="E56" s="36"/>
      <c r="G56" s="24">
        <f>B5/((G49/F49)*SQRT((1-B8)/(G51-2)))</f>
        <v>0.60249586059369142</v>
      </c>
      <c r="H56" s="36"/>
      <c r="I56" s="42">
        <f>TDIST(ABS(G56),8,2)</f>
        <v>0.56352790074230019</v>
      </c>
      <c r="J56" s="36"/>
      <c r="K56" s="36"/>
      <c r="N56" s="2"/>
      <c r="O56" s="36"/>
      <c r="P56" s="43"/>
    </row>
    <row r="57" spans="1:26" ht="12.75">
      <c r="C57" s="37"/>
      <c r="D57" s="36"/>
      <c r="E57" s="36"/>
      <c r="J57" s="36"/>
      <c r="K57" s="36"/>
      <c r="N57" s="2"/>
      <c r="O57" s="36"/>
      <c r="P57" s="43"/>
    </row>
    <row r="58" spans="1:26" ht="15.75">
      <c r="A58" s="2" t="s">
        <v>25</v>
      </c>
      <c r="B58" s="37"/>
      <c r="D58" s="38"/>
      <c r="E58" s="56">
        <f>Q58*((G49/F49)*SQRT((1-B7^2)/(G51-2)))</f>
        <v>3.3315562697098193E-4</v>
      </c>
      <c r="F58" s="51" t="s">
        <v>26</v>
      </c>
      <c r="G58" s="98">
        <f>B5-E58</f>
        <v>-2.3438557973345659E-4</v>
      </c>
      <c r="H58" s="51" t="s">
        <v>27</v>
      </c>
      <c r="I58" s="98">
        <f>B5+E58</f>
        <v>4.3192567420850727E-4</v>
      </c>
      <c r="K58" s="51" t="s">
        <v>28</v>
      </c>
      <c r="L58" s="52">
        <v>0.95</v>
      </c>
      <c r="M58" s="51" t="s">
        <v>29</v>
      </c>
      <c r="N58" s="53">
        <f>C51-2</f>
        <v>34</v>
      </c>
      <c r="P58" s="54" t="s">
        <v>30</v>
      </c>
      <c r="Q58" s="55">
        <f>TINV((1-L58),N58)</f>
        <v>2.0322445093177191</v>
      </c>
    </row>
    <row r="59" spans="1:26" ht="12.75">
      <c r="B59" s="37"/>
      <c r="E59" s="38"/>
      <c r="G59" s="36"/>
      <c r="J59" s="36"/>
      <c r="K59" s="36"/>
      <c r="L59" s="36"/>
      <c r="M59" s="36"/>
      <c r="N59" s="36"/>
      <c r="O59" s="36"/>
      <c r="P59" s="43"/>
    </row>
    <row r="60" spans="1:26" ht="12.75">
      <c r="N60" s="2"/>
    </row>
    <row r="63" spans="1:26">
      <c r="A63" s="16" t="s">
        <v>13</v>
      </c>
      <c r="B63" s="17">
        <f>J97/L97</f>
        <v>2.0309516433514364E-4</v>
      </c>
      <c r="D63" s="94"/>
      <c r="E63" s="95"/>
      <c r="F63" s="93" t="str">
        <f>F68</f>
        <v>X = Dif PAS [desp vs antes]</v>
      </c>
      <c r="G63" s="95"/>
      <c r="H63" s="15"/>
      <c r="I63" s="96" t="str">
        <f>G68</f>
        <v>Y = MortCV /año</v>
      </c>
      <c r="L63" s="265"/>
      <c r="M63" s="265"/>
      <c r="N63" s="265"/>
    </row>
    <row r="64" spans="1:26">
      <c r="A64" s="22" t="s">
        <v>14</v>
      </c>
      <c r="B64" s="23">
        <f>B66*G98/F98</f>
        <v>2.0309516433514381E-4</v>
      </c>
      <c r="D64" s="97" t="s">
        <v>37</v>
      </c>
      <c r="E64" s="128">
        <v>-1</v>
      </c>
      <c r="F64" s="93" t="s">
        <v>33</v>
      </c>
      <c r="G64" s="15" t="s">
        <v>36</v>
      </c>
      <c r="H64" s="15"/>
      <c r="I64" s="96" t="s">
        <v>166</v>
      </c>
      <c r="J64" s="127">
        <f>E64*B64</f>
        <v>-2.0309516433514381E-4</v>
      </c>
      <c r="K64" s="6" t="s">
        <v>35</v>
      </c>
      <c r="L64" s="127">
        <f>E64*G107</f>
        <v>-6.0338791699195138E-5</v>
      </c>
      <c r="M64" s="6" t="s">
        <v>34</v>
      </c>
      <c r="N64" s="127">
        <f>E64*I107</f>
        <v>-3.4585153697109247E-4</v>
      </c>
    </row>
    <row r="65" spans="1:26">
      <c r="A65" s="16" t="s">
        <v>15</v>
      </c>
      <c r="B65" s="17">
        <f>G97-(F97*B63)</f>
        <v>8.3584488667982834E-3</v>
      </c>
      <c r="M65" s="4"/>
    </row>
    <row r="66" spans="1:26">
      <c r="A66" s="25" t="s">
        <v>31</v>
      </c>
      <c r="B66" s="24">
        <f>J97/SQRT(N97)</f>
        <v>0.51409123163211623</v>
      </c>
      <c r="M66" s="4"/>
    </row>
    <row r="67" spans="1:26" ht="26.25" customHeight="1" thickBot="1">
      <c r="A67" s="108" t="s">
        <v>32</v>
      </c>
      <c r="B67" s="109">
        <f>B66^2</f>
        <v>0.26428979444102618</v>
      </c>
      <c r="C67" s="110">
        <f>1-B67</f>
        <v>0.73571020555897382</v>
      </c>
      <c r="F67" s="7"/>
      <c r="G67" s="8"/>
      <c r="H67" s="269" t="s">
        <v>1</v>
      </c>
      <c r="I67" s="270"/>
      <c r="J67" s="9" t="s">
        <v>2</v>
      </c>
      <c r="K67" s="10"/>
      <c r="L67" s="9" t="s">
        <v>3</v>
      </c>
      <c r="M67" s="9" t="s">
        <v>4</v>
      </c>
      <c r="N67" s="9" t="s">
        <v>5</v>
      </c>
      <c r="Q67" s="41"/>
      <c r="R67" s="41"/>
      <c r="S67" s="41"/>
      <c r="T67" s="41"/>
      <c r="U67" s="43"/>
      <c r="V67" s="68"/>
      <c r="W67" s="68"/>
      <c r="X67" s="41"/>
      <c r="Y67" s="41"/>
      <c r="Z67" s="69"/>
    </row>
    <row r="68" spans="1:26" ht="37.5" customHeight="1" thickBot="1">
      <c r="A68" s="114" t="s">
        <v>42</v>
      </c>
      <c r="C68" s="11" t="s">
        <v>174</v>
      </c>
      <c r="D68" s="12" t="s">
        <v>6</v>
      </c>
      <c r="E68" s="12" t="s">
        <v>39</v>
      </c>
      <c r="F68" s="44" t="s">
        <v>189</v>
      </c>
      <c r="G68" s="45" t="s">
        <v>183</v>
      </c>
      <c r="H68" s="13" t="s">
        <v>7</v>
      </c>
      <c r="I68" s="14" t="s">
        <v>8</v>
      </c>
      <c r="J68" s="14" t="s">
        <v>9</v>
      </c>
      <c r="L68" s="14" t="s">
        <v>10</v>
      </c>
      <c r="M68" s="14" t="s">
        <v>11</v>
      </c>
      <c r="N68" s="14" t="s">
        <v>12</v>
      </c>
      <c r="Q68" s="41"/>
      <c r="R68" s="41"/>
      <c r="S68" s="70"/>
      <c r="T68" s="71"/>
      <c r="U68" s="41"/>
      <c r="V68" s="90"/>
      <c r="W68" s="90"/>
      <c r="X68" s="73"/>
      <c r="Y68" s="74"/>
      <c r="Z68" s="90"/>
    </row>
    <row r="69" spans="1:26">
      <c r="A69" s="112" t="s">
        <v>61</v>
      </c>
      <c r="C69" s="268">
        <f>B65+(B64*F69)</f>
        <v>2.2046653874434234E-3</v>
      </c>
      <c r="D69" s="340">
        <f t="shared" ref="D69:D94" si="6">C69-G69</f>
        <v>-1.8296939058713071E-3</v>
      </c>
      <c r="E69" s="6">
        <v>1</v>
      </c>
      <c r="F69" s="46">
        <v>-30.300000000000011</v>
      </c>
      <c r="G69" s="61">
        <v>4.0343592933147305E-3</v>
      </c>
      <c r="H69" s="19">
        <f>F69-F97</f>
        <v>-13.823076923076936</v>
      </c>
      <c r="I69" s="63">
        <f>G69-G97</f>
        <v>-9.7770617343834014E-4</v>
      </c>
      <c r="J69" s="19">
        <f t="shared" ref="J69:J94" si="7">H69*I69</f>
        <v>1.3514907643605377E-2</v>
      </c>
      <c r="K69" s="20"/>
      <c r="L69" s="20">
        <f t="shared" ref="L69:L94" si="8">H69^2</f>
        <v>191.07745562130214</v>
      </c>
      <c r="M69" s="38">
        <f t="shared" ref="M69:M94" si="9">I69^2</f>
        <v>9.5590936157944169E-7</v>
      </c>
      <c r="N69" s="21"/>
      <c r="Q69" s="75"/>
      <c r="R69" s="76"/>
      <c r="S69" s="41"/>
      <c r="T69" s="41"/>
      <c r="U69" s="41"/>
      <c r="V69" s="58"/>
      <c r="W69" s="58"/>
      <c r="X69" s="77"/>
      <c r="Y69" s="74"/>
      <c r="Z69" s="58"/>
    </row>
    <row r="70" spans="1:26">
      <c r="A70" s="112" t="s">
        <v>63</v>
      </c>
      <c r="C70" s="268">
        <f>B65+(B64*F70)</f>
        <v>5.3120214017711269E-3</v>
      </c>
      <c r="D70" s="340">
        <f t="shared" si="6"/>
        <v>-5.5247671395029022E-3</v>
      </c>
      <c r="E70" s="6">
        <v>2</v>
      </c>
      <c r="F70" s="46">
        <v>-15</v>
      </c>
      <c r="G70" s="61">
        <v>1.0836788541274029E-2</v>
      </c>
      <c r="H70" s="19">
        <f>F70-F97</f>
        <v>1.4769230769230752</v>
      </c>
      <c r="I70" s="63">
        <f>G70-G97</f>
        <v>5.8247230745209584E-3</v>
      </c>
      <c r="J70" s="19">
        <f t="shared" si="7"/>
        <v>8.6026679254463286E-3</v>
      </c>
      <c r="K70" s="20"/>
      <c r="L70" s="20">
        <f t="shared" si="8"/>
        <v>2.181301775147924</v>
      </c>
      <c r="M70" s="38">
        <f t="shared" si="9"/>
        <v>3.3927398894856886E-5</v>
      </c>
      <c r="N70" s="21"/>
      <c r="Q70" s="75"/>
      <c r="R70" s="76"/>
      <c r="S70" s="41"/>
      <c r="T70" s="41"/>
      <c r="U70" s="41"/>
      <c r="V70" s="58"/>
      <c r="W70" s="58"/>
      <c r="X70" s="77"/>
      <c r="Y70" s="74"/>
      <c r="Z70" s="58"/>
    </row>
    <row r="71" spans="1:26">
      <c r="A71" s="129" t="s">
        <v>65</v>
      </c>
      <c r="C71" s="268">
        <f>B65+(B64*F71)</f>
        <v>6.7336875521171327E-3</v>
      </c>
      <c r="D71" s="340">
        <f t="shared" si="6"/>
        <v>-4.2367765829039649E-3</v>
      </c>
      <c r="E71" s="6">
        <v>3</v>
      </c>
      <c r="F71" s="46">
        <v>-8</v>
      </c>
      <c r="G71" s="61">
        <v>1.0970464135021098E-2</v>
      </c>
      <c r="H71" s="19">
        <f>F71-F97</f>
        <v>8.4769230769230752</v>
      </c>
      <c r="I71" s="63">
        <f>G71-G97</f>
        <v>5.958398668268027E-3</v>
      </c>
      <c r="J71" s="19">
        <f t="shared" si="7"/>
        <v>5.0508887172548957E-2</v>
      </c>
      <c r="K71" s="20"/>
      <c r="L71" s="20">
        <f t="shared" si="8"/>
        <v>71.858224852070975</v>
      </c>
      <c r="M71" s="38">
        <f t="shared" si="9"/>
        <v>3.5502514690018198E-5</v>
      </c>
      <c r="N71" s="21"/>
      <c r="Q71" s="75"/>
      <c r="R71" s="76"/>
      <c r="S71" s="41"/>
      <c r="T71" s="41"/>
      <c r="U71" s="41"/>
      <c r="V71" s="58"/>
      <c r="W71" s="58"/>
      <c r="X71" s="77"/>
      <c r="Y71" s="74"/>
      <c r="Z71" s="58"/>
    </row>
    <row r="72" spans="1:26">
      <c r="A72" s="112" t="s">
        <v>67</v>
      </c>
      <c r="C72" s="268">
        <f>B65+(B64*F72)</f>
        <v>6.9977112657528227E-3</v>
      </c>
      <c r="D72" s="340">
        <f t="shared" si="6"/>
        <v>3.2551962956929425E-3</v>
      </c>
      <c r="E72" s="6">
        <v>4</v>
      </c>
      <c r="F72" s="46">
        <v>-6.6999999999999886</v>
      </c>
      <c r="G72" s="61">
        <v>3.7425149700598802E-3</v>
      </c>
      <c r="H72" s="19">
        <f>F72-F97</f>
        <v>9.7769230769230866</v>
      </c>
      <c r="I72" s="63">
        <f>G72-G97</f>
        <v>-1.2695504966931904E-3</v>
      </c>
      <c r="J72" s="19">
        <f t="shared" si="7"/>
        <v>-1.241229754843882E-2</v>
      </c>
      <c r="K72" s="20"/>
      <c r="L72" s="20">
        <f t="shared" si="8"/>
        <v>95.588224852071193</v>
      </c>
      <c r="M72" s="38">
        <f t="shared" si="9"/>
        <v>1.6117584636539265E-6</v>
      </c>
      <c r="N72" s="21"/>
      <c r="Q72" s="75"/>
      <c r="R72" s="76"/>
      <c r="S72" s="41"/>
      <c r="T72" s="41"/>
      <c r="U72" s="41"/>
      <c r="V72" s="58"/>
      <c r="W72" s="58"/>
      <c r="X72" s="77"/>
      <c r="Y72" s="74"/>
      <c r="Z72" s="58"/>
    </row>
    <row r="73" spans="1:26">
      <c r="A73" s="112" t="s">
        <v>69</v>
      </c>
      <c r="C73" s="268">
        <f>B65+(B64*F73)</f>
        <v>1.1079515000336519E-3</v>
      </c>
      <c r="D73" s="340">
        <f t="shared" si="6"/>
        <v>-9.1725102021837342E-4</v>
      </c>
      <c r="E73" s="6">
        <v>5</v>
      </c>
      <c r="F73" s="46">
        <v>-35.699999999999989</v>
      </c>
      <c r="G73" s="61">
        <v>2.0252025202520253E-3</v>
      </c>
      <c r="H73" s="19">
        <f>F73-F97</f>
        <v>-19.223076923076913</v>
      </c>
      <c r="I73" s="63">
        <f>G73-G97</f>
        <v>-2.9868629465010454E-3</v>
      </c>
      <c r="J73" s="19">
        <f t="shared" si="7"/>
        <v>5.7416696179277756E-2</v>
      </c>
      <c r="K73" s="20"/>
      <c r="L73" s="20">
        <f t="shared" si="8"/>
        <v>369.52668639053218</v>
      </c>
      <c r="M73" s="38">
        <f t="shared" si="9"/>
        <v>8.9213502611809073E-6</v>
      </c>
      <c r="N73" s="21"/>
      <c r="Q73" s="75"/>
      <c r="R73" s="76"/>
      <c r="S73" s="41"/>
      <c r="T73" s="41"/>
      <c r="U73" s="41"/>
      <c r="V73" s="58"/>
      <c r="W73" s="58"/>
      <c r="X73" s="77"/>
      <c r="Y73" s="74"/>
      <c r="Z73" s="58"/>
    </row>
    <row r="74" spans="1:26">
      <c r="A74" s="112" t="s">
        <v>71</v>
      </c>
      <c r="C74" s="268">
        <f>B65+(B64*F74)</f>
        <v>4.5605692937310972E-3</v>
      </c>
      <c r="D74" s="340">
        <f t="shared" si="6"/>
        <v>-8.4415443480764622E-4</v>
      </c>
      <c r="E74" s="6">
        <v>6</v>
      </c>
      <c r="F74" s="46">
        <v>-18.699999999999989</v>
      </c>
      <c r="G74" s="61">
        <v>5.4047237285387434E-3</v>
      </c>
      <c r="H74" s="19">
        <f>F74-F97</f>
        <v>-2.2230769230769134</v>
      </c>
      <c r="I74" s="63">
        <f>G74-G97</f>
        <v>3.9265826178567272E-4</v>
      </c>
      <c r="J74" s="19">
        <f t="shared" si="7"/>
        <v>-8.7290952043122248E-4</v>
      </c>
      <c r="K74" s="20"/>
      <c r="L74" s="20">
        <f t="shared" si="8"/>
        <v>4.9420710059171169</v>
      </c>
      <c r="M74" s="38">
        <f t="shared" si="9"/>
        <v>1.5418051054854589E-7</v>
      </c>
      <c r="N74" s="21"/>
      <c r="Q74" s="75"/>
      <c r="R74" s="76"/>
      <c r="S74" s="41"/>
      <c r="T74" s="41"/>
      <c r="U74" s="41"/>
      <c r="V74" s="58"/>
      <c r="W74" s="58"/>
      <c r="X74" s="77"/>
      <c r="Y74" s="74"/>
      <c r="Z74" s="58"/>
    </row>
    <row r="75" spans="1:26">
      <c r="A75" s="112" t="s">
        <v>72</v>
      </c>
      <c r="C75" s="268">
        <f>B65+(B64*F75)</f>
        <v>1.6766179601720513E-3</v>
      </c>
      <c r="D75" s="340">
        <f t="shared" si="6"/>
        <v>-6.4251594872815222E-4</v>
      </c>
      <c r="E75" s="6">
        <v>7</v>
      </c>
      <c r="F75" s="46">
        <v>-32.900000000000006</v>
      </c>
      <c r="G75" s="61">
        <v>2.3191339089002035E-3</v>
      </c>
      <c r="H75" s="19">
        <f>F75-F97</f>
        <v>-16.42307692307693</v>
      </c>
      <c r="I75" s="63">
        <f>G75-G97</f>
        <v>-2.6929315578528672E-3</v>
      </c>
      <c r="J75" s="19">
        <f t="shared" si="7"/>
        <v>4.422622212319903E-2</v>
      </c>
      <c r="K75" s="20"/>
      <c r="L75" s="20">
        <f t="shared" si="8"/>
        <v>269.71745562130201</v>
      </c>
      <c r="M75" s="38">
        <f t="shared" si="9"/>
        <v>7.2518803752798703E-6</v>
      </c>
      <c r="N75" s="21"/>
      <c r="Q75" s="75"/>
      <c r="R75" s="76"/>
      <c r="S75" s="41"/>
      <c r="T75" s="41"/>
      <c r="U75" s="41"/>
      <c r="V75" s="58"/>
      <c r="W75" s="58"/>
      <c r="X75" s="77"/>
      <c r="Y75" s="74"/>
      <c r="Z75" s="58"/>
    </row>
    <row r="76" spans="1:26">
      <c r="A76" s="112" t="s">
        <v>73</v>
      </c>
      <c r="C76" s="268">
        <f>B65+(B64*F76)</f>
        <v>4.1949979979278356E-3</v>
      </c>
      <c r="D76" s="340">
        <f t="shared" si="6"/>
        <v>-5.6815452119487074E-3</v>
      </c>
      <c r="E76" s="6">
        <v>8</v>
      </c>
      <c r="F76" s="46">
        <v>-20.5</v>
      </c>
      <c r="G76" s="61">
        <v>9.876543209876543E-3</v>
      </c>
      <c r="H76" s="19">
        <f>F76-F97</f>
        <v>-4.0230769230769248</v>
      </c>
      <c r="I76" s="63">
        <f>G76-G97</f>
        <v>4.8644777431234723E-3</v>
      </c>
      <c r="J76" s="19">
        <f t="shared" si="7"/>
        <v>-1.9570168151181361E-2</v>
      </c>
      <c r="K76" s="20"/>
      <c r="L76" s="20">
        <f t="shared" si="8"/>
        <v>16.185147928994095</v>
      </c>
      <c r="M76" s="38">
        <f t="shared" si="9"/>
        <v>2.3663143713343631E-5</v>
      </c>
      <c r="N76" s="21"/>
      <c r="Q76" s="75"/>
      <c r="R76" s="76"/>
      <c r="S76" s="41"/>
      <c r="T76" s="41"/>
      <c r="U76" s="41"/>
      <c r="V76" s="58"/>
      <c r="W76" s="58"/>
      <c r="X76" s="77"/>
      <c r="Y76" s="74"/>
      <c r="Z76" s="58"/>
    </row>
    <row r="77" spans="1:26">
      <c r="A77" s="112" t="s">
        <v>74</v>
      </c>
      <c r="C77" s="268">
        <f>B65+(B64*F77)</f>
        <v>3.5654029884888911E-3</v>
      </c>
      <c r="D77" s="340">
        <f t="shared" si="6"/>
        <v>3.2173388054535395E-3</v>
      </c>
      <c r="E77" s="6">
        <v>9</v>
      </c>
      <c r="F77" s="46">
        <v>-23.599999999999994</v>
      </c>
      <c r="G77" s="61">
        <v>3.4806418303535172E-4</v>
      </c>
      <c r="H77" s="19">
        <f>F77-F97</f>
        <v>-7.1230769230769191</v>
      </c>
      <c r="I77" s="63">
        <f>G77-G97</f>
        <v>-4.6640012837177187E-3</v>
      </c>
      <c r="J77" s="19">
        <f t="shared" si="7"/>
        <v>3.322203991325081E-2</v>
      </c>
      <c r="K77" s="20"/>
      <c r="L77" s="20">
        <f t="shared" si="8"/>
        <v>50.73822485207095</v>
      </c>
      <c r="M77" s="38">
        <f t="shared" si="9"/>
        <v>2.1752907974520529E-5</v>
      </c>
      <c r="N77" s="21"/>
      <c r="Q77" s="75"/>
      <c r="R77" s="76"/>
      <c r="S77" s="41"/>
      <c r="T77" s="41"/>
      <c r="U77" s="41"/>
      <c r="V77" s="58"/>
      <c r="W77" s="58"/>
      <c r="X77" s="77"/>
      <c r="Y77" s="74"/>
      <c r="Z77" s="58"/>
    </row>
    <row r="78" spans="1:26">
      <c r="A78" s="112" t="s">
        <v>75</v>
      </c>
      <c r="C78" s="268">
        <f>B65+(B64*F78)</f>
        <v>3.5247839556218586E-3</v>
      </c>
      <c r="D78" s="340">
        <f t="shared" si="6"/>
        <v>2.6245156756744344E-3</v>
      </c>
      <c r="E78" s="6">
        <v>10</v>
      </c>
      <c r="F78" s="46">
        <v>-23.800000000000011</v>
      </c>
      <c r="G78" s="61">
        <v>9.0026827994742437E-4</v>
      </c>
      <c r="H78" s="19">
        <f>F78-F97</f>
        <v>-7.3230769230769361</v>
      </c>
      <c r="I78" s="63">
        <f>G78-G97</f>
        <v>-4.111797186805646E-3</v>
      </c>
      <c r="J78" s="19">
        <f t="shared" si="7"/>
        <v>3.0111007091069092E-2</v>
      </c>
      <c r="K78" s="20"/>
      <c r="L78" s="20">
        <f t="shared" si="8"/>
        <v>53.627455621301969</v>
      </c>
      <c r="M78" s="38">
        <f t="shared" si="9"/>
        <v>1.6906876105422825E-5</v>
      </c>
      <c r="N78" s="21"/>
      <c r="Q78" s="75"/>
      <c r="R78" s="76"/>
      <c r="S78" s="41"/>
      <c r="T78" s="41"/>
      <c r="U78" s="41"/>
      <c r="V78" s="58"/>
      <c r="W78" s="58"/>
      <c r="X78" s="77"/>
      <c r="Y78" s="74"/>
      <c r="Z78" s="58"/>
    </row>
    <row r="79" spans="1:26">
      <c r="A79" s="112" t="s">
        <v>76</v>
      </c>
      <c r="C79" s="268">
        <f>B65+(B64*F79)</f>
        <v>4.1949979979278356E-3</v>
      </c>
      <c r="D79" s="340">
        <f t="shared" si="6"/>
        <v>-2.2871670451965684E-3</v>
      </c>
      <c r="E79" s="6">
        <v>11</v>
      </c>
      <c r="F79" s="46">
        <v>-20.5</v>
      </c>
      <c r="G79" s="61">
        <v>6.482165043124404E-3</v>
      </c>
      <c r="H79" s="19">
        <f>F79-F97</f>
        <v>-4.0230769230769248</v>
      </c>
      <c r="I79" s="63">
        <f>G79-G97</f>
        <v>1.4700995763713334E-3</v>
      </c>
      <c r="J79" s="19">
        <f t="shared" si="7"/>
        <v>-5.9143236803246742E-3</v>
      </c>
      <c r="K79" s="20"/>
      <c r="L79" s="20">
        <f t="shared" si="8"/>
        <v>16.185147928994095</v>
      </c>
      <c r="M79" s="38">
        <f t="shared" si="9"/>
        <v>2.1611927644471739E-6</v>
      </c>
      <c r="N79" s="21"/>
      <c r="Q79" s="75"/>
      <c r="R79" s="76"/>
      <c r="S79" s="41"/>
      <c r="T79" s="41"/>
      <c r="U79" s="41"/>
      <c r="V79" s="58"/>
      <c r="W79" s="58"/>
      <c r="X79" s="77"/>
      <c r="Y79" s="74"/>
      <c r="Z79" s="58"/>
    </row>
    <row r="80" spans="1:26">
      <c r="A80" s="112" t="s">
        <v>77</v>
      </c>
      <c r="C80" s="268">
        <f>B65+(B64*F80)</f>
        <v>4.6621168758986687E-3</v>
      </c>
      <c r="D80" s="340">
        <f t="shared" si="6"/>
        <v>2.2359319140487876E-3</v>
      </c>
      <c r="E80" s="6">
        <v>12</v>
      </c>
      <c r="F80" s="46">
        <v>-18.199999999999989</v>
      </c>
      <c r="G80" s="61">
        <v>2.4261849618498811E-3</v>
      </c>
      <c r="H80" s="19">
        <f>F80-F97</f>
        <v>-1.7230769230769134</v>
      </c>
      <c r="I80" s="63">
        <f>G80-G97</f>
        <v>-2.5858805049031896E-3</v>
      </c>
      <c r="J80" s="19">
        <f t="shared" si="7"/>
        <v>4.4556710238331633E-3</v>
      </c>
      <c r="K80" s="20"/>
      <c r="L80" s="20">
        <f t="shared" si="8"/>
        <v>2.9689940828402035</v>
      </c>
      <c r="M80" s="38">
        <f t="shared" si="9"/>
        <v>6.686777985638375E-6</v>
      </c>
      <c r="N80" s="21"/>
      <c r="Q80" s="75"/>
      <c r="R80" s="76"/>
      <c r="S80" s="41"/>
      <c r="T80" s="41"/>
      <c r="U80" s="41"/>
      <c r="V80" s="58"/>
      <c r="W80" s="58"/>
      <c r="X80" s="77"/>
      <c r="Y80" s="74"/>
      <c r="Z80" s="58"/>
    </row>
    <row r="81" spans="1:26">
      <c r="A81" s="112" t="s">
        <v>78</v>
      </c>
      <c r="C81" s="268">
        <f>B65+(B64*F81)</f>
        <v>5.1698547867365281E-3</v>
      </c>
      <c r="D81" s="340">
        <f t="shared" si="6"/>
        <v>5.1698547867365281E-3</v>
      </c>
      <c r="E81" s="6">
        <v>13</v>
      </c>
      <c r="F81" s="46">
        <v>-15.699999999999989</v>
      </c>
      <c r="G81" s="61">
        <v>0</v>
      </c>
      <c r="H81" s="19">
        <f>F81-F97</f>
        <v>0.7769230769230866</v>
      </c>
      <c r="I81" s="63">
        <f>G81-G97</f>
        <v>-5.0120654667530707E-3</v>
      </c>
      <c r="J81" s="19">
        <f t="shared" si="7"/>
        <v>-3.8939893241697419E-3</v>
      </c>
      <c r="K81" s="20"/>
      <c r="L81" s="20">
        <f t="shared" si="8"/>
        <v>0.60360946745563637</v>
      </c>
      <c r="M81" s="38">
        <f t="shared" si="9"/>
        <v>2.5120800243018677E-5</v>
      </c>
      <c r="N81" s="21"/>
      <c r="Q81" s="75"/>
      <c r="R81" s="76"/>
      <c r="S81" s="41"/>
      <c r="T81" s="41"/>
      <c r="U81" s="41"/>
      <c r="V81" s="58"/>
      <c r="W81" s="58"/>
      <c r="X81" s="77"/>
      <c r="Y81" s="74"/>
      <c r="Z81" s="58"/>
    </row>
    <row r="82" spans="1:26">
      <c r="A82" s="112" t="s">
        <v>61</v>
      </c>
      <c r="C82" s="268">
        <f>B65+(B64*F82)</f>
        <v>2.7936413640153417E-3</v>
      </c>
      <c r="D82" s="340">
        <f t="shared" si="6"/>
        <v>-9.2434613346398936E-4</v>
      </c>
      <c r="E82" s="6">
        <v>14</v>
      </c>
      <c r="F82" s="47">
        <v>-27.400000000000006</v>
      </c>
      <c r="G82" s="62">
        <v>3.717987497479331E-3</v>
      </c>
      <c r="H82" s="19">
        <f>F82-F97</f>
        <v>-10.92307692307693</v>
      </c>
      <c r="I82" s="63">
        <f>G82-G97</f>
        <v>-1.2940779692737396E-3</v>
      </c>
      <c r="J82" s="19">
        <f t="shared" si="7"/>
        <v>1.4135313202836243E-2</v>
      </c>
      <c r="K82" s="20"/>
      <c r="L82" s="20">
        <f t="shared" si="8"/>
        <v>119.31360946745578</v>
      </c>
      <c r="M82" s="38">
        <f t="shared" si="9"/>
        <v>1.6746377905596458E-6</v>
      </c>
      <c r="N82" s="21"/>
      <c r="Q82" s="41"/>
      <c r="R82" s="57"/>
      <c r="S82" s="78"/>
      <c r="T82" s="79"/>
      <c r="U82" s="41"/>
      <c r="V82" s="58"/>
      <c r="W82" s="58"/>
      <c r="X82" s="77"/>
      <c r="Y82" s="74"/>
      <c r="Z82" s="58"/>
    </row>
    <row r="83" spans="1:26">
      <c r="A83" s="112" t="s">
        <v>63</v>
      </c>
      <c r="C83" s="268">
        <f>B65+(B64*F83)</f>
        <v>7.3429730451225646E-3</v>
      </c>
      <c r="D83" s="340">
        <f t="shared" si="6"/>
        <v>-9.1405434383939194E-3</v>
      </c>
      <c r="E83" s="6">
        <v>15</v>
      </c>
      <c r="F83" s="47">
        <v>-5</v>
      </c>
      <c r="G83" s="62">
        <v>1.6483516483516484E-2</v>
      </c>
      <c r="H83" s="19">
        <f>F83-F97</f>
        <v>11.476923076923075</v>
      </c>
      <c r="I83" s="63">
        <f>G83-G97</f>
        <v>1.1471451016763414E-2</v>
      </c>
      <c r="J83" s="19">
        <f t="shared" si="7"/>
        <v>0.13165696090008469</v>
      </c>
      <c r="K83" s="20"/>
      <c r="L83" s="20">
        <f t="shared" si="8"/>
        <v>131.71976331360943</v>
      </c>
      <c r="M83" s="38">
        <f t="shared" si="9"/>
        <v>1.3159418843000236E-4</v>
      </c>
      <c r="N83" s="21"/>
      <c r="Q83" s="41"/>
      <c r="R83" s="57"/>
      <c r="S83" s="78"/>
      <c r="T83" s="79"/>
      <c r="U83" s="41"/>
      <c r="V83" s="58"/>
      <c r="W83" s="58"/>
      <c r="X83" s="77"/>
      <c r="Y83" s="74"/>
      <c r="Z83" s="58"/>
    </row>
    <row r="84" spans="1:26">
      <c r="A84" s="129" t="s">
        <v>65</v>
      </c>
      <c r="C84" s="268">
        <f>B65+(B64*F84)</f>
        <v>8.5615440311334265E-3</v>
      </c>
      <c r="D84" s="340">
        <f t="shared" si="6"/>
        <v>1.1541366237260188E-3</v>
      </c>
      <c r="E84" s="6">
        <v>16</v>
      </c>
      <c r="F84" s="47">
        <v>1</v>
      </c>
      <c r="G84" s="62">
        <v>7.4074074074074077E-3</v>
      </c>
      <c r="H84" s="19">
        <f>F84-F97</f>
        <v>17.476923076923075</v>
      </c>
      <c r="I84" s="63">
        <f>G84-G97</f>
        <v>2.395341940654337E-3</v>
      </c>
      <c r="J84" s="19">
        <f t="shared" si="7"/>
        <v>4.1863206839743483E-2</v>
      </c>
      <c r="K84" s="20"/>
      <c r="L84" s="20">
        <f t="shared" si="8"/>
        <v>305.44284023668632</v>
      </c>
      <c r="M84" s="38">
        <f t="shared" si="9"/>
        <v>5.7376630126576857E-6</v>
      </c>
      <c r="N84" s="21"/>
      <c r="Q84" s="41"/>
      <c r="R84" s="80"/>
      <c r="S84" s="41"/>
      <c r="T84" s="41"/>
      <c r="U84" s="41"/>
      <c r="V84" s="58"/>
      <c r="W84" s="58"/>
      <c r="X84" s="77"/>
      <c r="Y84" s="74"/>
      <c r="Z84" s="58"/>
    </row>
    <row r="85" spans="1:26">
      <c r="A85" s="112" t="s">
        <v>67</v>
      </c>
      <c r="C85" s="268">
        <f>B65+(B64*F85)</f>
        <v>7.8100919230933976E-3</v>
      </c>
      <c r="D85" s="340">
        <f t="shared" si="6"/>
        <v>3.6961573261720757E-4</v>
      </c>
      <c r="E85" s="6">
        <v>17</v>
      </c>
      <c r="F85" s="47">
        <v>-2.6999999999999886</v>
      </c>
      <c r="G85" s="62">
        <v>7.4404761904761901E-3</v>
      </c>
      <c r="H85" s="19">
        <f>F85-F97</f>
        <v>13.776923076923087</v>
      </c>
      <c r="I85" s="63">
        <f>G85-G97</f>
        <v>2.4284107237231194E-3</v>
      </c>
      <c r="J85" s="19">
        <f t="shared" si="7"/>
        <v>3.3456027739908537E-2</v>
      </c>
      <c r="K85" s="20"/>
      <c r="L85" s="20">
        <f t="shared" si="8"/>
        <v>189.80360946745589</v>
      </c>
      <c r="M85" s="38">
        <f t="shared" si="9"/>
        <v>5.8971786430934444E-6</v>
      </c>
      <c r="N85" s="21"/>
      <c r="Q85" s="41"/>
      <c r="R85" s="41"/>
      <c r="S85" s="41"/>
      <c r="T85" s="41"/>
      <c r="U85" s="41"/>
      <c r="V85" s="58"/>
      <c r="W85" s="58"/>
      <c r="X85" s="77"/>
      <c r="Y85" s="74"/>
      <c r="Z85" s="58"/>
    </row>
    <row r="86" spans="1:26" ht="14.25" customHeight="1">
      <c r="A86" s="112" t="s">
        <v>69</v>
      </c>
      <c r="C86" s="268">
        <f>B65+(B64*F86)</f>
        <v>3.0779745940845444E-3</v>
      </c>
      <c r="D86" s="340">
        <f t="shared" si="6"/>
        <v>1.4913925451271555E-3</v>
      </c>
      <c r="E86" s="6">
        <v>18</v>
      </c>
      <c r="F86" s="47">
        <v>-26</v>
      </c>
      <c r="G86" s="62">
        <v>1.5865820489573889E-3</v>
      </c>
      <c r="H86" s="19">
        <f>F86-F97</f>
        <v>-9.5230769230769248</v>
      </c>
      <c r="I86" s="63">
        <f>G86-G97</f>
        <v>-3.4254834177956817E-3</v>
      </c>
      <c r="J86" s="19">
        <f t="shared" si="7"/>
        <v>3.2621142086392732E-2</v>
      </c>
      <c r="K86" s="20"/>
      <c r="L86" s="20">
        <f t="shared" si="8"/>
        <v>90.688994082840267</v>
      </c>
      <c r="M86" s="38">
        <f t="shared" si="9"/>
        <v>1.1733936645593184E-5</v>
      </c>
      <c r="N86" s="21"/>
      <c r="P86" s="271" t="s">
        <v>165</v>
      </c>
      <c r="Q86" s="272"/>
      <c r="R86" s="272"/>
      <c r="S86" s="272"/>
      <c r="T86" s="272"/>
      <c r="U86" s="272"/>
      <c r="V86" s="272"/>
      <c r="W86" s="272"/>
      <c r="X86" s="273"/>
      <c r="Y86" s="74"/>
      <c r="Z86" s="58"/>
    </row>
    <row r="87" spans="1:26">
      <c r="A87" s="112" t="s">
        <v>71</v>
      </c>
      <c r="C87" s="268">
        <f>B65+(B64*F87)</f>
        <v>7.2008064300879658E-3</v>
      </c>
      <c r="D87" s="340">
        <f t="shared" si="6"/>
        <v>1.9960719164165645E-3</v>
      </c>
      <c r="E87" s="6">
        <v>19</v>
      </c>
      <c r="F87" s="47">
        <v>-5.6999999999999886</v>
      </c>
      <c r="G87" s="62">
        <v>5.2047345136714013E-3</v>
      </c>
      <c r="H87" s="19">
        <f>F87-F97</f>
        <v>10.776923076923087</v>
      </c>
      <c r="I87" s="63">
        <f>G87-G97</f>
        <v>1.9266904691833068E-4</v>
      </c>
      <c r="J87" s="19">
        <f t="shared" si="7"/>
        <v>2.0763794979429349E-3</v>
      </c>
      <c r="K87" s="20"/>
      <c r="L87" s="20">
        <f t="shared" si="8"/>
        <v>116.14207100591737</v>
      </c>
      <c r="M87" s="38">
        <f t="shared" si="9"/>
        <v>3.7121361640417906E-8</v>
      </c>
      <c r="N87" s="21"/>
      <c r="P87" s="274"/>
      <c r="Q87" s="275"/>
      <c r="R87" s="275"/>
      <c r="S87" s="275"/>
      <c r="T87" s="275"/>
      <c r="U87" s="275"/>
      <c r="V87" s="275"/>
      <c r="W87" s="275"/>
      <c r="X87" s="276"/>
      <c r="Y87" s="74"/>
      <c r="Z87" s="58"/>
    </row>
    <row r="88" spans="1:26">
      <c r="A88" s="112" t="s">
        <v>72</v>
      </c>
      <c r="C88" s="268">
        <f>B65+(B64*F88)</f>
        <v>2.7733318475818289E-3</v>
      </c>
      <c r="D88" s="340">
        <f t="shared" si="6"/>
        <v>4.3756790413279753E-4</v>
      </c>
      <c r="E88" s="6">
        <v>20</v>
      </c>
      <c r="F88" s="47">
        <v>-27.5</v>
      </c>
      <c r="G88" s="62">
        <v>2.3357639434490314E-3</v>
      </c>
      <c r="H88" s="19">
        <f>F88-F97</f>
        <v>-11.023076923076925</v>
      </c>
      <c r="I88" s="63">
        <f>G88-G97</f>
        <v>-2.6763015233040393E-3</v>
      </c>
      <c r="J88" s="19">
        <f t="shared" si="7"/>
        <v>2.9501077560728377E-2</v>
      </c>
      <c r="K88" s="20"/>
      <c r="L88" s="20">
        <f t="shared" si="8"/>
        <v>121.50822485207104</v>
      </c>
      <c r="M88" s="38">
        <f t="shared" si="9"/>
        <v>7.1625898436395212E-6</v>
      </c>
      <c r="N88" s="21"/>
      <c r="P88" s="274"/>
      <c r="Q88" s="275"/>
      <c r="R88" s="275"/>
      <c r="S88" s="275"/>
      <c r="T88" s="275"/>
      <c r="U88" s="275"/>
      <c r="V88" s="275"/>
      <c r="W88" s="275"/>
      <c r="X88" s="276"/>
      <c r="Y88" s="74"/>
      <c r="Z88" s="58"/>
    </row>
    <row r="89" spans="1:26">
      <c r="A89" s="112" t="s">
        <v>73</v>
      </c>
      <c r="C89" s="268">
        <f>B65+(B64*F89)</f>
        <v>6.4290448056144173E-3</v>
      </c>
      <c r="D89" s="340">
        <f t="shared" si="6"/>
        <v>-2.5962259525083263E-3</v>
      </c>
      <c r="E89" s="6">
        <v>21</v>
      </c>
      <c r="F89" s="47">
        <v>-9.5</v>
      </c>
      <c r="G89" s="62">
        <v>9.0252707581227436E-3</v>
      </c>
      <c r="H89" s="19">
        <f>F89-F97</f>
        <v>6.9769230769230752</v>
      </c>
      <c r="I89" s="63">
        <f>G89-G97</f>
        <v>4.0132052913696729E-3</v>
      </c>
      <c r="J89" s="19">
        <f t="shared" si="7"/>
        <v>2.7999824609786866E-2</v>
      </c>
      <c r="K89" s="20"/>
      <c r="L89" s="20">
        <f t="shared" si="8"/>
        <v>48.677455621301753</v>
      </c>
      <c r="M89" s="38">
        <f t="shared" si="9"/>
        <v>1.6105816710677541E-5</v>
      </c>
      <c r="N89" s="21"/>
      <c r="P89" s="277"/>
      <c r="Q89" s="278"/>
      <c r="R89" s="278"/>
      <c r="S89" s="278"/>
      <c r="T89" s="278"/>
      <c r="U89" s="278"/>
      <c r="V89" s="278"/>
      <c r="W89" s="278"/>
      <c r="X89" s="279"/>
      <c r="Y89" s="74"/>
      <c r="Z89" s="58"/>
    </row>
    <row r="90" spans="1:26" ht="14.25" customHeight="1">
      <c r="A90" s="112" t="s">
        <v>74</v>
      </c>
      <c r="C90" s="268">
        <f>B65+(B64*F90)</f>
        <v>4.0528313828932369E-3</v>
      </c>
      <c r="D90" s="340">
        <f t="shared" si="6"/>
        <v>3.4727244111676507E-3</v>
      </c>
      <c r="E90" s="6">
        <v>22</v>
      </c>
      <c r="F90" s="47">
        <v>-21.199999999999989</v>
      </c>
      <c r="G90" s="62">
        <v>5.8010697172558622E-4</v>
      </c>
      <c r="H90" s="19">
        <f>F90-F97</f>
        <v>-4.7230769230769134</v>
      </c>
      <c r="I90" s="63">
        <f>G90-G97</f>
        <v>-4.431958495027484E-3</v>
      </c>
      <c r="J90" s="19">
        <f t="shared" si="7"/>
        <v>2.0932480891898995E-2</v>
      </c>
      <c r="K90" s="20"/>
      <c r="L90" s="20">
        <f t="shared" si="8"/>
        <v>22.307455621301685</v>
      </c>
      <c r="M90" s="38">
        <f t="shared" si="9"/>
        <v>1.9642256101646281E-5</v>
      </c>
      <c r="N90" s="21"/>
      <c r="Q90" s="104"/>
      <c r="R90" s="104"/>
      <c r="S90" s="104"/>
      <c r="T90" s="104"/>
      <c r="U90" s="104"/>
      <c r="V90" s="104"/>
      <c r="W90" s="104"/>
      <c r="X90" s="104"/>
      <c r="Y90" s="74"/>
      <c r="Z90" s="58"/>
    </row>
    <row r="91" spans="1:26">
      <c r="A91" s="112" t="s">
        <v>75</v>
      </c>
      <c r="C91" s="268">
        <f>B65+(B64*F91)</f>
        <v>6.3681162563138712E-3</v>
      </c>
      <c r="D91" s="340">
        <f t="shared" si="6"/>
        <v>4.5576044246190515E-3</v>
      </c>
      <c r="E91" s="6">
        <v>23</v>
      </c>
      <c r="F91" s="47">
        <v>-9.8000000000000114</v>
      </c>
      <c r="G91" s="62">
        <v>1.8105118316948201E-3</v>
      </c>
      <c r="H91" s="19">
        <f>F91-F97</f>
        <v>6.6769230769230639</v>
      </c>
      <c r="I91" s="63">
        <f>G91-G97</f>
        <v>-3.2015536350582506E-3</v>
      </c>
      <c r="J91" s="19">
        <f t="shared" si="7"/>
        <v>-2.1376527347927353E-2</v>
      </c>
      <c r="K91" s="20"/>
      <c r="L91" s="20">
        <f t="shared" si="8"/>
        <v>44.581301775147757</v>
      </c>
      <c r="M91" s="38">
        <f t="shared" si="9"/>
        <v>1.0249945678154698E-5</v>
      </c>
      <c r="N91" s="21"/>
      <c r="P91" s="104"/>
      <c r="Q91" s="104"/>
      <c r="R91" s="104"/>
      <c r="S91" s="104"/>
      <c r="T91" s="104"/>
      <c r="U91" s="104"/>
      <c r="V91" s="104"/>
      <c r="W91" s="104"/>
      <c r="X91" s="104"/>
      <c r="Y91" s="74"/>
      <c r="Z91" s="58"/>
    </row>
    <row r="92" spans="1:26">
      <c r="A92" s="112" t="s">
        <v>76</v>
      </c>
      <c r="C92" s="268">
        <f>B65+(B64*F92)</f>
        <v>7.0383302986198482E-3</v>
      </c>
      <c r="D92" s="340">
        <f t="shared" si="6"/>
        <v>-2.5665395488975052E-4</v>
      </c>
      <c r="E92" s="6">
        <v>24</v>
      </c>
      <c r="F92" s="47">
        <v>-6.5</v>
      </c>
      <c r="G92" s="62">
        <v>7.2949842535095987E-3</v>
      </c>
      <c r="H92" s="19">
        <f>F92-F97</f>
        <v>9.9769230769230752</v>
      </c>
      <c r="I92" s="63">
        <f>G92-G97</f>
        <v>2.2829187867565281E-3</v>
      </c>
      <c r="J92" s="19">
        <f t="shared" si="7"/>
        <v>2.2776505126332433E-2</v>
      </c>
      <c r="K92" s="20"/>
      <c r="L92" s="20">
        <f t="shared" si="8"/>
        <v>99.538994082840205</v>
      </c>
      <c r="M92" s="38">
        <f t="shared" si="9"/>
        <v>5.2117181869258978E-6</v>
      </c>
      <c r="N92" s="21"/>
      <c r="P92" s="104"/>
      <c r="Q92" s="104"/>
      <c r="R92" s="104"/>
      <c r="S92" s="104"/>
      <c r="T92" s="104"/>
      <c r="U92" s="104"/>
      <c r="V92" s="104"/>
      <c r="W92" s="104"/>
      <c r="X92" s="104"/>
      <c r="Y92" s="74"/>
      <c r="Z92" s="58"/>
    </row>
    <row r="93" spans="1:26">
      <c r="A93" s="112" t="s">
        <v>77</v>
      </c>
      <c r="C93" s="268">
        <f>B65+(B64*F93)</f>
        <v>7.322663528689051E-3</v>
      </c>
      <c r="D93" s="340">
        <f t="shared" si="6"/>
        <v>3.0649974371348187E-3</v>
      </c>
      <c r="E93" s="6">
        <v>25</v>
      </c>
      <c r="F93" s="47">
        <v>-5.0999999999999943</v>
      </c>
      <c r="G93" s="62">
        <v>4.2576660915542323E-3</v>
      </c>
      <c r="H93" s="19">
        <f>F93-F97</f>
        <v>11.376923076923081</v>
      </c>
      <c r="I93" s="63">
        <f>G93-G97</f>
        <v>-7.5439937519883836E-4</v>
      </c>
      <c r="J93" s="19">
        <f t="shared" si="7"/>
        <v>-8.5827436609160184E-3</v>
      </c>
      <c r="K93" s="20"/>
      <c r="L93" s="20">
        <f t="shared" si="8"/>
        <v>129.43437869822495</v>
      </c>
      <c r="M93" s="38">
        <f t="shared" si="9"/>
        <v>5.6911841730039767E-7</v>
      </c>
      <c r="N93" s="21"/>
      <c r="P93" s="104"/>
      <c r="Q93" s="104"/>
      <c r="R93" s="104"/>
      <c r="S93" s="104"/>
      <c r="T93" s="104"/>
      <c r="U93" s="104"/>
      <c r="V93" s="104"/>
      <c r="W93" s="104"/>
      <c r="X93" s="104"/>
      <c r="Y93" s="74"/>
      <c r="Z93" s="58"/>
    </row>
    <row r="94" spans="1:26">
      <c r="A94" s="112" t="s">
        <v>78</v>
      </c>
      <c r="C94" s="268">
        <f>B65+(B64*F94)</f>
        <v>5.6369736647073551E-3</v>
      </c>
      <c r="D94" s="340">
        <f t="shared" si="6"/>
        <v>1.8346922958860624E-3</v>
      </c>
      <c r="E94" s="6">
        <v>26</v>
      </c>
      <c r="F94" s="47">
        <v>-13.400000000000006</v>
      </c>
      <c r="G94" s="62">
        <v>3.8022813688212928E-3</v>
      </c>
      <c r="H94" s="19">
        <f>F94-F97</f>
        <v>3.0769230769230695</v>
      </c>
      <c r="I94" s="63">
        <f>G94-G97</f>
        <v>-1.2097840979317779E-3</v>
      </c>
      <c r="J94" s="19">
        <f t="shared" si="7"/>
        <v>-3.7224126090208464E-3</v>
      </c>
      <c r="K94" s="20"/>
      <c r="L94" s="20">
        <f t="shared" si="8"/>
        <v>9.4674556213017294</v>
      </c>
      <c r="M94" s="38">
        <f t="shared" si="9"/>
        <v>1.4635775636086055E-6</v>
      </c>
      <c r="N94" s="21"/>
      <c r="P94" s="104"/>
      <c r="Q94" s="104"/>
      <c r="R94" s="104"/>
      <c r="S94" s="104"/>
      <c r="T94" s="104"/>
      <c r="U94" s="104"/>
      <c r="V94" s="104"/>
      <c r="W94" s="104"/>
      <c r="X94" s="104"/>
      <c r="Y94" s="74"/>
      <c r="Z94" s="58"/>
    </row>
    <row r="95" spans="1:26" ht="12.75">
      <c r="C95" s="340"/>
      <c r="D95" s="340"/>
      <c r="E95" s="6"/>
      <c r="F95" s="91"/>
      <c r="G95" s="92"/>
      <c r="H95" s="65"/>
      <c r="J95" s="60"/>
      <c r="K95" s="6"/>
      <c r="L95" s="6"/>
      <c r="M95" s="18"/>
      <c r="N95" s="6"/>
      <c r="Q95" s="41"/>
      <c r="R95" s="83"/>
      <c r="S95" s="41"/>
      <c r="T95" s="41"/>
      <c r="U95" s="41"/>
      <c r="V95" s="58"/>
      <c r="W95" s="58"/>
      <c r="X95" s="77"/>
      <c r="Y95" s="74"/>
      <c r="Z95" s="58"/>
    </row>
    <row r="96" spans="1:26" ht="13.5" thickBot="1">
      <c r="B96" s="2" t="s">
        <v>16</v>
      </c>
      <c r="C96" s="340"/>
      <c r="D96" s="340"/>
      <c r="M96" s="18"/>
      <c r="N96" s="6"/>
      <c r="Q96" s="41"/>
      <c r="R96" s="41"/>
      <c r="S96" s="41"/>
      <c r="T96" s="41"/>
      <c r="U96" s="41"/>
      <c r="V96" s="58"/>
      <c r="W96" s="58"/>
      <c r="X96" s="77"/>
      <c r="Y96" s="74"/>
      <c r="Z96" s="58"/>
    </row>
    <row r="97" spans="1:26" ht="13.5" thickBot="1">
      <c r="B97" s="2" t="s">
        <v>0</v>
      </c>
      <c r="C97" s="340">
        <f>AVERAGE(C69:C94)</f>
        <v>5.0120654667530681E-3</v>
      </c>
      <c r="D97" s="340">
        <f>AVERAGE(D69:D94)</f>
        <v>-1.7514035093996609E-18</v>
      </c>
      <c r="F97" s="18">
        <f>AVERAGE(F69:F94)</f>
        <v>-16.476923076923075</v>
      </c>
      <c r="G97" s="64">
        <f>AVERAGE(G69:G94)</f>
        <v>5.0120654667530707E-3</v>
      </c>
      <c r="H97" s="19">
        <f>AVERAGE(H69:H94)</f>
        <v>-8.1985700280011564E-16</v>
      </c>
      <c r="I97" s="19">
        <f>AVERAGE(I69:I94)</f>
        <v>-5.671211363770331E-19</v>
      </c>
      <c r="J97" s="59">
        <f>SUM(J69:J94)</f>
        <v>0.5227316456854757</v>
      </c>
      <c r="K97" s="27" t="s">
        <v>16</v>
      </c>
      <c r="L97" s="28">
        <f>SUM(L69:L94)</f>
        <v>2573.8261538461556</v>
      </c>
      <c r="M97" s="28">
        <f>SUM(M69:M94)</f>
        <v>4.0169643972900868E-4</v>
      </c>
      <c r="N97" s="28">
        <f>M97*L97</f>
        <v>1.0338968024814086</v>
      </c>
      <c r="Q97" s="41"/>
      <c r="R97" s="41"/>
      <c r="S97" s="41"/>
      <c r="T97" s="82"/>
      <c r="U97" s="84"/>
      <c r="V97" s="85"/>
      <c r="W97" s="86"/>
      <c r="X97" s="77"/>
      <c r="Y97" s="74"/>
      <c r="Z97" s="87"/>
    </row>
    <row r="98" spans="1:26" ht="15" thickBot="1">
      <c r="B98" s="15" t="s">
        <v>17</v>
      </c>
      <c r="C98" s="100">
        <f>STDEVA(C69:C94)</f>
        <v>2.0607209367953915E-3</v>
      </c>
      <c r="D98" s="101">
        <f>STDEVA(D69:D94)</f>
        <v>3.4382098263214637E-3</v>
      </c>
      <c r="E98" s="15"/>
      <c r="F98" s="30">
        <f>STDEVA(F69:F94)</f>
        <v>10.146578051434195</v>
      </c>
      <c r="G98" s="101">
        <f>STDEVA(G69:G94)</f>
        <v>4.0084732242039933E-3</v>
      </c>
      <c r="H98" s="30">
        <f>STDEVA(H69:H94)</f>
        <v>10.146578051434199</v>
      </c>
      <c r="I98" s="30">
        <f>STDEVA(I69:I94)</f>
        <v>4.0084732242039924E-3</v>
      </c>
      <c r="J98" s="31" t="s">
        <v>16</v>
      </c>
      <c r="K98" s="32"/>
      <c r="L98" s="33"/>
      <c r="M98" s="33"/>
      <c r="N98" s="34"/>
      <c r="Q98" s="41"/>
      <c r="R98" s="41"/>
      <c r="S98" s="41"/>
      <c r="T98" s="41"/>
      <c r="U98" s="84"/>
      <c r="V98" s="85"/>
      <c r="W98" s="85"/>
      <c r="X98" s="88"/>
      <c r="Y98" s="89"/>
      <c r="Z98" s="41"/>
    </row>
    <row r="99" spans="1:26" ht="15.75">
      <c r="B99" s="15" t="s">
        <v>18</v>
      </c>
      <c r="C99" s="102">
        <f>C98^2</f>
        <v>4.2465707793468762E-6</v>
      </c>
      <c r="D99" s="99">
        <f>D98^2</f>
        <v>1.1821286809813471E-5</v>
      </c>
      <c r="E99" s="15"/>
      <c r="F99" s="30">
        <f>F98^2</f>
        <v>102.95304615384616</v>
      </c>
      <c r="G99" s="99">
        <f>G98^2</f>
        <v>1.6067857589160358E-5</v>
      </c>
      <c r="H99" s="30">
        <f>H98^2</f>
        <v>102.95304615384623</v>
      </c>
      <c r="I99" s="30">
        <f>I98^2</f>
        <v>1.6067857589160351E-5</v>
      </c>
      <c r="J99" s="33"/>
      <c r="K99" s="27"/>
      <c r="L99" s="33"/>
      <c r="M99" s="33"/>
      <c r="N99" s="34"/>
      <c r="Q99" s="41"/>
      <c r="R99" s="41"/>
      <c r="S99" s="41"/>
      <c r="T99" s="41"/>
      <c r="U99" s="84"/>
      <c r="V99" s="85"/>
      <c r="W99" s="85"/>
      <c r="X99" s="41"/>
      <c r="Y99" s="41"/>
      <c r="Z99" s="41"/>
    </row>
    <row r="100" spans="1:26">
      <c r="B100" s="2" t="s">
        <v>19</v>
      </c>
      <c r="C100" s="30">
        <f>COUNT(C69:C94)</f>
        <v>26</v>
      </c>
      <c r="D100" s="30">
        <f>COUNT(D69:D94)</f>
        <v>26</v>
      </c>
      <c r="F100" s="30">
        <f>COUNT(F69:F94)</f>
        <v>26</v>
      </c>
      <c r="G100" s="30">
        <f>COUNT(G69:G94)</f>
        <v>26</v>
      </c>
      <c r="I100" s="27"/>
      <c r="J100" s="33"/>
      <c r="K100" s="27"/>
      <c r="L100" s="33"/>
      <c r="M100" s="33"/>
      <c r="N100" s="34"/>
      <c r="Q100" s="41"/>
      <c r="R100" s="41"/>
      <c r="S100" s="41"/>
      <c r="T100" s="41"/>
      <c r="U100" s="41"/>
      <c r="V100" s="41"/>
      <c r="W100" s="41"/>
      <c r="X100" s="41"/>
      <c r="Y100" s="41"/>
      <c r="Z100" s="41"/>
    </row>
    <row r="101" spans="1:26" ht="15" customHeight="1">
      <c r="B101" s="36" t="s">
        <v>20</v>
      </c>
      <c r="C101" s="37">
        <f>C97/C98</f>
        <v>2.4321902967353193</v>
      </c>
      <c r="D101" s="37">
        <f>D97/D98</f>
        <v>-5.0939401545294436E-16</v>
      </c>
      <c r="E101" s="36"/>
      <c r="F101" s="37">
        <f>F97/F98</f>
        <v>-1.6238896496335629</v>
      </c>
      <c r="G101" s="37">
        <f>G97/G98</f>
        <v>1.2503677052123434</v>
      </c>
      <c r="I101" s="27"/>
      <c r="J101" s="36"/>
      <c r="Q101" s="41"/>
      <c r="R101" s="41"/>
      <c r="S101" s="41"/>
      <c r="T101" s="41"/>
      <c r="U101" s="41"/>
      <c r="V101" s="41"/>
      <c r="W101" s="41"/>
      <c r="X101" s="41"/>
      <c r="Y101" s="41"/>
      <c r="Z101" s="41"/>
    </row>
    <row r="102" spans="1:26" ht="15" customHeight="1">
      <c r="B102" s="36"/>
      <c r="C102" s="37"/>
      <c r="D102" s="37"/>
      <c r="E102" s="36"/>
      <c r="F102" s="37"/>
      <c r="G102" s="37"/>
      <c r="I102" s="27"/>
      <c r="J102" s="36"/>
      <c r="Q102" s="41"/>
      <c r="R102" s="41"/>
      <c r="S102" s="41"/>
      <c r="T102" s="41"/>
      <c r="U102" s="41"/>
      <c r="V102" s="41"/>
      <c r="W102" s="41"/>
      <c r="X102" s="41"/>
      <c r="Y102" s="41"/>
      <c r="Z102" s="41"/>
    </row>
    <row r="103" spans="1:26">
      <c r="B103" s="36"/>
      <c r="C103" s="37"/>
      <c r="D103" s="36"/>
      <c r="E103" s="36"/>
      <c r="F103" s="37"/>
      <c r="G103" s="48" t="s">
        <v>21</v>
      </c>
      <c r="I103" s="49" t="s">
        <v>22</v>
      </c>
      <c r="J103" s="36"/>
    </row>
    <row r="104" spans="1:26" ht="15.75">
      <c r="A104" s="2" t="s">
        <v>23</v>
      </c>
      <c r="C104" s="37"/>
      <c r="D104" s="36"/>
      <c r="E104" s="36"/>
      <c r="G104" s="24">
        <f>B66*(SQRT((C100-2)/(1-B67)))</f>
        <v>2.9362459258743914</v>
      </c>
      <c r="H104" s="40"/>
      <c r="I104" s="42">
        <f>TDIST(ABS(G104),8,2)</f>
        <v>1.8817412830014039E-2</v>
      </c>
      <c r="J104" s="50" t="s">
        <v>57</v>
      </c>
      <c r="N104" s="2"/>
      <c r="O104" s="41"/>
      <c r="P104" s="43"/>
    </row>
    <row r="105" spans="1:26" ht="15.75">
      <c r="A105" s="2" t="s">
        <v>24</v>
      </c>
      <c r="C105" s="37"/>
      <c r="D105" s="36"/>
      <c r="E105" s="36"/>
      <c r="G105" s="24">
        <f>B64/((G98/F98)*SQRT((1-B67)/(G100-2)))</f>
        <v>2.9362459258743918</v>
      </c>
      <c r="H105" s="36"/>
      <c r="I105" s="42">
        <f>TDIST(ABS(G105),8,2)</f>
        <v>1.8817412830014039E-2</v>
      </c>
      <c r="J105" s="36"/>
      <c r="K105" s="36"/>
      <c r="N105" s="2"/>
      <c r="O105" s="36"/>
      <c r="P105" s="43"/>
    </row>
    <row r="106" spans="1:26" ht="12.75">
      <c r="C106" s="37"/>
      <c r="D106" s="36"/>
      <c r="E106" s="36"/>
      <c r="J106" s="36"/>
      <c r="K106" s="36"/>
      <c r="N106" s="2"/>
      <c r="O106" s="36"/>
      <c r="P106" s="43"/>
    </row>
    <row r="107" spans="1:26" ht="15.75">
      <c r="A107" s="2" t="s">
        <v>25</v>
      </c>
      <c r="B107" s="37"/>
      <c r="D107" s="38"/>
      <c r="E107" s="56">
        <f>Q107*((G98/F98)*SQRT((1-B66^2)/(G100-2)))</f>
        <v>1.4275637263594867E-4</v>
      </c>
      <c r="F107" s="51" t="s">
        <v>26</v>
      </c>
      <c r="G107" s="98">
        <f>B64-E107</f>
        <v>6.0338791699195138E-5</v>
      </c>
      <c r="H107" s="51" t="s">
        <v>27</v>
      </c>
      <c r="I107" s="98">
        <f>B64+E107</f>
        <v>3.4585153697109247E-4</v>
      </c>
      <c r="K107" s="51" t="s">
        <v>28</v>
      </c>
      <c r="L107" s="52">
        <v>0.95</v>
      </c>
      <c r="M107" s="51" t="s">
        <v>29</v>
      </c>
      <c r="N107" s="53">
        <f>C100-2</f>
        <v>24</v>
      </c>
      <c r="P107" s="54" t="s">
        <v>30</v>
      </c>
      <c r="Q107" s="55">
        <f>TINV((1-L107),N107)</f>
        <v>2.0638985616280254</v>
      </c>
    </row>
    <row r="108" spans="1:26">
      <c r="B108" s="36"/>
      <c r="C108" s="37"/>
      <c r="D108" s="37"/>
      <c r="E108" s="36"/>
      <c r="F108" s="37"/>
      <c r="G108" s="37"/>
      <c r="I108" s="27"/>
      <c r="J108" s="36"/>
      <c r="Q108" s="41"/>
      <c r="R108" s="41"/>
      <c r="S108" s="41"/>
      <c r="T108" s="41"/>
      <c r="U108" s="41"/>
      <c r="V108" s="41"/>
      <c r="W108" s="41"/>
      <c r="X108" s="41"/>
      <c r="Y108" s="41"/>
      <c r="Z108" s="41"/>
    </row>
    <row r="109" spans="1:26" ht="15">
      <c r="A109" s="177" t="s">
        <v>138</v>
      </c>
      <c r="B109" s="36"/>
      <c r="C109" s="37"/>
      <c r="D109" s="37"/>
      <c r="E109" s="36"/>
      <c r="F109" s="37"/>
      <c r="G109" s="37"/>
      <c r="I109" s="27"/>
      <c r="J109" s="36"/>
      <c r="Q109" s="41"/>
      <c r="R109" s="41"/>
      <c r="S109" s="41"/>
      <c r="T109" s="41"/>
      <c r="U109" s="41"/>
      <c r="V109" s="41"/>
      <c r="W109" s="41"/>
      <c r="X109" s="41"/>
      <c r="Y109" s="41"/>
      <c r="Z109" s="41"/>
    </row>
    <row r="110" spans="1:26">
      <c r="A110" s="176" t="s">
        <v>139</v>
      </c>
      <c r="B110" s="36"/>
      <c r="C110" s="37"/>
      <c r="D110" s="37"/>
      <c r="E110" s="36"/>
      <c r="F110" s="37"/>
      <c r="G110" s="37"/>
      <c r="I110" s="27"/>
      <c r="J110" s="36"/>
      <c r="Q110" s="41"/>
      <c r="R110" s="41"/>
      <c r="S110" s="41"/>
      <c r="T110" s="41"/>
      <c r="U110" s="41"/>
      <c r="V110" s="41"/>
      <c r="W110" s="41"/>
      <c r="X110" s="41"/>
      <c r="Y110" s="41"/>
      <c r="Z110" s="41"/>
    </row>
    <row r="111" spans="1:26">
      <c r="B111" s="36"/>
      <c r="C111" s="37"/>
      <c r="D111" s="37"/>
      <c r="E111" s="36"/>
      <c r="F111" s="37"/>
      <c r="G111" s="37"/>
      <c r="I111" s="27"/>
      <c r="J111" s="36"/>
      <c r="Q111" s="41"/>
      <c r="R111" s="41"/>
      <c r="S111" s="41"/>
      <c r="T111" s="41"/>
      <c r="U111" s="41"/>
      <c r="V111" s="41"/>
      <c r="W111" s="41"/>
      <c r="X111" s="41"/>
      <c r="Y111" s="41"/>
      <c r="Z111" s="41"/>
    </row>
    <row r="112" spans="1:26" ht="15" thickBot="1">
      <c r="A112" s="283" t="s">
        <v>100</v>
      </c>
      <c r="B112" s="283"/>
      <c r="C112" s="283"/>
      <c r="D112" s="283"/>
      <c r="E112" s="283"/>
      <c r="F112" s="283"/>
      <c r="G112" s="283"/>
      <c r="H112" s="283"/>
      <c r="I112" s="283"/>
      <c r="J112" s="283"/>
      <c r="K112" s="283"/>
      <c r="Q112" s="41"/>
      <c r="R112" s="41"/>
      <c r="S112" s="41"/>
      <c r="T112" s="41"/>
      <c r="U112" s="41"/>
      <c r="V112" s="41"/>
      <c r="W112" s="41"/>
      <c r="X112" s="41"/>
      <c r="Y112" s="41"/>
      <c r="Z112" s="41"/>
    </row>
    <row r="113" spans="1:26" ht="15" thickTop="1">
      <c r="A113" s="284" t="s">
        <v>85</v>
      </c>
      <c r="B113" s="286" t="s">
        <v>86</v>
      </c>
      <c r="C113" s="288" t="s">
        <v>87</v>
      </c>
      <c r="D113" s="288" t="s">
        <v>88</v>
      </c>
      <c r="E113" s="288" t="s">
        <v>89</v>
      </c>
      <c r="F113" s="288" t="s">
        <v>90</v>
      </c>
      <c r="G113" s="288"/>
      <c r="H113" s="288"/>
      <c r="I113" s="288"/>
      <c r="J113" s="288"/>
      <c r="K113" s="290" t="s">
        <v>91</v>
      </c>
      <c r="Q113" s="41"/>
      <c r="R113" s="41"/>
      <c r="S113" s="41"/>
      <c r="T113" s="41"/>
      <c r="U113" s="41"/>
      <c r="V113" s="41"/>
      <c r="W113" s="41"/>
      <c r="X113" s="41"/>
      <c r="Y113" s="41"/>
      <c r="Z113" s="41"/>
    </row>
    <row r="114" spans="1:26" ht="37.5" thickBot="1">
      <c r="A114" s="285"/>
      <c r="B114" s="287"/>
      <c r="C114" s="289"/>
      <c r="D114" s="289"/>
      <c r="E114" s="289"/>
      <c r="F114" s="222" t="s">
        <v>92</v>
      </c>
      <c r="G114" s="222" t="s">
        <v>93</v>
      </c>
      <c r="H114" s="222" t="s">
        <v>94</v>
      </c>
      <c r="I114" s="222" t="s">
        <v>95</v>
      </c>
      <c r="J114" s="222" t="s">
        <v>96</v>
      </c>
      <c r="K114" s="291"/>
      <c r="Q114" s="41"/>
      <c r="R114" s="41"/>
      <c r="S114" s="41"/>
      <c r="T114" s="41"/>
      <c r="U114" s="41"/>
      <c r="V114" s="41"/>
      <c r="W114" s="41"/>
      <c r="X114" s="41"/>
      <c r="Y114" s="41"/>
      <c r="Z114" s="41"/>
    </row>
    <row r="115" spans="1:26" ht="15.75" thickTop="1" thickBot="1">
      <c r="A115" s="223" t="s">
        <v>97</v>
      </c>
      <c r="B115" s="224" t="s">
        <v>149</v>
      </c>
      <c r="C115" s="225">
        <v>0.30006377052291366</v>
      </c>
      <c r="D115" s="225">
        <v>0.27089976096136842</v>
      </c>
      <c r="E115" s="226">
        <v>9.3032209554823227E-3</v>
      </c>
      <c r="F115" s="225">
        <v>0.30006377052291366</v>
      </c>
      <c r="G115" s="227">
        <v>10.288838024472746</v>
      </c>
      <c r="H115" s="228">
        <v>1</v>
      </c>
      <c r="I115" s="228">
        <v>24</v>
      </c>
      <c r="J115" s="225">
        <v>3.7704462705663833E-3</v>
      </c>
      <c r="K115" s="229">
        <v>1.9864303471427027</v>
      </c>
      <c r="Q115" s="41"/>
      <c r="R115" s="41"/>
      <c r="S115" s="41"/>
      <c r="T115" s="41"/>
      <c r="U115" s="41"/>
      <c r="V115" s="41"/>
      <c r="W115" s="41"/>
      <c r="X115" s="41"/>
      <c r="Y115" s="41"/>
      <c r="Z115" s="41"/>
    </row>
    <row r="116" spans="1:26" ht="15" thickTop="1">
      <c r="A116" s="292" t="s">
        <v>147</v>
      </c>
      <c r="B116" s="292"/>
      <c r="C116" s="292"/>
      <c r="D116" s="292"/>
      <c r="E116" s="292"/>
      <c r="F116" s="292"/>
      <c r="G116" s="292"/>
      <c r="H116" s="292"/>
      <c r="I116" s="292"/>
      <c r="J116" s="292"/>
      <c r="K116" s="292"/>
      <c r="Q116" s="41"/>
      <c r="R116" s="41"/>
      <c r="S116" s="41"/>
      <c r="T116" s="41"/>
      <c r="U116" s="41"/>
      <c r="V116" s="41"/>
      <c r="W116" s="41"/>
      <c r="X116" s="41"/>
      <c r="Y116" s="41"/>
      <c r="Z116" s="41"/>
    </row>
    <row r="117" spans="1:26">
      <c r="A117" s="292" t="s">
        <v>148</v>
      </c>
      <c r="B117" s="292"/>
      <c r="C117" s="292"/>
      <c r="D117" s="292"/>
      <c r="E117" s="292"/>
      <c r="F117" s="292"/>
      <c r="G117" s="292"/>
      <c r="H117" s="292"/>
      <c r="I117" s="292"/>
      <c r="J117" s="292"/>
      <c r="K117" s="292"/>
      <c r="Q117" s="41"/>
      <c r="R117" s="41"/>
      <c r="S117" s="41"/>
      <c r="T117" s="41"/>
      <c r="U117" s="41"/>
      <c r="V117" s="41"/>
      <c r="W117" s="41"/>
      <c r="X117" s="41"/>
      <c r="Y117" s="41"/>
      <c r="Z117" s="41"/>
    </row>
    <row r="118" spans="1:26">
      <c r="B118" s="36"/>
      <c r="C118" s="37"/>
      <c r="D118" s="37"/>
      <c r="E118" s="36"/>
      <c r="F118" s="37"/>
      <c r="G118" s="37"/>
      <c r="I118" s="27"/>
      <c r="J118" s="36"/>
      <c r="Q118" s="41"/>
      <c r="R118" s="41"/>
      <c r="S118" s="41"/>
      <c r="T118" s="41"/>
      <c r="U118" s="41"/>
      <c r="V118" s="41"/>
      <c r="W118" s="41"/>
      <c r="X118" s="41"/>
      <c r="Y118" s="41"/>
      <c r="Z118" s="41"/>
    </row>
    <row r="119" spans="1:26" ht="15" thickBot="1">
      <c r="A119" s="283" t="s">
        <v>112</v>
      </c>
      <c r="B119" s="283"/>
      <c r="C119" s="283"/>
      <c r="D119" s="283"/>
      <c r="E119" s="283"/>
      <c r="F119" s="283"/>
      <c r="G119" s="283"/>
      <c r="I119" s="27"/>
      <c r="J119" s="36"/>
      <c r="Q119" s="41"/>
      <c r="R119" s="41"/>
      <c r="S119" s="41"/>
      <c r="T119" s="41"/>
      <c r="U119" s="41"/>
      <c r="V119" s="41"/>
      <c r="W119" s="41"/>
      <c r="X119" s="41"/>
      <c r="Y119" s="41"/>
      <c r="Z119" s="41"/>
    </row>
    <row r="120" spans="1:26" ht="26.25" thickTop="1" thickBot="1">
      <c r="A120" s="293" t="s">
        <v>85</v>
      </c>
      <c r="B120" s="294"/>
      <c r="C120" s="230" t="s">
        <v>102</v>
      </c>
      <c r="D120" s="231" t="s">
        <v>103</v>
      </c>
      <c r="E120" s="231" t="s">
        <v>104</v>
      </c>
      <c r="F120" s="231" t="s">
        <v>105</v>
      </c>
      <c r="G120" s="232" t="s">
        <v>106</v>
      </c>
      <c r="I120" s="27"/>
      <c r="J120" s="36"/>
      <c r="Q120" s="41"/>
      <c r="R120" s="41"/>
      <c r="S120" s="41"/>
      <c r="T120" s="41"/>
      <c r="U120" s="41"/>
      <c r="V120" s="41"/>
      <c r="W120" s="41"/>
      <c r="X120" s="41"/>
      <c r="Y120" s="41"/>
      <c r="Z120" s="41"/>
    </row>
    <row r="121" spans="1:26" ht="15" thickTop="1">
      <c r="A121" s="295" t="s">
        <v>97</v>
      </c>
      <c r="B121" s="233" t="s">
        <v>107</v>
      </c>
      <c r="C121" s="234">
        <v>8.9049810941865069</v>
      </c>
      <c r="D121" s="235">
        <v>1</v>
      </c>
      <c r="E121" s="236">
        <v>8.9049810941865069</v>
      </c>
      <c r="F121" s="236">
        <v>10.288838024472748</v>
      </c>
      <c r="G121" s="237" t="s">
        <v>152</v>
      </c>
      <c r="I121" s="27"/>
      <c r="J121" s="36"/>
      <c r="Q121" s="41"/>
      <c r="R121" s="41"/>
      <c r="S121" s="41"/>
      <c r="T121" s="41"/>
      <c r="U121" s="41"/>
      <c r="V121" s="41"/>
      <c r="W121" s="41"/>
      <c r="X121" s="41"/>
      <c r="Y121" s="41"/>
      <c r="Z121" s="41"/>
    </row>
    <row r="122" spans="1:26">
      <c r="A122" s="296"/>
      <c r="B122" s="238" t="s">
        <v>108</v>
      </c>
      <c r="C122" s="239">
        <v>20.771980835166101</v>
      </c>
      <c r="D122" s="240">
        <v>24</v>
      </c>
      <c r="E122" s="241">
        <v>0.86549920146525416</v>
      </c>
      <c r="F122" s="242"/>
      <c r="G122" s="243"/>
      <c r="I122" s="27"/>
      <c r="J122" s="36"/>
      <c r="Q122" s="41"/>
      <c r="R122" s="41"/>
      <c r="S122" s="41"/>
      <c r="T122" s="41"/>
      <c r="U122" s="41"/>
      <c r="V122" s="41"/>
      <c r="W122" s="41"/>
      <c r="X122" s="41"/>
      <c r="Y122" s="41"/>
      <c r="Z122" s="41"/>
    </row>
    <row r="123" spans="1:26" ht="15" thickBot="1">
      <c r="A123" s="297"/>
      <c r="B123" s="244" t="s">
        <v>109</v>
      </c>
      <c r="C123" s="245">
        <v>29.676961929352608</v>
      </c>
      <c r="D123" s="246">
        <v>25</v>
      </c>
      <c r="E123" s="247"/>
      <c r="F123" s="247"/>
      <c r="G123" s="248"/>
      <c r="I123" s="27"/>
      <c r="J123" s="36"/>
      <c r="Q123" s="41"/>
      <c r="R123" s="41"/>
      <c r="S123" s="41"/>
      <c r="T123" s="41"/>
      <c r="U123" s="41"/>
      <c r="V123" s="41"/>
      <c r="W123" s="41"/>
      <c r="X123" s="41"/>
      <c r="Y123" s="41"/>
      <c r="Z123" s="41"/>
    </row>
    <row r="124" spans="1:26" ht="15" thickTop="1">
      <c r="A124" s="292" t="s">
        <v>150</v>
      </c>
      <c r="B124" s="292"/>
      <c r="C124" s="292"/>
      <c r="D124" s="292"/>
      <c r="E124" s="292"/>
      <c r="F124" s="292"/>
      <c r="G124" s="292"/>
      <c r="I124" s="27"/>
      <c r="J124" s="36"/>
      <c r="Q124" s="41"/>
      <c r="R124" s="41"/>
      <c r="S124" s="41"/>
      <c r="T124" s="41"/>
      <c r="U124" s="41"/>
      <c r="V124" s="41"/>
      <c r="W124" s="41"/>
      <c r="X124" s="41"/>
      <c r="Y124" s="41"/>
      <c r="Z124" s="41"/>
    </row>
    <row r="125" spans="1:26">
      <c r="A125" s="292" t="s">
        <v>151</v>
      </c>
      <c r="B125" s="292"/>
      <c r="C125" s="292"/>
      <c r="D125" s="292"/>
      <c r="E125" s="292"/>
      <c r="F125" s="292"/>
      <c r="G125" s="292"/>
      <c r="I125" s="27"/>
      <c r="J125" s="36"/>
      <c r="Q125" s="41"/>
      <c r="R125" s="41"/>
      <c r="S125" s="41"/>
      <c r="T125" s="41"/>
      <c r="U125" s="41"/>
      <c r="V125" s="41"/>
      <c r="W125" s="41"/>
      <c r="X125" s="41"/>
      <c r="Y125" s="41"/>
      <c r="Z125" s="41"/>
    </row>
    <row r="126" spans="1:26">
      <c r="B126" s="36"/>
      <c r="C126" s="37"/>
      <c r="D126" s="37"/>
      <c r="E126" s="36"/>
      <c r="F126" s="37"/>
      <c r="G126" s="37"/>
      <c r="I126" s="27"/>
      <c r="J126" s="36"/>
      <c r="Q126" s="41"/>
      <c r="R126" s="41"/>
      <c r="S126" s="41"/>
      <c r="T126" s="41"/>
      <c r="U126" s="41"/>
      <c r="V126" s="41"/>
      <c r="W126" s="41"/>
      <c r="X126" s="41"/>
      <c r="Y126" s="41"/>
      <c r="Z126" s="41"/>
    </row>
    <row r="127" spans="1:26" ht="13.5" thickBot="1">
      <c r="A127" s="283" t="s">
        <v>125</v>
      </c>
      <c r="B127" s="283"/>
      <c r="C127" s="283"/>
      <c r="D127" s="283"/>
      <c r="E127" s="283"/>
      <c r="F127" s="283"/>
      <c r="G127" s="283"/>
      <c r="H127" s="283"/>
      <c r="I127" s="283"/>
      <c r="J127" s="283"/>
      <c r="K127" s="283"/>
      <c r="L127" s="283"/>
      <c r="M127" s="283"/>
      <c r="N127" s="283"/>
      <c r="O127" s="249"/>
      <c r="Q127" s="41"/>
      <c r="R127" s="41"/>
      <c r="S127" s="41"/>
      <c r="T127" s="41"/>
      <c r="U127" s="41"/>
      <c r="V127" s="41"/>
      <c r="W127" s="41"/>
      <c r="X127" s="41"/>
      <c r="Y127" s="41"/>
      <c r="Z127" s="41"/>
    </row>
    <row r="128" spans="1:26" ht="37.5" thickTop="1" thickBot="1">
      <c r="A128" s="298" t="s">
        <v>85</v>
      </c>
      <c r="B128" s="299"/>
      <c r="C128" s="286" t="s">
        <v>114</v>
      </c>
      <c r="D128" s="288"/>
      <c r="E128" s="251" t="s">
        <v>115</v>
      </c>
      <c r="F128" s="288" t="s">
        <v>116</v>
      </c>
      <c r="G128" s="288" t="s">
        <v>106</v>
      </c>
      <c r="H128" s="288" t="s">
        <v>117</v>
      </c>
      <c r="I128" s="288"/>
      <c r="J128" s="288" t="s">
        <v>153</v>
      </c>
      <c r="K128" s="288"/>
      <c r="L128" s="288"/>
      <c r="M128" s="288" t="s">
        <v>128</v>
      </c>
      <c r="N128" s="290"/>
      <c r="O128" s="250"/>
      <c r="Q128" s="41"/>
      <c r="R128" s="41"/>
      <c r="S128" s="41"/>
      <c r="T128" s="41"/>
      <c r="U128" s="41"/>
      <c r="V128" s="41"/>
      <c r="W128" s="41"/>
      <c r="X128" s="41"/>
      <c r="Y128" s="41"/>
      <c r="Z128" s="41"/>
    </row>
    <row r="129" spans="1:26" ht="25.5" thickTop="1" thickBot="1">
      <c r="A129" s="300"/>
      <c r="B129" s="301"/>
      <c r="C129" s="252" t="s">
        <v>118</v>
      </c>
      <c r="D129" s="222" t="s">
        <v>119</v>
      </c>
      <c r="E129" s="222" t="s">
        <v>120</v>
      </c>
      <c r="F129" s="289"/>
      <c r="G129" s="289"/>
      <c r="H129" s="222" t="s">
        <v>121</v>
      </c>
      <c r="I129" s="222" t="s">
        <v>122</v>
      </c>
      <c r="J129" s="222" t="s">
        <v>154</v>
      </c>
      <c r="K129" s="222" t="s">
        <v>155</v>
      </c>
      <c r="L129" s="222" t="s">
        <v>156</v>
      </c>
      <c r="M129" s="222" t="s">
        <v>129</v>
      </c>
      <c r="N129" s="253" t="s">
        <v>157</v>
      </c>
      <c r="O129" s="250"/>
      <c r="Q129" s="41"/>
      <c r="R129" s="41"/>
      <c r="S129" s="41"/>
      <c r="T129" s="41"/>
      <c r="U129" s="41"/>
      <c r="V129" s="41"/>
      <c r="W129" s="41"/>
      <c r="X129" s="41"/>
      <c r="Y129" s="41"/>
      <c r="Z129" s="41"/>
    </row>
    <row r="130" spans="1:26" thickTop="1" thickBot="1">
      <c r="A130" s="295" t="s">
        <v>97</v>
      </c>
      <c r="B130" s="233" t="s">
        <v>123</v>
      </c>
      <c r="C130" s="234">
        <v>2.0896427222099616</v>
      </c>
      <c r="D130" s="254">
        <v>0.39934275276965975</v>
      </c>
      <c r="E130" s="255"/>
      <c r="F130" s="236">
        <v>5.232704757297209</v>
      </c>
      <c r="G130" s="254">
        <v>2.3079381505327221E-5</v>
      </c>
      <c r="H130" s="236">
        <v>1.2654397891721407</v>
      </c>
      <c r="I130" s="236">
        <v>2.9138456552477825</v>
      </c>
      <c r="J130" s="255"/>
      <c r="K130" s="255"/>
      <c r="L130" s="255"/>
      <c r="M130" s="255"/>
      <c r="N130" s="256"/>
      <c r="O130" s="250"/>
      <c r="Q130" s="41"/>
      <c r="R130" s="41"/>
      <c r="S130" s="41"/>
      <c r="T130" s="41"/>
      <c r="U130" s="41"/>
      <c r="V130" s="41"/>
      <c r="W130" s="41"/>
      <c r="X130" s="41"/>
      <c r="Y130" s="41"/>
      <c r="Z130" s="41"/>
    </row>
    <row r="131" spans="1:26" ht="49.5" thickTop="1" thickBot="1">
      <c r="A131" s="297"/>
      <c r="B131" s="244" t="s">
        <v>158</v>
      </c>
      <c r="C131" s="257">
        <v>6.1488748567039446E-2</v>
      </c>
      <c r="D131" s="258">
        <v>1.9169575208032745E-2</v>
      </c>
      <c r="E131" s="258">
        <v>0.54778076866837311</v>
      </c>
      <c r="F131" s="259">
        <v>3.2076218643214087</v>
      </c>
      <c r="G131" s="258">
        <v>3.7704462705663833E-3</v>
      </c>
      <c r="H131" s="258">
        <v>2.1924689868163094E-2</v>
      </c>
      <c r="I131" s="258">
        <v>0.1010528072659158</v>
      </c>
      <c r="J131" s="258">
        <v>0.54778076866837311</v>
      </c>
      <c r="K131" s="258">
        <v>0.54778076866837311</v>
      </c>
      <c r="L131" s="258">
        <v>0.54778076866837311</v>
      </c>
      <c r="M131" s="259">
        <v>1</v>
      </c>
      <c r="N131" s="260">
        <v>1</v>
      </c>
      <c r="O131" s="250"/>
      <c r="Q131" s="41"/>
      <c r="R131" s="41"/>
      <c r="S131" s="41"/>
      <c r="T131" s="41"/>
      <c r="U131" s="41"/>
      <c r="V131" s="41"/>
      <c r="W131" s="41"/>
      <c r="X131" s="41"/>
      <c r="Y131" s="41"/>
      <c r="Z131" s="41"/>
    </row>
    <row r="132" spans="1:26" ht="13.5" thickTop="1">
      <c r="A132" s="292" t="s">
        <v>150</v>
      </c>
      <c r="B132" s="292"/>
      <c r="C132" s="292"/>
      <c r="D132" s="292"/>
      <c r="E132" s="292"/>
      <c r="F132" s="292"/>
      <c r="G132" s="292"/>
      <c r="H132" s="292"/>
      <c r="I132" s="292"/>
      <c r="J132" s="292"/>
      <c r="K132" s="292"/>
      <c r="L132" s="292"/>
      <c r="M132" s="292"/>
      <c r="N132" s="292"/>
      <c r="O132" s="250"/>
      <c r="Q132" s="41"/>
      <c r="R132" s="41"/>
      <c r="S132" s="41"/>
      <c r="T132" s="41"/>
      <c r="U132" s="41"/>
      <c r="V132" s="41"/>
      <c r="W132" s="41"/>
      <c r="X132" s="41"/>
      <c r="Y132" s="41"/>
      <c r="Z132" s="41"/>
    </row>
    <row r="133" spans="1:26">
      <c r="B133" s="36"/>
      <c r="C133" s="37"/>
      <c r="D133" s="37"/>
      <c r="E133" s="36"/>
      <c r="F133" s="37"/>
      <c r="G133" s="37"/>
      <c r="I133" s="27"/>
      <c r="J133" s="36"/>
      <c r="Q133" s="41"/>
      <c r="R133" s="41"/>
      <c r="S133" s="41"/>
      <c r="T133" s="41"/>
      <c r="U133" s="41"/>
      <c r="V133" s="41"/>
      <c r="W133" s="41"/>
      <c r="X133" s="41"/>
      <c r="Y133" s="41"/>
      <c r="Z133" s="41"/>
    </row>
    <row r="134" spans="1:26" ht="15" thickBot="1">
      <c r="A134" s="283" t="s">
        <v>134</v>
      </c>
      <c r="B134" s="283"/>
      <c r="C134" s="283"/>
      <c r="D134" s="283"/>
      <c r="E134" s="283"/>
      <c r="F134" s="283"/>
      <c r="G134" s="283"/>
      <c r="H134" s="283"/>
      <c r="I134" s="283"/>
      <c r="J134" s="36"/>
      <c r="Q134" s="41"/>
      <c r="R134" s="41"/>
      <c r="S134" s="41"/>
      <c r="T134" s="41"/>
      <c r="U134" s="41"/>
      <c r="V134" s="41"/>
      <c r="W134" s="41"/>
      <c r="X134" s="41"/>
      <c r="Y134" s="41"/>
      <c r="Z134" s="41"/>
    </row>
    <row r="135" spans="1:26" ht="15" thickTop="1">
      <c r="A135" s="298" t="s">
        <v>85</v>
      </c>
      <c r="B135" s="299"/>
      <c r="C135" s="286" t="s">
        <v>126</v>
      </c>
      <c r="D135" s="288" t="s">
        <v>116</v>
      </c>
      <c r="E135" s="288" t="s">
        <v>106</v>
      </c>
      <c r="F135" s="288" t="s">
        <v>127</v>
      </c>
      <c r="G135" s="288" t="s">
        <v>128</v>
      </c>
      <c r="H135" s="288"/>
      <c r="I135" s="290"/>
      <c r="J135" s="36"/>
      <c r="Q135" s="41"/>
      <c r="R135" s="41"/>
      <c r="S135" s="41"/>
      <c r="T135" s="41"/>
      <c r="U135" s="41"/>
      <c r="V135" s="41"/>
      <c r="W135" s="41"/>
      <c r="X135" s="41"/>
      <c r="Y135" s="41"/>
      <c r="Z135" s="41"/>
    </row>
    <row r="136" spans="1:26" ht="25.5" thickBot="1">
      <c r="A136" s="300"/>
      <c r="B136" s="301"/>
      <c r="C136" s="287"/>
      <c r="D136" s="289"/>
      <c r="E136" s="289"/>
      <c r="F136" s="289"/>
      <c r="G136" s="222" t="s">
        <v>129</v>
      </c>
      <c r="H136" s="222" t="s">
        <v>157</v>
      </c>
      <c r="I136" s="253" t="s">
        <v>159</v>
      </c>
      <c r="J136" s="36"/>
      <c r="Q136" s="41"/>
      <c r="R136" s="41"/>
      <c r="S136" s="41"/>
      <c r="T136" s="41"/>
      <c r="U136" s="41"/>
      <c r="V136" s="41"/>
      <c r="W136" s="41"/>
      <c r="X136" s="41"/>
      <c r="Y136" s="41"/>
      <c r="Z136" s="41"/>
    </row>
    <row r="137" spans="1:26" ht="25.5" thickTop="1" thickBot="1">
      <c r="A137" s="261" t="s">
        <v>97</v>
      </c>
      <c r="B137" s="262" t="s">
        <v>130</v>
      </c>
      <c r="C137" s="224" t="s">
        <v>161</v>
      </c>
      <c r="D137" s="227">
        <v>1.6486142940896586</v>
      </c>
      <c r="E137" s="225">
        <v>0.11282074978971007</v>
      </c>
      <c r="F137" s="225">
        <v>0.32508809363993046</v>
      </c>
      <c r="G137" s="225">
        <v>0.71556217333278527</v>
      </c>
      <c r="H137" s="227">
        <v>1.3975026032223363</v>
      </c>
      <c r="I137" s="263">
        <v>0.71556217333278527</v>
      </c>
      <c r="J137" s="36"/>
      <c r="Q137" s="41"/>
      <c r="R137" s="41"/>
      <c r="S137" s="41"/>
      <c r="T137" s="41"/>
      <c r="U137" s="41"/>
      <c r="V137" s="41"/>
      <c r="W137" s="41"/>
      <c r="X137" s="41"/>
      <c r="Y137" s="41"/>
      <c r="Z137" s="41"/>
    </row>
    <row r="138" spans="1:26" ht="15" thickTop="1">
      <c r="A138" s="292" t="s">
        <v>150</v>
      </c>
      <c r="B138" s="292"/>
      <c r="C138" s="292"/>
      <c r="D138" s="292"/>
      <c r="E138" s="292"/>
      <c r="F138" s="292"/>
      <c r="G138" s="292"/>
      <c r="H138" s="292"/>
      <c r="I138" s="292"/>
      <c r="J138" s="36"/>
      <c r="Q138" s="41"/>
      <c r="R138" s="41"/>
      <c r="S138" s="41"/>
      <c r="T138" s="41"/>
      <c r="U138" s="41"/>
      <c r="V138" s="41"/>
      <c r="W138" s="41"/>
      <c r="X138" s="41"/>
      <c r="Y138" s="41"/>
      <c r="Z138" s="41"/>
    </row>
    <row r="139" spans="1:26">
      <c r="A139" s="292" t="s">
        <v>160</v>
      </c>
      <c r="B139" s="292"/>
      <c r="C139" s="292"/>
      <c r="D139" s="292"/>
      <c r="E139" s="292"/>
      <c r="F139" s="292"/>
      <c r="G139" s="292"/>
      <c r="H139" s="292"/>
      <c r="I139" s="292"/>
      <c r="J139" s="36"/>
      <c r="Q139" s="41"/>
      <c r="R139" s="41"/>
      <c r="S139" s="41"/>
      <c r="T139" s="41"/>
      <c r="U139" s="41"/>
      <c r="V139" s="41"/>
      <c r="W139" s="41"/>
      <c r="X139" s="41"/>
      <c r="Y139" s="41"/>
      <c r="Z139" s="41"/>
    </row>
    <row r="140" spans="1:26">
      <c r="B140" s="36"/>
      <c r="C140" s="37"/>
      <c r="D140" s="37"/>
      <c r="E140" s="36"/>
      <c r="F140" s="37"/>
      <c r="G140" s="37"/>
      <c r="I140" s="27"/>
      <c r="J140" s="36"/>
      <c r="Q140" s="41"/>
      <c r="R140" s="41"/>
      <c r="S140" s="41"/>
      <c r="T140" s="41"/>
      <c r="U140" s="41"/>
      <c r="V140" s="41"/>
      <c r="W140" s="41"/>
      <c r="X140" s="41"/>
      <c r="Y140" s="41"/>
      <c r="Z140" s="41"/>
    </row>
    <row r="143" spans="1:26">
      <c r="A143" s="16" t="s">
        <v>13</v>
      </c>
      <c r="B143" s="17">
        <f>J177/L177</f>
        <v>6.1488748567039447E-4</v>
      </c>
      <c r="D143" s="94"/>
      <c r="E143" s="95"/>
      <c r="F143" s="93" t="str">
        <f>F148</f>
        <v>X = Dif PAS [desp vs antes]</v>
      </c>
      <c r="G143" s="95"/>
      <c r="H143" s="15"/>
      <c r="I143" s="96" t="str">
        <f>G148</f>
        <v>Y = IAM /año</v>
      </c>
      <c r="L143" s="265"/>
      <c r="M143" s="265"/>
      <c r="N143" s="265"/>
    </row>
    <row r="144" spans="1:26">
      <c r="A144" s="22" t="s">
        <v>14</v>
      </c>
      <c r="B144" s="23">
        <f>B146*G178/F178</f>
        <v>6.1488748567039425E-4</v>
      </c>
      <c r="D144" s="97" t="s">
        <v>37</v>
      </c>
      <c r="E144" s="128">
        <v>-1</v>
      </c>
      <c r="F144" s="93" t="s">
        <v>33</v>
      </c>
      <c r="G144" s="15" t="s">
        <v>36</v>
      </c>
      <c r="H144" s="15"/>
      <c r="I144" s="96" t="s">
        <v>166</v>
      </c>
      <c r="J144" s="127">
        <f>E144*B144</f>
        <v>-6.1488748567039425E-4</v>
      </c>
      <c r="K144" s="6" t="s">
        <v>35</v>
      </c>
      <c r="L144" s="127">
        <f>E144*G187</f>
        <v>-2.1924689868160394E-4</v>
      </c>
      <c r="M144" s="6" t="s">
        <v>34</v>
      </c>
      <c r="N144" s="127">
        <f>E144*I187</f>
        <v>-1.0105280726591846E-3</v>
      </c>
    </row>
    <row r="145" spans="1:26">
      <c r="A145" s="16" t="s">
        <v>15</v>
      </c>
      <c r="B145" s="17">
        <f>G177-(F177*B143)</f>
        <v>2.0896427222099622E-2</v>
      </c>
      <c r="M145" s="4"/>
    </row>
    <row r="146" spans="1:26">
      <c r="A146" s="25" t="s">
        <v>31</v>
      </c>
      <c r="B146" s="24">
        <f>J177/SQRT(N177)</f>
        <v>0.54778076866837311</v>
      </c>
      <c r="M146" s="4"/>
    </row>
    <row r="147" spans="1:26" ht="26.25" customHeight="1" thickBot="1">
      <c r="A147" s="108" t="s">
        <v>32</v>
      </c>
      <c r="B147" s="109">
        <f>B146^2</f>
        <v>0.30006377052291372</v>
      </c>
      <c r="C147" s="110">
        <f>1-B147</f>
        <v>0.69993622947708634</v>
      </c>
      <c r="F147" s="7"/>
      <c r="G147" s="8"/>
      <c r="H147" s="269" t="s">
        <v>1</v>
      </c>
      <c r="I147" s="270"/>
      <c r="J147" s="9" t="s">
        <v>2</v>
      </c>
      <c r="K147" s="10"/>
      <c r="L147" s="9" t="s">
        <v>3</v>
      </c>
      <c r="M147" s="9" t="s">
        <v>4</v>
      </c>
      <c r="N147" s="9" t="s">
        <v>5</v>
      </c>
      <c r="Q147" s="41"/>
      <c r="R147" s="41"/>
      <c r="S147" s="41"/>
      <c r="T147" s="41"/>
      <c r="U147" s="43"/>
      <c r="V147" s="68"/>
      <c r="W147" s="68"/>
      <c r="X147" s="41"/>
      <c r="Y147" s="41"/>
      <c r="Z147" s="69"/>
    </row>
    <row r="148" spans="1:26" ht="37.5" customHeight="1" thickBot="1">
      <c r="A148" s="113" t="s">
        <v>43</v>
      </c>
      <c r="C148" s="11" t="s">
        <v>174</v>
      </c>
      <c r="D148" s="12" t="s">
        <v>6</v>
      </c>
      <c r="E148" s="12" t="s">
        <v>39</v>
      </c>
      <c r="F148" s="44" t="s">
        <v>189</v>
      </c>
      <c r="G148" s="45" t="s">
        <v>184</v>
      </c>
      <c r="H148" s="13" t="s">
        <v>7</v>
      </c>
      <c r="I148" s="14" t="s">
        <v>8</v>
      </c>
      <c r="J148" s="14" t="s">
        <v>9</v>
      </c>
      <c r="L148" s="14" t="s">
        <v>10</v>
      </c>
      <c r="M148" s="14" t="s">
        <v>11</v>
      </c>
      <c r="N148" s="14" t="s">
        <v>12</v>
      </c>
      <c r="Q148" s="41"/>
      <c r="R148" s="41"/>
      <c r="S148" s="70"/>
      <c r="T148" s="71"/>
      <c r="U148" s="41"/>
      <c r="V148" s="105"/>
      <c r="W148" s="105"/>
      <c r="X148" s="73"/>
      <c r="Y148" s="74"/>
      <c r="Z148" s="105"/>
    </row>
    <row r="149" spans="1:26">
      <c r="A149" s="112" t="s">
        <v>62</v>
      </c>
      <c r="C149" s="268">
        <f>B145+(B144*F149)</f>
        <v>2.2653364062866707E-3</v>
      </c>
      <c r="D149" s="340">
        <f t="shared" ref="D149:D174" si="10">C149-G149</f>
        <v>-1.8950966149441457E-3</v>
      </c>
      <c r="E149" s="6">
        <v>1</v>
      </c>
      <c r="F149" s="46">
        <v>-30.300000000000011</v>
      </c>
      <c r="G149" s="61">
        <v>4.1604330212308164E-3</v>
      </c>
      <c r="H149" s="19">
        <f>F149-F177</f>
        <v>-11.769230769230781</v>
      </c>
      <c r="I149" s="63">
        <f>G149-G177</f>
        <v>-5.341656101022804E-3</v>
      </c>
      <c r="J149" s="19">
        <f t="shared" ref="J149:J174" si="11">H149*I149</f>
        <v>6.2867183342806915E-2</v>
      </c>
      <c r="K149" s="20"/>
      <c r="L149" s="20">
        <f t="shared" ref="L149:L174" si="12">H149^2</f>
        <v>138.51479289940855</v>
      </c>
      <c r="M149" s="38">
        <f t="shared" ref="M149:M174" si="13">I149^2</f>
        <v>2.8533289901594144E-5</v>
      </c>
      <c r="N149" s="21"/>
      <c r="Q149" s="75"/>
      <c r="R149" s="76"/>
      <c r="S149" s="41"/>
      <c r="T149" s="41"/>
      <c r="U149" s="41"/>
      <c r="V149" s="58"/>
      <c r="W149" s="58"/>
      <c r="X149" s="77"/>
      <c r="Y149" s="74"/>
      <c r="Z149" s="58"/>
    </row>
    <row r="150" spans="1:26">
      <c r="A150" s="112" t="s">
        <v>63</v>
      </c>
      <c r="C150" s="268">
        <f>B145+(B144*F150)</f>
        <v>1.1673114937043708E-2</v>
      </c>
      <c r="D150" s="340">
        <f t="shared" si="10"/>
        <v>7.7929348966898357E-3</v>
      </c>
      <c r="E150" s="6">
        <v>2</v>
      </c>
      <c r="F150" s="46">
        <v>-15</v>
      </c>
      <c r="G150" s="61">
        <v>3.8801800403538726E-3</v>
      </c>
      <c r="H150" s="19">
        <f>F150-F177</f>
        <v>3.5307692307692307</v>
      </c>
      <c r="I150" s="63">
        <f>G150-G177</f>
        <v>-5.6219090818997479E-3</v>
      </c>
      <c r="J150" s="19">
        <f t="shared" si="11"/>
        <v>-1.9849663604553723E-2</v>
      </c>
      <c r="K150" s="20"/>
      <c r="L150" s="20">
        <f t="shared" si="12"/>
        <v>12.466331360946745</v>
      </c>
      <c r="M150" s="38">
        <f t="shared" si="13"/>
        <v>3.1605861725146866E-5</v>
      </c>
      <c r="N150" s="21"/>
      <c r="Q150" s="75"/>
      <c r="R150" s="76"/>
      <c r="S150" s="41"/>
      <c r="T150" s="41"/>
      <c r="U150" s="41"/>
      <c r="V150" s="58"/>
      <c r="W150" s="58"/>
      <c r="X150" s="77"/>
      <c r="Y150" s="74"/>
      <c r="Z150" s="58"/>
    </row>
    <row r="151" spans="1:26">
      <c r="A151" s="112" t="s">
        <v>64</v>
      </c>
      <c r="C151" s="268">
        <f>B145+(B144*F151)</f>
        <v>6.7540150516805543E-3</v>
      </c>
      <c r="D151" s="340">
        <f t="shared" si="10"/>
        <v>-6.7480946529607962E-3</v>
      </c>
      <c r="E151" s="6">
        <v>3</v>
      </c>
      <c r="F151" s="46">
        <v>-23</v>
      </c>
      <c r="G151" s="61">
        <v>1.350210970464135E-2</v>
      </c>
      <c r="H151" s="19">
        <f>F151-F177</f>
        <v>-4.4692307692307693</v>
      </c>
      <c r="I151" s="63">
        <f>G151-G177</f>
        <v>4.00002058238773E-3</v>
      </c>
      <c r="J151" s="19">
        <f t="shared" si="11"/>
        <v>-1.7877015064363625E-2</v>
      </c>
      <c r="K151" s="20"/>
      <c r="L151" s="20">
        <f t="shared" si="12"/>
        <v>19.974023668639056</v>
      </c>
      <c r="M151" s="38">
        <f t="shared" si="13"/>
        <v>1.6000164659525475E-5</v>
      </c>
      <c r="N151" s="21"/>
      <c r="Q151" s="75"/>
      <c r="R151" s="76"/>
      <c r="S151" s="41"/>
      <c r="T151" s="41"/>
      <c r="U151" s="41"/>
      <c r="V151" s="58"/>
      <c r="W151" s="58"/>
      <c r="X151" s="77"/>
      <c r="Y151" s="74"/>
      <c r="Z151" s="58"/>
    </row>
    <row r="152" spans="1:26">
      <c r="A152" s="129" t="s">
        <v>65</v>
      </c>
      <c r="C152" s="268">
        <f>B145+(B144*F152)</f>
        <v>1.5977327336736468E-2</v>
      </c>
      <c r="D152" s="340">
        <f t="shared" si="10"/>
        <v>-5.6427937525135169E-5</v>
      </c>
      <c r="E152" s="6">
        <v>4</v>
      </c>
      <c r="F152" s="46">
        <v>-8</v>
      </c>
      <c r="G152" s="61">
        <v>1.6033755274261603E-2</v>
      </c>
      <c r="H152" s="19">
        <f>F152-F177</f>
        <v>10.530769230769231</v>
      </c>
      <c r="I152" s="63">
        <f>G152-G177</f>
        <v>6.5316661520079828E-3</v>
      </c>
      <c r="J152" s="19">
        <f t="shared" si="11"/>
        <v>6.878346893922252E-2</v>
      </c>
      <c r="K152" s="20"/>
      <c r="L152" s="20">
        <f t="shared" si="12"/>
        <v>110.89710059171597</v>
      </c>
      <c r="M152" s="38">
        <f t="shared" si="13"/>
        <v>4.2662662721286769E-5</v>
      </c>
      <c r="N152" s="21"/>
      <c r="Q152" s="75"/>
      <c r="R152" s="76"/>
      <c r="S152" s="41"/>
      <c r="T152" s="41"/>
      <c r="U152" s="41"/>
      <c r="V152" s="58"/>
      <c r="W152" s="58"/>
      <c r="X152" s="77"/>
      <c r="Y152" s="74"/>
      <c r="Z152" s="58"/>
    </row>
    <row r="153" spans="1:26">
      <c r="A153" s="112" t="s">
        <v>69</v>
      </c>
      <c r="C153" s="268">
        <f>B145+(B144*F153)</f>
        <v>-1.0550560163334471E-3</v>
      </c>
      <c r="D153" s="340">
        <f t="shared" si="10"/>
        <v>-2.4051910298347971E-3</v>
      </c>
      <c r="E153" s="6">
        <v>5</v>
      </c>
      <c r="F153" s="46">
        <v>-35.699999999999989</v>
      </c>
      <c r="G153" s="61">
        <v>1.3501350135013501E-3</v>
      </c>
      <c r="H153" s="19">
        <f>F153-F177</f>
        <v>-17.169230769230758</v>
      </c>
      <c r="I153" s="63">
        <f>G153-G177</f>
        <v>-8.1519541087522705E-3</v>
      </c>
      <c r="J153" s="19">
        <f t="shared" si="11"/>
        <v>0.13996278131334658</v>
      </c>
      <c r="K153" s="20"/>
      <c r="L153" s="20">
        <f t="shared" si="12"/>
        <v>294.78248520710019</v>
      </c>
      <c r="M153" s="38">
        <f t="shared" si="13"/>
        <v>6.6454355791203029E-5</v>
      </c>
      <c r="N153" s="21"/>
      <c r="Q153" s="75"/>
      <c r="R153" s="76"/>
      <c r="S153" s="41"/>
      <c r="T153" s="41"/>
      <c r="U153" s="41"/>
      <c r="V153" s="58"/>
      <c r="W153" s="58"/>
      <c r="X153" s="77"/>
      <c r="Y153" s="74"/>
      <c r="Z153" s="58"/>
    </row>
    <row r="154" spans="1:26">
      <c r="A154" s="112" t="s">
        <v>70</v>
      </c>
      <c r="C154" s="268">
        <f>B145+(B144*F154)</f>
        <v>4.1099988632978535E-3</v>
      </c>
      <c r="D154" s="340">
        <f t="shared" si="10"/>
        <v>5.193345904073686E-4</v>
      </c>
      <c r="E154" s="6">
        <v>6</v>
      </c>
      <c r="F154" s="46">
        <v>-27.300000000000011</v>
      </c>
      <c r="G154" s="61">
        <v>3.5906642728904849E-3</v>
      </c>
      <c r="H154" s="19">
        <f>F154-F177</f>
        <v>-8.7692307692307807</v>
      </c>
      <c r="I154" s="63">
        <f>G154-G177</f>
        <v>-5.9114248493631356E-3</v>
      </c>
      <c r="J154" s="19">
        <f t="shared" si="11"/>
        <v>5.1838648679030638E-2</v>
      </c>
      <c r="K154" s="20"/>
      <c r="L154" s="20">
        <f t="shared" si="12"/>
        <v>76.899408284023863</v>
      </c>
      <c r="M154" s="38">
        <f t="shared" si="13"/>
        <v>3.4944943749667969E-5</v>
      </c>
      <c r="N154" s="21"/>
      <c r="Q154" s="75"/>
      <c r="R154" s="76"/>
      <c r="S154" s="41"/>
      <c r="T154" s="41"/>
      <c r="U154" s="41"/>
      <c r="V154" s="58"/>
      <c r="W154" s="58"/>
      <c r="X154" s="77"/>
      <c r="Y154" s="74"/>
      <c r="Z154" s="58"/>
    </row>
    <row r="155" spans="1:26">
      <c r="A155" s="112" t="s">
        <v>71</v>
      </c>
      <c r="C155" s="268">
        <f>B145+(B144*F155)</f>
        <v>9.3980312400632569E-3</v>
      </c>
      <c r="D155" s="340">
        <f t="shared" si="10"/>
        <v>-1.9518885898681029E-3</v>
      </c>
      <c r="E155" s="6">
        <v>7</v>
      </c>
      <c r="F155" s="46">
        <v>-18.699999999999989</v>
      </c>
      <c r="G155" s="61">
        <v>1.134991982993136E-2</v>
      </c>
      <c r="H155" s="19">
        <f>F155-F177</f>
        <v>-0.16923076923075797</v>
      </c>
      <c r="I155" s="63">
        <f>G155-G177</f>
        <v>1.8478307076777393E-3</v>
      </c>
      <c r="J155" s="19">
        <f t="shared" si="11"/>
        <v>-3.1270981206851968E-4</v>
      </c>
      <c r="K155" s="20"/>
      <c r="L155" s="20">
        <f t="shared" si="12"/>
        <v>2.8639053254434058E-2</v>
      </c>
      <c r="M155" s="38">
        <f t="shared" si="13"/>
        <v>3.414478324236815E-6</v>
      </c>
      <c r="N155" s="21"/>
      <c r="Q155" s="75"/>
      <c r="R155" s="76"/>
      <c r="S155" s="41"/>
      <c r="T155" s="41"/>
      <c r="U155" s="41"/>
      <c r="V155" s="58"/>
      <c r="W155" s="58"/>
      <c r="X155" s="77"/>
      <c r="Y155" s="74"/>
      <c r="Z155" s="58"/>
    </row>
    <row r="156" spans="1:26">
      <c r="A156" s="112" t="s">
        <v>72</v>
      </c>
      <c r="C156" s="268">
        <f>B145+(B144*F156)</f>
        <v>6.6662894354364843E-4</v>
      </c>
      <c r="D156" s="340">
        <f t="shared" si="10"/>
        <v>-3.8752283322917138E-4</v>
      </c>
      <c r="E156" s="6">
        <v>8</v>
      </c>
      <c r="F156" s="46">
        <v>-32.900000000000006</v>
      </c>
      <c r="G156" s="61">
        <v>1.0541517767728198E-3</v>
      </c>
      <c r="H156" s="19">
        <f>F156-F177</f>
        <v>-14.369230769230775</v>
      </c>
      <c r="I156" s="63">
        <f>G156-G177</f>
        <v>-8.4479373454808011E-3</v>
      </c>
      <c r="J156" s="19">
        <f t="shared" si="11"/>
        <v>0.12139036124121648</v>
      </c>
      <c r="K156" s="20"/>
      <c r="L156" s="20">
        <f t="shared" si="12"/>
        <v>206.47479289940844</v>
      </c>
      <c r="M156" s="38">
        <f t="shared" si="13"/>
        <v>7.1367645393169201E-5</v>
      </c>
      <c r="N156" s="21"/>
      <c r="Q156" s="75"/>
      <c r="R156" s="76"/>
      <c r="S156" s="41"/>
      <c r="T156" s="41"/>
      <c r="U156" s="41"/>
      <c r="V156" s="58"/>
      <c r="W156" s="58"/>
      <c r="X156" s="77"/>
      <c r="Y156" s="74"/>
      <c r="Z156" s="58"/>
    </row>
    <row r="157" spans="1:26">
      <c r="A157" s="112" t="s">
        <v>74</v>
      </c>
      <c r="C157" s="268">
        <f>B145+(B144*F157)</f>
        <v>6.3850825602783205E-3</v>
      </c>
      <c r="D157" s="340">
        <f t="shared" si="10"/>
        <v>3.4845477016503899E-3</v>
      </c>
      <c r="E157" s="6">
        <v>9</v>
      </c>
      <c r="F157" s="46">
        <v>-23.599999999999994</v>
      </c>
      <c r="G157" s="61">
        <v>2.9005348586279307E-3</v>
      </c>
      <c r="H157" s="19">
        <f>F157-F177</f>
        <v>-5.0692307692307637</v>
      </c>
      <c r="I157" s="63">
        <f>G157-G177</f>
        <v>-6.6015542636256898E-3</v>
      </c>
      <c r="J157" s="19">
        <f t="shared" si="11"/>
        <v>3.3464801997917883E-2</v>
      </c>
      <c r="K157" s="20"/>
      <c r="L157" s="20">
        <f t="shared" si="12"/>
        <v>25.69710059171592</v>
      </c>
      <c r="M157" s="38">
        <f t="shared" si="13"/>
        <v>4.3580518695594525E-5</v>
      </c>
      <c r="N157" s="21"/>
      <c r="Q157" s="75"/>
      <c r="R157" s="76"/>
      <c r="S157" s="41"/>
      <c r="T157" s="41"/>
      <c r="U157" s="41"/>
      <c r="V157" s="58"/>
      <c r="W157" s="58"/>
      <c r="X157" s="77"/>
      <c r="Y157" s="74"/>
      <c r="Z157" s="58"/>
    </row>
    <row r="158" spans="1:26">
      <c r="A158" s="112" t="s">
        <v>75</v>
      </c>
      <c r="C158" s="268">
        <f>B145+(B144*F158)</f>
        <v>6.2621050631442316E-3</v>
      </c>
      <c r="D158" s="340">
        <f t="shared" si="10"/>
        <v>6.3757955706214911E-5</v>
      </c>
      <c r="E158" s="6">
        <v>10</v>
      </c>
      <c r="F158" s="46">
        <v>-23.800000000000011</v>
      </c>
      <c r="G158" s="61">
        <v>6.1983471074380167E-3</v>
      </c>
      <c r="H158" s="19">
        <f>F158-F177</f>
        <v>-5.2692307692307807</v>
      </c>
      <c r="I158" s="63">
        <f>G158-G177</f>
        <v>-3.3037420148156037E-3</v>
      </c>
      <c r="J158" s="19">
        <f t="shared" si="11"/>
        <v>1.7408179078066872E-2</v>
      </c>
      <c r="K158" s="20"/>
      <c r="L158" s="20">
        <f t="shared" si="12"/>
        <v>27.764792899408405</v>
      </c>
      <c r="M158" s="38">
        <f t="shared" si="13"/>
        <v>1.0914711300457864E-5</v>
      </c>
      <c r="N158" s="21"/>
      <c r="Q158" s="75"/>
      <c r="R158" s="76"/>
      <c r="S158" s="41"/>
      <c r="T158" s="41"/>
      <c r="U158" s="41"/>
      <c r="V158" s="58"/>
      <c r="W158" s="58"/>
      <c r="X158" s="77"/>
      <c r="Y158" s="74"/>
      <c r="Z158" s="58"/>
    </row>
    <row r="159" spans="1:26">
      <c r="A159" s="112" t="s">
        <v>76</v>
      </c>
      <c r="C159" s="268">
        <f>B145+(B144*F159)</f>
        <v>8.2912337658565399E-3</v>
      </c>
      <c r="D159" s="340">
        <f t="shared" si="10"/>
        <v>-1.4216283744992085E-2</v>
      </c>
      <c r="E159" s="6">
        <v>11</v>
      </c>
      <c r="F159" s="46">
        <v>-20.5</v>
      </c>
      <c r="G159" s="61">
        <v>2.2507517510848625E-2</v>
      </c>
      <c r="H159" s="19">
        <f>F159-F177</f>
        <v>-1.9692307692307693</v>
      </c>
      <c r="I159" s="63">
        <f>G159-G177</f>
        <v>1.3005428388595005E-2</v>
      </c>
      <c r="J159" s="19">
        <f t="shared" si="11"/>
        <v>-2.5610689749848627E-2</v>
      </c>
      <c r="K159" s="20"/>
      <c r="L159" s="20">
        <f t="shared" si="12"/>
        <v>3.8778698224852075</v>
      </c>
      <c r="M159" s="38">
        <f t="shared" si="13"/>
        <v>1.6914116757087285E-4</v>
      </c>
      <c r="N159" s="21"/>
      <c r="Q159" s="75"/>
      <c r="R159" s="76"/>
      <c r="S159" s="41"/>
      <c r="T159" s="41"/>
      <c r="U159" s="41"/>
      <c r="V159" s="58"/>
      <c r="W159" s="58"/>
      <c r="X159" s="77"/>
      <c r="Y159" s="74"/>
      <c r="Z159" s="58"/>
    </row>
    <row r="160" spans="1:26" ht="14.25" customHeight="1">
      <c r="A160" s="112" t="s">
        <v>77</v>
      </c>
      <c r="C160" s="268">
        <f>B145+(B144*F160)</f>
        <v>9.705474982898454E-3</v>
      </c>
      <c r="D160" s="340">
        <f t="shared" si="10"/>
        <v>3.2256759234713488E-3</v>
      </c>
      <c r="E160" s="6">
        <v>12</v>
      </c>
      <c r="F160" s="46">
        <v>-18.199999999999989</v>
      </c>
      <c r="G160" s="61">
        <v>6.4797990594271052E-3</v>
      </c>
      <c r="H160" s="19">
        <f>F160-F177</f>
        <v>0.33076923076924203</v>
      </c>
      <c r="I160" s="63">
        <f>G160-G177</f>
        <v>-3.0222900628265152E-3</v>
      </c>
      <c r="J160" s="19">
        <f t="shared" si="11"/>
        <v>-9.9968055924265064E-4</v>
      </c>
      <c r="K160" s="20"/>
      <c r="L160" s="20">
        <f t="shared" si="12"/>
        <v>0.10940828402367608</v>
      </c>
      <c r="M160" s="38">
        <f t="shared" si="13"/>
        <v>9.1342372238599008E-6</v>
      </c>
      <c r="N160" s="21"/>
      <c r="Y160" s="74"/>
      <c r="Z160" s="58"/>
    </row>
    <row r="161" spans="1:26">
      <c r="A161" s="112" t="s">
        <v>78</v>
      </c>
      <c r="C161" s="268">
        <f>B145+(B144*F161)</f>
        <v>1.124269369707444E-2</v>
      </c>
      <c r="D161" s="340">
        <f t="shared" si="10"/>
        <v>7.4832952008338383E-3</v>
      </c>
      <c r="E161" s="6">
        <v>13</v>
      </c>
      <c r="F161" s="46">
        <v>-15.699999999999989</v>
      </c>
      <c r="G161" s="61">
        <v>3.7593984962406013E-3</v>
      </c>
      <c r="H161" s="19">
        <f>F161-F177</f>
        <v>2.830769230769242</v>
      </c>
      <c r="I161" s="63">
        <f>G161-G177</f>
        <v>-5.7426906260130191E-3</v>
      </c>
      <c r="J161" s="19">
        <f t="shared" si="11"/>
        <v>-1.6256231925944612E-2</v>
      </c>
      <c r="K161" s="20"/>
      <c r="L161" s="20">
        <f t="shared" si="12"/>
        <v>8.013254437869886</v>
      </c>
      <c r="M161" s="38">
        <f t="shared" si="13"/>
        <v>3.2978495626097802E-5</v>
      </c>
      <c r="N161" s="21"/>
      <c r="Y161" s="74"/>
      <c r="Z161" s="58"/>
    </row>
    <row r="162" spans="1:26">
      <c r="A162" s="112" t="s">
        <v>62</v>
      </c>
      <c r="C162" s="268">
        <f>B145+(B144*F162)</f>
        <v>4.0485101147308168E-3</v>
      </c>
      <c r="D162" s="340">
        <f t="shared" si="10"/>
        <v>-1.0348400230657823E-3</v>
      </c>
      <c r="E162" s="6">
        <v>14</v>
      </c>
      <c r="F162" s="47">
        <v>-27.400000000000006</v>
      </c>
      <c r="G162" s="62">
        <v>5.0833501377965992E-3</v>
      </c>
      <c r="H162" s="19">
        <f>F162-F177</f>
        <v>-8.869230769230775</v>
      </c>
      <c r="I162" s="63">
        <f>G162-G177</f>
        <v>-4.4187389844570213E-3</v>
      </c>
      <c r="J162" s="19">
        <f t="shared" si="11"/>
        <v>3.919081576214576E-2</v>
      </c>
      <c r="K162" s="20"/>
      <c r="L162" s="20">
        <f t="shared" si="12"/>
        <v>78.663254437869924</v>
      </c>
      <c r="M162" s="38">
        <f t="shared" si="13"/>
        <v>1.9525254212760268E-5</v>
      </c>
      <c r="N162" s="21"/>
      <c r="Y162" s="74"/>
      <c r="Z162" s="58"/>
    </row>
    <row r="163" spans="1:26">
      <c r="A163" s="112" t="s">
        <v>63</v>
      </c>
      <c r="C163" s="268">
        <f>B145+(B144*F163)</f>
        <v>1.7821989793747651E-2</v>
      </c>
      <c r="D163" s="340">
        <f t="shared" si="10"/>
        <v>-3.4214209301274973E-2</v>
      </c>
      <c r="E163" s="6">
        <v>15</v>
      </c>
      <c r="F163" s="47">
        <v>-5</v>
      </c>
      <c r="G163" s="62">
        <v>5.2036199095022627E-2</v>
      </c>
      <c r="H163" s="19">
        <f>F163-F177</f>
        <v>13.530769230769231</v>
      </c>
      <c r="I163" s="63">
        <f>G163-G177</f>
        <v>4.2534109972769005E-2</v>
      </c>
      <c r="J163" s="19">
        <f t="shared" si="11"/>
        <v>0.57551922647769749</v>
      </c>
      <c r="K163" s="20"/>
      <c r="L163" s="20">
        <f t="shared" si="12"/>
        <v>183.08171597633137</v>
      </c>
      <c r="M163" s="38">
        <f t="shared" si="13"/>
        <v>1.8091505111756077E-3</v>
      </c>
      <c r="N163" s="21"/>
      <c r="Y163" s="74"/>
      <c r="Z163" s="58"/>
    </row>
    <row r="164" spans="1:26">
      <c r="A164" s="112" t="s">
        <v>64</v>
      </c>
      <c r="C164" s="268">
        <f>B145+(B144*F164)</f>
        <v>1.044333996570292E-2</v>
      </c>
      <c r="D164" s="340">
        <f t="shared" si="10"/>
        <v>-1.5738274162713298E-3</v>
      </c>
      <c r="E164" s="6">
        <v>16</v>
      </c>
      <c r="F164" s="47">
        <v>-17</v>
      </c>
      <c r="G164" s="62">
        <v>1.201716738197425E-2</v>
      </c>
      <c r="H164" s="19">
        <f>F164-F177</f>
        <v>1.5307692307692307</v>
      </c>
      <c r="I164" s="63">
        <f>G164-G177</f>
        <v>2.5150782597206291E-3</v>
      </c>
      <c r="J164" s="19">
        <f t="shared" si="11"/>
        <v>3.8500044129569626E-3</v>
      </c>
      <c r="K164" s="20"/>
      <c r="L164" s="20">
        <f t="shared" si="12"/>
        <v>2.3432544378698221</v>
      </c>
      <c r="M164" s="38">
        <f t="shared" si="13"/>
        <v>6.3256186525193485E-6</v>
      </c>
      <c r="N164" s="21"/>
      <c r="Q164" s="41"/>
      <c r="R164" s="80"/>
      <c r="S164" s="41"/>
      <c r="T164" s="41"/>
      <c r="U164" s="41"/>
      <c r="V164" s="58"/>
      <c r="W164" s="58"/>
      <c r="X164" s="77"/>
      <c r="Y164" s="74"/>
      <c r="Z164" s="58"/>
    </row>
    <row r="165" spans="1:26">
      <c r="A165" s="129" t="s">
        <v>65</v>
      </c>
      <c r="C165" s="268">
        <f>B145+(B144*F165)</f>
        <v>2.1511314707770016E-2</v>
      </c>
      <c r="D165" s="340">
        <f t="shared" si="10"/>
        <v>9.165635695424338E-3</v>
      </c>
      <c r="E165" s="6">
        <v>17</v>
      </c>
      <c r="F165" s="47">
        <v>1</v>
      </c>
      <c r="G165" s="62">
        <v>1.2345679012345678E-2</v>
      </c>
      <c r="H165" s="19">
        <f>F165-F177</f>
        <v>19.530769230769231</v>
      </c>
      <c r="I165" s="63">
        <f>G165-G177</f>
        <v>2.8435898900920579E-3</v>
      </c>
      <c r="J165" s="19">
        <f t="shared" si="11"/>
        <v>5.5537497930336424E-2</v>
      </c>
      <c r="K165" s="20"/>
      <c r="L165" s="20">
        <f t="shared" si="12"/>
        <v>381.45094674556213</v>
      </c>
      <c r="M165" s="38">
        <f t="shared" si="13"/>
        <v>8.0860034630337624E-6</v>
      </c>
      <c r="N165" s="21"/>
      <c r="P165" s="271" t="s">
        <v>40</v>
      </c>
      <c r="Q165" s="272"/>
      <c r="R165" s="272"/>
      <c r="S165" s="272"/>
      <c r="T165" s="272"/>
      <c r="U165" s="272"/>
      <c r="V165" s="272"/>
      <c r="W165" s="272"/>
      <c r="X165" s="273"/>
      <c r="Y165" s="74"/>
      <c r="Z165" s="58"/>
    </row>
    <row r="166" spans="1:26">
      <c r="A166" s="112" t="s">
        <v>69</v>
      </c>
      <c r="C166" s="268">
        <f>B145+(B144*F166)</f>
        <v>4.9093525946693715E-3</v>
      </c>
      <c r="D166" s="340">
        <f t="shared" si="10"/>
        <v>3.5494251241344667E-3</v>
      </c>
      <c r="E166" s="6">
        <v>18</v>
      </c>
      <c r="F166" s="47">
        <v>-26</v>
      </c>
      <c r="G166" s="62">
        <v>1.3599274705349048E-3</v>
      </c>
      <c r="H166" s="19">
        <f>F166-F177</f>
        <v>-7.4692307692307693</v>
      </c>
      <c r="I166" s="63">
        <f>G166-G177</f>
        <v>-8.1421616517187156E-3</v>
      </c>
      <c r="J166" s="19">
        <f t="shared" si="11"/>
        <v>6.0815684337068257E-2</v>
      </c>
      <c r="K166" s="20"/>
      <c r="L166" s="20">
        <f t="shared" si="12"/>
        <v>55.789408284023672</v>
      </c>
      <c r="M166" s="38">
        <f t="shared" si="13"/>
        <v>6.6294796362718837E-5</v>
      </c>
      <c r="N166" s="21"/>
      <c r="P166" s="274"/>
      <c r="Q166" s="275"/>
      <c r="R166" s="275"/>
      <c r="S166" s="275"/>
      <c r="T166" s="275"/>
      <c r="U166" s="275"/>
      <c r="V166" s="275"/>
      <c r="W166" s="275"/>
      <c r="X166" s="276"/>
      <c r="Y166" s="74"/>
      <c r="Z166" s="58"/>
    </row>
    <row r="167" spans="1:26">
      <c r="A167" s="112" t="s">
        <v>70</v>
      </c>
      <c r="C167" s="268">
        <f>B145+(B144*F167)</f>
        <v>5.2167963375045687E-3</v>
      </c>
      <c r="D167" s="340">
        <f t="shared" si="10"/>
        <v>-2.0815845453883101E-4</v>
      </c>
      <c r="E167" s="6">
        <v>19</v>
      </c>
      <c r="F167" s="47">
        <v>-25.5</v>
      </c>
      <c r="G167" s="62">
        <v>5.4249547920433997E-3</v>
      </c>
      <c r="H167" s="19">
        <f>F167-F177</f>
        <v>-6.9692307692307693</v>
      </c>
      <c r="I167" s="63">
        <f>G167-G177</f>
        <v>-4.0771343302102208E-3</v>
      </c>
      <c r="J167" s="19">
        <f t="shared" si="11"/>
        <v>2.8414490024388155E-2</v>
      </c>
      <c r="K167" s="20"/>
      <c r="L167" s="20">
        <f t="shared" si="12"/>
        <v>48.570177514792903</v>
      </c>
      <c r="M167" s="38">
        <f t="shared" si="13"/>
        <v>1.6623024346578745E-5</v>
      </c>
      <c r="N167" s="21"/>
      <c r="P167" s="274"/>
      <c r="Q167" s="275"/>
      <c r="R167" s="275"/>
      <c r="S167" s="275"/>
      <c r="T167" s="275"/>
      <c r="U167" s="275"/>
      <c r="V167" s="275"/>
      <c r="W167" s="275"/>
      <c r="X167" s="276"/>
      <c r="Y167" s="74"/>
      <c r="Z167" s="58"/>
    </row>
    <row r="168" spans="1:26">
      <c r="A168" s="112" t="s">
        <v>71</v>
      </c>
      <c r="C168" s="268">
        <f>B145+(B144*F168)</f>
        <v>1.739156855377838E-2</v>
      </c>
      <c r="D168" s="340">
        <f t="shared" si="10"/>
        <v>4.2899954676400252E-3</v>
      </c>
      <c r="E168" s="6">
        <v>20</v>
      </c>
      <c r="F168" s="47">
        <v>-5.6999999999999886</v>
      </c>
      <c r="G168" s="62">
        <v>1.3101573086138355E-2</v>
      </c>
      <c r="H168" s="19">
        <f>F168-F177</f>
        <v>12.830769230769242</v>
      </c>
      <c r="I168" s="63">
        <f>G168-G177</f>
        <v>3.5994839638847347E-3</v>
      </c>
      <c r="J168" s="19">
        <f t="shared" si="11"/>
        <v>4.6184148090459558E-2</v>
      </c>
      <c r="K168" s="20"/>
      <c r="L168" s="20">
        <f t="shared" si="12"/>
        <v>164.62863905325472</v>
      </c>
      <c r="M168" s="38">
        <f t="shared" si="13"/>
        <v>1.2956284806263362E-5</v>
      </c>
      <c r="N168" s="21"/>
      <c r="P168" s="277"/>
      <c r="Q168" s="278"/>
      <c r="R168" s="278"/>
      <c r="S168" s="278"/>
      <c r="T168" s="278"/>
      <c r="U168" s="278"/>
      <c r="V168" s="278"/>
      <c r="W168" s="278"/>
      <c r="X168" s="279"/>
      <c r="Y168" s="74"/>
      <c r="Z168" s="58"/>
    </row>
    <row r="169" spans="1:26">
      <c r="A169" s="112" t="s">
        <v>72</v>
      </c>
      <c r="C169" s="268">
        <f>B145+(B144*F169)</f>
        <v>3.9870213661637802E-3</v>
      </c>
      <c r="D169" s="340">
        <f t="shared" si="10"/>
        <v>3.1376526594550412E-3</v>
      </c>
      <c r="E169" s="6">
        <v>21</v>
      </c>
      <c r="F169" s="47">
        <v>-27.5</v>
      </c>
      <c r="G169" s="62">
        <v>8.4936870670873871E-4</v>
      </c>
      <c r="H169" s="19">
        <f>F169-F177</f>
        <v>-8.9692307692307693</v>
      </c>
      <c r="I169" s="63">
        <f>G169-G177</f>
        <v>-8.6527204155448824E-3</v>
      </c>
      <c r="J169" s="19">
        <f t="shared" si="11"/>
        <v>7.7608246188656402E-2</v>
      </c>
      <c r="K169" s="20"/>
      <c r="L169" s="20">
        <f t="shared" si="12"/>
        <v>80.44710059171598</v>
      </c>
      <c r="M169" s="38">
        <f t="shared" si="13"/>
        <v>7.4869570589587207E-5</v>
      </c>
      <c r="N169" s="21"/>
      <c r="Q169" s="41"/>
      <c r="R169" s="41"/>
      <c r="S169" s="41"/>
      <c r="T169" s="41"/>
      <c r="U169" s="41"/>
      <c r="V169" s="58"/>
      <c r="W169" s="58"/>
      <c r="X169" s="77"/>
      <c r="Y169" s="74"/>
      <c r="Z169" s="58"/>
    </row>
    <row r="170" spans="1:26">
      <c r="A170" s="112" t="s">
        <v>74</v>
      </c>
      <c r="C170" s="268">
        <f>B145+(B144*F170)</f>
        <v>7.8608125258872712E-3</v>
      </c>
      <c r="D170" s="340">
        <f t="shared" si="10"/>
        <v>4.6122134842239886E-3</v>
      </c>
      <c r="E170" s="6">
        <v>22</v>
      </c>
      <c r="F170" s="47">
        <v>-21.199999999999989</v>
      </c>
      <c r="G170" s="62">
        <v>3.2485990416632827E-3</v>
      </c>
      <c r="H170" s="19">
        <f>F170-F177</f>
        <v>-2.669230769230758</v>
      </c>
      <c r="I170" s="63">
        <f>G170-G177</f>
        <v>-6.2534900805903378E-3</v>
      </c>
      <c r="J170" s="19">
        <f t="shared" si="11"/>
        <v>1.6692008138191061E-2</v>
      </c>
      <c r="K170" s="20"/>
      <c r="L170" s="20">
        <f t="shared" si="12"/>
        <v>7.1247928994082237</v>
      </c>
      <c r="M170" s="38">
        <f t="shared" si="13"/>
        <v>3.9106138188041747E-5</v>
      </c>
      <c r="N170" s="21"/>
      <c r="Q170" s="41"/>
      <c r="R170" s="41"/>
      <c r="S170" s="41"/>
      <c r="T170" s="41"/>
      <c r="U170" s="41"/>
      <c r="V170" s="58"/>
      <c r="W170" s="58"/>
      <c r="X170" s="77"/>
      <c r="Y170" s="74"/>
      <c r="Z170" s="58"/>
    </row>
    <row r="171" spans="1:26">
      <c r="A171" s="112" t="s">
        <v>75</v>
      </c>
      <c r="C171" s="268">
        <f>B145+(B144*F171)</f>
        <v>1.4870529862529751E-2</v>
      </c>
      <c r="D171" s="340">
        <f t="shared" si="10"/>
        <v>8.6378428819203316E-3</v>
      </c>
      <c r="E171" s="6">
        <v>23</v>
      </c>
      <c r="F171" s="47">
        <v>-9.8000000000000114</v>
      </c>
      <c r="G171" s="62">
        <v>6.2326869806094186E-3</v>
      </c>
      <c r="H171" s="19">
        <f>F171-F177</f>
        <v>8.7307692307692193</v>
      </c>
      <c r="I171" s="63">
        <f>G171-G177</f>
        <v>-3.2694021416442018E-3</v>
      </c>
      <c r="J171" s="19">
        <f t="shared" si="11"/>
        <v>-2.8544395621278185E-2</v>
      </c>
      <c r="K171" s="20"/>
      <c r="L171" s="20">
        <f t="shared" si="12"/>
        <v>76.226331360946546</v>
      </c>
      <c r="M171" s="38">
        <f t="shared" si="13"/>
        <v>1.0688990363787693E-5</v>
      </c>
      <c r="N171" s="21"/>
      <c r="Q171" s="41"/>
      <c r="R171" s="41"/>
      <c r="S171" s="41"/>
      <c r="T171" s="41"/>
      <c r="U171" s="41"/>
      <c r="V171" s="58"/>
      <c r="W171" s="58"/>
      <c r="X171" s="77"/>
      <c r="Y171" s="74"/>
      <c r="Z171" s="58"/>
    </row>
    <row r="172" spans="1:26">
      <c r="A172" s="112" t="s">
        <v>76</v>
      </c>
      <c r="C172" s="268">
        <f>B145+(B144*F172)</f>
        <v>1.6899658565242059E-2</v>
      </c>
      <c r="D172" s="340">
        <f t="shared" si="10"/>
        <v>-1.0145161106305721E-2</v>
      </c>
      <c r="E172" s="6">
        <v>24</v>
      </c>
      <c r="F172" s="47">
        <v>-6.5</v>
      </c>
      <c r="G172" s="62">
        <v>2.704481967154778E-2</v>
      </c>
      <c r="H172" s="19">
        <f>F172-F177</f>
        <v>12.030769230769231</v>
      </c>
      <c r="I172" s="63">
        <f>G172-G177</f>
        <v>1.7542730549294158E-2</v>
      </c>
      <c r="J172" s="19">
        <f t="shared" si="11"/>
        <v>0.21105254291612358</v>
      </c>
      <c r="K172" s="20"/>
      <c r="L172" s="20">
        <f t="shared" si="12"/>
        <v>144.73940828402365</v>
      </c>
      <c r="M172" s="38">
        <f t="shared" si="13"/>
        <v>3.0774739512513853E-4</v>
      </c>
      <c r="N172" s="21"/>
      <c r="Q172" s="26"/>
      <c r="R172" s="80"/>
      <c r="S172" s="41"/>
      <c r="T172" s="41"/>
      <c r="U172" s="41"/>
      <c r="V172" s="58"/>
      <c r="W172" s="58"/>
      <c r="X172" s="77"/>
      <c r="Y172" s="74"/>
      <c r="Z172" s="58"/>
    </row>
    <row r="173" spans="1:26">
      <c r="A173" s="112" t="s">
        <v>77</v>
      </c>
      <c r="C173" s="268">
        <f>B145+(B144*F173)</f>
        <v>1.7760501045180614E-2</v>
      </c>
      <c r="D173" s="340">
        <f t="shared" si="10"/>
        <v>1.0019736577958748E-2</v>
      </c>
      <c r="E173" s="6">
        <v>25</v>
      </c>
      <c r="F173" s="47">
        <v>-5.0999999999999943</v>
      </c>
      <c r="G173" s="62">
        <v>7.740764467221866E-3</v>
      </c>
      <c r="H173" s="19">
        <f>F173-F177</f>
        <v>13.430769230769236</v>
      </c>
      <c r="I173" s="63">
        <f>G173-G177</f>
        <v>-1.7613246550317544E-3</v>
      </c>
      <c r="J173" s="19">
        <f t="shared" si="11"/>
        <v>-2.3655944982195726E-2</v>
      </c>
      <c r="K173" s="20"/>
      <c r="L173" s="20">
        <f t="shared" si="12"/>
        <v>180.38556213017768</v>
      </c>
      <c r="M173" s="38">
        <f t="shared" si="13"/>
        <v>3.1022645404227288E-6</v>
      </c>
      <c r="N173" s="21"/>
      <c r="Q173" s="41"/>
      <c r="R173" s="80"/>
      <c r="S173" s="41"/>
      <c r="T173" s="41"/>
      <c r="U173" s="41"/>
      <c r="V173" s="58"/>
      <c r="W173" s="58"/>
      <c r="X173" s="77"/>
      <c r="Y173" s="74"/>
      <c r="Z173" s="58"/>
    </row>
    <row r="174" spans="1:26">
      <c r="A174" s="112" t="s">
        <v>78</v>
      </c>
      <c r="C174" s="268">
        <f>B145+(B144*F174)</f>
        <v>1.2656934914116336E-2</v>
      </c>
      <c r="D174" s="340">
        <f t="shared" si="10"/>
        <v>8.854653545295044E-3</v>
      </c>
      <c r="E174" s="6">
        <v>26</v>
      </c>
      <c r="F174" s="47">
        <v>-13.400000000000006</v>
      </c>
      <c r="G174" s="62">
        <v>3.8022813688212928E-3</v>
      </c>
      <c r="H174" s="19">
        <f>F174-F177</f>
        <v>5.130769230769225</v>
      </c>
      <c r="I174" s="63">
        <f>G174-G177</f>
        <v>-5.6998077534323281E-3</v>
      </c>
      <c r="J174" s="19">
        <f t="shared" si="11"/>
        <v>-2.924439824261045E-2</v>
      </c>
      <c r="K174" s="20"/>
      <c r="L174" s="20">
        <f t="shared" si="12"/>
        <v>26.324792899408223</v>
      </c>
      <c r="M174" s="38">
        <f t="shared" si="13"/>
        <v>3.2487808426087286E-5</v>
      </c>
      <c r="N174" s="21"/>
      <c r="Q174" s="41"/>
      <c r="R174" s="81"/>
      <c r="S174" s="41"/>
      <c r="T174" s="82"/>
      <c r="U174" s="41"/>
      <c r="V174" s="58"/>
      <c r="W174" s="58"/>
      <c r="X174" s="77"/>
      <c r="Y174" s="74"/>
      <c r="Z174" s="58"/>
    </row>
    <row r="175" spans="1:26" ht="12.75">
      <c r="C175" s="340"/>
      <c r="D175" s="340"/>
      <c r="E175" s="6"/>
      <c r="F175" s="91"/>
      <c r="G175" s="92"/>
      <c r="H175" s="65"/>
      <c r="J175" s="60"/>
      <c r="K175" s="6"/>
      <c r="L175" s="6"/>
      <c r="M175" s="18"/>
      <c r="N175" s="6"/>
      <c r="Q175" s="41"/>
      <c r="R175" s="83"/>
      <c r="S175" s="41"/>
      <c r="T175" s="41"/>
      <c r="U175" s="41"/>
      <c r="V175" s="58"/>
      <c r="W175" s="58"/>
      <c r="X175" s="77"/>
      <c r="Y175" s="74"/>
      <c r="Z175" s="58"/>
    </row>
    <row r="176" spans="1:26" ht="13.5" thickBot="1">
      <c r="B176" s="2" t="s">
        <v>16</v>
      </c>
      <c r="C176" s="340"/>
      <c r="D176" s="340"/>
      <c r="M176" s="18"/>
      <c r="N176" s="6"/>
      <c r="Q176" s="41"/>
      <c r="R176" s="41"/>
      <c r="S176" s="41"/>
      <c r="T176" s="41"/>
      <c r="U176" s="41"/>
      <c r="V176" s="58"/>
      <c r="W176" s="58"/>
      <c r="X176" s="77"/>
      <c r="Y176" s="74"/>
      <c r="Z176" s="58"/>
    </row>
    <row r="177" spans="1:26" ht="13.5" thickBot="1">
      <c r="B177" s="2" t="s">
        <v>0</v>
      </c>
      <c r="C177" s="340">
        <f>AVERAGE(C149:C174)</f>
        <v>9.5020891222536256E-3</v>
      </c>
      <c r="D177" s="340">
        <f>AVERAGE(D149:D174)</f>
        <v>4.2033684225591861E-18</v>
      </c>
      <c r="F177" s="18">
        <f>AVERAGE(F149:F174)</f>
        <v>-18.530769230769231</v>
      </c>
      <c r="G177" s="64">
        <f>AVERAGE(G149:G174)</f>
        <v>9.5020891222536204E-3</v>
      </c>
      <c r="H177" s="19">
        <f>AVERAGE(H149:H174)</f>
        <v>5.465713352000771E-16</v>
      </c>
      <c r="I177" s="19">
        <f>AVERAGE(I149:I174)</f>
        <v>-2.6688053476566264E-19</v>
      </c>
      <c r="J177" s="59">
        <f>SUM(J149:J174)</f>
        <v>1.4482293593075255</v>
      </c>
      <c r="K177" s="27" t="s">
        <v>16</v>
      </c>
      <c r="L177" s="28">
        <f>SUM(L149:L174)</f>
        <v>2355.2753846153851</v>
      </c>
      <c r="M177" s="28">
        <f>SUM(M149:M174)</f>
        <v>2.9676961929352604E-3</v>
      </c>
      <c r="N177" s="28">
        <f>M177*L177</f>
        <v>6.9897417922372096</v>
      </c>
      <c r="Q177" s="41"/>
      <c r="R177" s="41"/>
      <c r="S177" s="41"/>
      <c r="T177" s="82"/>
      <c r="U177" s="84"/>
      <c r="V177" s="85"/>
      <c r="W177" s="86"/>
      <c r="X177" s="77"/>
      <c r="Y177" s="74"/>
      <c r="Z177" s="87"/>
    </row>
    <row r="178" spans="1:26" ht="15" thickBot="1">
      <c r="B178" s="15" t="s">
        <v>17</v>
      </c>
      <c r="C178" s="29">
        <f>STDEVA(C149:C174)</f>
        <v>5.9682429890836365E-3</v>
      </c>
      <c r="D178" s="29">
        <f>STDEVA(D149:D174)</f>
        <v>9.1152577221197857E-3</v>
      </c>
      <c r="E178" s="15"/>
      <c r="F178" s="30">
        <f>STDEVA(F149:F174)</f>
        <v>9.7062359019660889</v>
      </c>
      <c r="G178" s="29">
        <f>STDEVA(G149:G174)</f>
        <v>1.0895313107818903E-2</v>
      </c>
      <c r="H178" s="30">
        <f>STDEVA(H149:H174)</f>
        <v>9.7062359019660871</v>
      </c>
      <c r="I178" s="30">
        <f>STDEVA(I149:I174)</f>
        <v>1.0895313107818903E-2</v>
      </c>
      <c r="J178" s="31" t="s">
        <v>16</v>
      </c>
      <c r="K178" s="32"/>
      <c r="L178" s="33"/>
      <c r="M178" s="33"/>
      <c r="N178" s="34"/>
      <c r="Q178" s="41"/>
      <c r="R178" s="41"/>
      <c r="S178" s="41"/>
      <c r="T178" s="41"/>
      <c r="U178" s="84"/>
      <c r="V178" s="85"/>
      <c r="W178" s="85"/>
      <c r="X178" s="88"/>
      <c r="Y178" s="89"/>
      <c r="Z178" s="41"/>
    </row>
    <row r="179" spans="1:26" ht="15.75">
      <c r="B179" s="15" t="s">
        <v>18</v>
      </c>
      <c r="C179" s="35">
        <f>C178^2</f>
        <v>3.5619924376745977E-5</v>
      </c>
      <c r="D179" s="35">
        <f>D178^2</f>
        <v>8.3087923340664384E-5</v>
      </c>
      <c r="E179" s="15"/>
      <c r="F179" s="30">
        <f>F178^2</f>
        <v>94.21101538461545</v>
      </c>
      <c r="G179" s="35">
        <f>G178^2</f>
        <v>1.1870784771741042E-4</v>
      </c>
      <c r="H179" s="30">
        <f>H178^2</f>
        <v>94.211015384615422</v>
      </c>
      <c r="I179" s="30">
        <f>I178^2</f>
        <v>1.1870784771741042E-4</v>
      </c>
      <c r="J179" s="33"/>
      <c r="K179" s="27"/>
      <c r="L179" s="33"/>
      <c r="M179" s="33"/>
      <c r="N179" s="34"/>
      <c r="Q179" s="41"/>
      <c r="R179" s="41"/>
      <c r="S179" s="41"/>
      <c r="T179" s="41"/>
      <c r="U179" s="84"/>
      <c r="V179" s="85"/>
      <c r="W179" s="85"/>
      <c r="X179" s="41"/>
      <c r="Y179" s="41"/>
      <c r="Z179" s="41"/>
    </row>
    <row r="180" spans="1:26">
      <c r="B180" s="2" t="s">
        <v>19</v>
      </c>
      <c r="C180" s="30">
        <f>COUNT(C149:C174)</f>
        <v>26</v>
      </c>
      <c r="D180" s="30">
        <f>COUNT(D149:D174)</f>
        <v>26</v>
      </c>
      <c r="F180" s="30">
        <f>COUNT(F149:F174)</f>
        <v>26</v>
      </c>
      <c r="G180" s="30">
        <f>COUNT(G149:G174)</f>
        <v>26</v>
      </c>
      <c r="I180" s="27"/>
      <c r="J180" s="33"/>
      <c r="K180" s="27"/>
      <c r="L180" s="33"/>
      <c r="M180" s="33"/>
      <c r="N180" s="34"/>
      <c r="Q180" s="41"/>
      <c r="R180" s="41"/>
      <c r="S180" s="41"/>
      <c r="T180" s="41"/>
      <c r="U180" s="41"/>
      <c r="V180" s="41"/>
      <c r="W180" s="41"/>
      <c r="X180" s="41"/>
      <c r="Y180" s="41"/>
      <c r="Z180" s="41"/>
    </row>
    <row r="181" spans="1:26">
      <c r="B181" s="36" t="s">
        <v>20</v>
      </c>
      <c r="C181" s="37">
        <f>C177/C178</f>
        <v>1.5921082870844332</v>
      </c>
      <c r="D181" s="37">
        <f>D177/D178</f>
        <v>4.6113544462478212E-16</v>
      </c>
      <c r="E181" s="36"/>
      <c r="F181" s="37">
        <f>F177/F178</f>
        <v>-1.9091612256215253</v>
      </c>
      <c r="G181" s="37">
        <f>G177/G178</f>
        <v>0.87212630130239666</v>
      </c>
      <c r="I181" s="27"/>
      <c r="J181" s="36"/>
      <c r="Q181" s="41"/>
      <c r="R181" s="41"/>
      <c r="S181" s="41"/>
      <c r="T181" s="41"/>
      <c r="U181" s="41"/>
      <c r="V181" s="41"/>
      <c r="W181" s="41"/>
      <c r="X181" s="41"/>
      <c r="Y181" s="41"/>
      <c r="Z181" s="41"/>
    </row>
    <row r="182" spans="1:26">
      <c r="B182" s="36"/>
      <c r="C182" s="37"/>
      <c r="D182" s="36"/>
      <c r="E182" s="36"/>
      <c r="F182" s="37"/>
      <c r="G182" s="37"/>
      <c r="I182" s="27"/>
      <c r="J182" s="36"/>
      <c r="Q182" s="41"/>
      <c r="R182" s="41"/>
      <c r="S182" s="41"/>
      <c r="T182" s="41"/>
      <c r="U182" s="41"/>
      <c r="V182" s="41"/>
      <c r="W182" s="41"/>
      <c r="X182" s="41"/>
      <c r="Y182" s="41"/>
      <c r="Z182" s="41"/>
    </row>
    <row r="183" spans="1:26">
      <c r="B183" s="36"/>
      <c r="C183" s="37"/>
      <c r="D183" s="36"/>
      <c r="E183" s="36"/>
      <c r="F183" s="37"/>
      <c r="G183" s="48" t="s">
        <v>21</v>
      </c>
      <c r="I183" s="49" t="s">
        <v>22</v>
      </c>
      <c r="J183" s="36"/>
    </row>
    <row r="184" spans="1:26" ht="15.75">
      <c r="A184" s="2" t="s">
        <v>23</v>
      </c>
      <c r="C184" s="37"/>
      <c r="D184" s="36"/>
      <c r="E184" s="36"/>
      <c r="G184" s="24">
        <f>B146*(SQRT((C180-2)/(1-B147)))</f>
        <v>3.2076218643214083</v>
      </c>
      <c r="H184" s="40"/>
      <c r="I184" s="42">
        <f>TDIST(ABS(G184),8,2)</f>
        <v>1.2468751876428484E-2</v>
      </c>
      <c r="J184" s="50" t="s">
        <v>57</v>
      </c>
      <c r="N184" s="2"/>
      <c r="O184" s="41"/>
      <c r="P184" s="43"/>
    </row>
    <row r="185" spans="1:26" ht="15.75">
      <c r="A185" s="2" t="s">
        <v>24</v>
      </c>
      <c r="C185" s="37"/>
      <c r="D185" s="36"/>
      <c r="E185" s="36"/>
      <c r="G185" s="24">
        <f>B144/((G178/F178)*SQRT((1-B147)/(G180-2)))</f>
        <v>3.2076218643214083</v>
      </c>
      <c r="H185" s="36"/>
      <c r="I185" s="42">
        <f>TDIST(ABS(G185),8,2)</f>
        <v>1.2468751876428484E-2</v>
      </c>
      <c r="J185" s="36"/>
      <c r="K185" s="36"/>
      <c r="N185" s="2"/>
      <c r="O185" s="36"/>
      <c r="P185" s="43"/>
    </row>
    <row r="186" spans="1:26" ht="12.75">
      <c r="C186" s="37"/>
      <c r="D186" s="36"/>
      <c r="E186" s="36"/>
      <c r="J186" s="36"/>
      <c r="K186" s="36"/>
      <c r="N186" s="2"/>
      <c r="O186" s="36"/>
      <c r="P186" s="43"/>
    </row>
    <row r="187" spans="1:26" ht="15.75">
      <c r="A187" s="2" t="s">
        <v>25</v>
      </c>
      <c r="B187" s="37"/>
      <c r="D187" s="38"/>
      <c r="E187" s="56">
        <f>Q187*((G178/F178)*SQRT((1-B146^2)/(G180-2)))</f>
        <v>3.9564058698879031E-4</v>
      </c>
      <c r="F187" s="51" t="s">
        <v>26</v>
      </c>
      <c r="G187" s="98">
        <f>B144-E187</f>
        <v>2.1924689868160394E-4</v>
      </c>
      <c r="H187" s="51" t="s">
        <v>27</v>
      </c>
      <c r="I187" s="98">
        <f>B144+E187</f>
        <v>1.0105280726591846E-3</v>
      </c>
      <c r="K187" s="51" t="s">
        <v>28</v>
      </c>
      <c r="L187" s="52">
        <v>0.95</v>
      </c>
      <c r="M187" s="51" t="s">
        <v>29</v>
      </c>
      <c r="N187" s="53">
        <f>C180-2</f>
        <v>24</v>
      </c>
      <c r="P187" s="54" t="s">
        <v>30</v>
      </c>
      <c r="Q187" s="55">
        <f>TINV((1-L187),N187)</f>
        <v>2.0638985616280254</v>
      </c>
    </row>
    <row r="192" spans="1:26">
      <c r="A192" s="16" t="s">
        <v>13</v>
      </c>
      <c r="B192" s="17">
        <f>J226/L226</f>
        <v>1.1396049833679942E-4</v>
      </c>
      <c r="D192" s="94"/>
      <c r="E192" s="95"/>
      <c r="F192" s="93" t="str">
        <f>F197</f>
        <v>X = Dif PAS [desp vs antes]</v>
      </c>
      <c r="G192" s="95"/>
      <c r="H192" s="15"/>
      <c r="I192" s="96" t="str">
        <f>G197</f>
        <v>Y = ACV /año</v>
      </c>
      <c r="L192" s="265"/>
      <c r="M192" s="265"/>
      <c r="N192" s="265"/>
    </row>
    <row r="193" spans="1:26">
      <c r="A193" s="22" t="s">
        <v>14</v>
      </c>
      <c r="B193" s="23">
        <f>B195*G227/F227</f>
        <v>1.1396049833679937E-4</v>
      </c>
      <c r="D193" s="97" t="s">
        <v>37</v>
      </c>
      <c r="E193" s="128">
        <v>-1</v>
      </c>
      <c r="F193" s="93" t="s">
        <v>33</v>
      </c>
      <c r="G193" s="15" t="s">
        <v>36</v>
      </c>
      <c r="H193" s="15"/>
      <c r="I193" s="96" t="s">
        <v>166</v>
      </c>
      <c r="J193" s="126">
        <f>E193*B193</f>
        <v>-1.1396049833679937E-4</v>
      </c>
      <c r="K193" s="6" t="s">
        <v>35</v>
      </c>
      <c r="L193" s="126">
        <f>E193*G236</f>
        <v>1.3457235961050951E-4</v>
      </c>
      <c r="M193" s="6" t="s">
        <v>34</v>
      </c>
      <c r="N193" s="126">
        <f>E193*I236</f>
        <v>-3.6249335628410825E-4</v>
      </c>
    </row>
    <row r="194" spans="1:26">
      <c r="A194" s="16" t="s">
        <v>15</v>
      </c>
      <c r="B194" s="17">
        <f>G226-(F226*B192)</f>
        <v>9.7571532158912972E-3</v>
      </c>
      <c r="M194" s="4"/>
    </row>
    <row r="195" spans="1:26">
      <c r="A195" s="25" t="s">
        <v>31</v>
      </c>
      <c r="B195" s="24">
        <f>J226/SQRT(N226)</f>
        <v>0.18966950444079622</v>
      </c>
      <c r="M195" s="4"/>
    </row>
    <row r="196" spans="1:26" ht="26.25" customHeight="1" thickBot="1">
      <c r="A196" s="108" t="s">
        <v>32</v>
      </c>
      <c r="B196" s="109">
        <f>B195^2</f>
        <v>3.5974520914817218E-2</v>
      </c>
      <c r="C196" s="110">
        <f>1-B196</f>
        <v>0.96402547908518277</v>
      </c>
      <c r="F196" s="7"/>
      <c r="G196" s="8"/>
      <c r="H196" s="269" t="s">
        <v>1</v>
      </c>
      <c r="I196" s="270"/>
      <c r="J196" s="9" t="s">
        <v>2</v>
      </c>
      <c r="K196" s="10"/>
      <c r="L196" s="9" t="s">
        <v>3</v>
      </c>
      <c r="M196" s="9" t="s">
        <v>4</v>
      </c>
      <c r="N196" s="9" t="s">
        <v>5</v>
      </c>
      <c r="Q196" s="41"/>
      <c r="R196" s="41"/>
      <c r="S196" s="41"/>
      <c r="T196" s="41"/>
      <c r="U196" s="43"/>
      <c r="V196" s="68"/>
      <c r="W196" s="68"/>
      <c r="X196" s="41"/>
      <c r="Y196" s="41"/>
      <c r="Z196" s="69"/>
    </row>
    <row r="197" spans="1:26" ht="37.5" customHeight="1" thickBot="1">
      <c r="A197" s="113" t="s">
        <v>44</v>
      </c>
      <c r="C197" s="11" t="s">
        <v>174</v>
      </c>
      <c r="D197" s="12" t="s">
        <v>6</v>
      </c>
      <c r="E197" s="12" t="s">
        <v>39</v>
      </c>
      <c r="F197" s="44" t="s">
        <v>189</v>
      </c>
      <c r="G197" s="45" t="s">
        <v>185</v>
      </c>
      <c r="H197" s="13" t="s">
        <v>7</v>
      </c>
      <c r="I197" s="14" t="s">
        <v>8</v>
      </c>
      <c r="J197" s="14" t="s">
        <v>9</v>
      </c>
      <c r="L197" s="14" t="s">
        <v>10</v>
      </c>
      <c r="M197" s="14" t="s">
        <v>11</v>
      </c>
      <c r="N197" s="14" t="s">
        <v>12</v>
      </c>
      <c r="Q197" s="41"/>
      <c r="R197" s="41"/>
      <c r="S197" s="70"/>
      <c r="T197" s="71"/>
      <c r="U197" s="41"/>
      <c r="V197" s="103"/>
      <c r="W197" s="103"/>
      <c r="X197" s="73"/>
      <c r="Y197" s="74"/>
      <c r="Z197" s="103"/>
    </row>
    <row r="198" spans="1:26">
      <c r="A198" s="112" t="s">
        <v>62</v>
      </c>
      <c r="C198" s="268">
        <f>B194+(B193*F198)</f>
        <v>6.3041501162862754E-3</v>
      </c>
      <c r="D198" s="340">
        <f t="shared" ref="D198:D223" si="14">C198-G198</f>
        <v>2.563962854775744E-3</v>
      </c>
      <c r="E198" s="6">
        <v>1</v>
      </c>
      <c r="F198" s="46">
        <v>-30.300000000000011</v>
      </c>
      <c r="G198" s="61">
        <v>3.7401872615105314E-3</v>
      </c>
      <c r="H198" s="19">
        <f>F198-F226</f>
        <v>-12.646153846153862</v>
      </c>
      <c r="I198" s="63">
        <f>G198-G226</f>
        <v>-4.005124849127269E-3</v>
      </c>
      <c r="J198" s="19">
        <f t="shared" ref="J198:J223" si="15">H198*I198</f>
        <v>5.0649425015117218E-2</v>
      </c>
      <c r="K198" s="20"/>
      <c r="L198" s="20">
        <f t="shared" ref="L198:L223" si="16">H198^2</f>
        <v>159.9252071005921</v>
      </c>
      <c r="M198" s="38">
        <f t="shared" ref="M198:M223" si="17">I198^2</f>
        <v>1.6041025057096729E-5</v>
      </c>
      <c r="N198" s="21"/>
      <c r="Q198" s="75"/>
      <c r="R198" s="76"/>
      <c r="S198" s="41"/>
      <c r="T198" s="41"/>
      <c r="U198" s="41"/>
      <c r="V198" s="58"/>
      <c r="W198" s="58"/>
      <c r="X198" s="77"/>
      <c r="Y198" s="74"/>
      <c r="Z198" s="58"/>
    </row>
    <row r="199" spans="1:26">
      <c r="A199" s="112" t="s">
        <v>63</v>
      </c>
      <c r="C199" s="268">
        <f>B194+(B193*F199)</f>
        <v>8.0477457408393068E-3</v>
      </c>
      <c r="D199" s="340">
        <f t="shared" si="14"/>
        <v>2.0796592978188271E-3</v>
      </c>
      <c r="E199" s="6">
        <v>2</v>
      </c>
      <c r="F199" s="46">
        <v>-15</v>
      </c>
      <c r="G199" s="61">
        <v>5.9680864430204797E-3</v>
      </c>
      <c r="H199" s="19">
        <f>F199-F226</f>
        <v>2.6538461538461497</v>
      </c>
      <c r="I199" s="63">
        <f>G199-G226</f>
        <v>-1.7772256676173203E-3</v>
      </c>
      <c r="J199" s="19">
        <f t="shared" si="15"/>
        <v>-4.7164835025228814E-3</v>
      </c>
      <c r="K199" s="20"/>
      <c r="L199" s="20">
        <f t="shared" si="16"/>
        <v>7.0428994082840015</v>
      </c>
      <c r="M199" s="38">
        <f t="shared" si="17"/>
        <v>3.1585310736378297E-6</v>
      </c>
      <c r="N199" s="21"/>
      <c r="Q199" s="75"/>
      <c r="R199" s="76"/>
      <c r="S199" s="41"/>
      <c r="T199" s="41"/>
      <c r="U199" s="41"/>
      <c r="V199" s="58"/>
      <c r="W199" s="58"/>
      <c r="X199" s="77"/>
      <c r="Y199" s="74"/>
      <c r="Z199" s="58"/>
    </row>
    <row r="200" spans="1:26">
      <c r="A200" s="112" t="s">
        <v>64</v>
      </c>
      <c r="C200" s="268">
        <f>B194+(B193*F200)</f>
        <v>7.1360617541449123E-3</v>
      </c>
      <c r="D200" s="340">
        <f t="shared" si="14"/>
        <v>-4.5887495471584692E-4</v>
      </c>
      <c r="E200" s="6">
        <v>3</v>
      </c>
      <c r="F200" s="46">
        <v>-23</v>
      </c>
      <c r="G200" s="61">
        <v>7.5949367088607592E-3</v>
      </c>
      <c r="H200" s="19">
        <f>F200-F226</f>
        <v>-5.3461538461538503</v>
      </c>
      <c r="I200" s="63">
        <f>G200-G226</f>
        <v>-1.5037540177704079E-4</v>
      </c>
      <c r="J200" s="19">
        <f t="shared" si="15"/>
        <v>8.039300325772572E-4</v>
      </c>
      <c r="K200" s="20"/>
      <c r="L200" s="20">
        <f t="shared" si="16"/>
        <v>28.581360946745605</v>
      </c>
      <c r="M200" s="38">
        <f t="shared" si="17"/>
        <v>2.2612761459606442E-8</v>
      </c>
      <c r="N200" s="21"/>
      <c r="Q200" s="75"/>
      <c r="R200" s="76"/>
      <c r="S200" s="41"/>
      <c r="T200" s="41"/>
      <c r="U200" s="41"/>
      <c r="V200" s="58"/>
      <c r="W200" s="58"/>
      <c r="X200" s="77"/>
      <c r="Y200" s="74"/>
      <c r="Z200" s="58"/>
    </row>
    <row r="201" spans="1:26">
      <c r="A201" s="129" t="s">
        <v>65</v>
      </c>
      <c r="C201" s="268">
        <f>B194+(B193*F201)</f>
        <v>8.8454692291969027E-3</v>
      </c>
      <c r="D201" s="340">
        <f t="shared" si="14"/>
        <v>5.4699418030365651E-3</v>
      </c>
      <c r="E201" s="6">
        <v>4</v>
      </c>
      <c r="F201" s="46">
        <v>-8</v>
      </c>
      <c r="G201" s="61">
        <v>3.3755274261603376E-3</v>
      </c>
      <c r="H201" s="19">
        <f>F201-F226</f>
        <v>9.6538461538461497</v>
      </c>
      <c r="I201" s="63">
        <f>G201-G226</f>
        <v>-4.3697846844774624E-3</v>
      </c>
      <c r="J201" s="19">
        <f t="shared" si="15"/>
        <v>-4.2185229069378563E-2</v>
      </c>
      <c r="K201" s="20"/>
      <c r="L201" s="20">
        <f t="shared" si="16"/>
        <v>93.196745562130104</v>
      </c>
      <c r="M201" s="38">
        <f t="shared" si="17"/>
        <v>1.9095018188693796E-5</v>
      </c>
      <c r="N201" s="21"/>
      <c r="Q201" s="75"/>
      <c r="R201" s="76"/>
      <c r="S201" s="41"/>
      <c r="T201" s="41"/>
      <c r="U201" s="41"/>
      <c r="V201" s="58"/>
      <c r="W201" s="58"/>
      <c r="X201" s="77"/>
      <c r="Y201" s="74"/>
      <c r="Z201" s="58"/>
    </row>
    <row r="202" spans="1:26">
      <c r="A202" s="112" t="s">
        <v>69</v>
      </c>
      <c r="C202" s="268">
        <f>B194+(B193*F202)</f>
        <v>5.6887634252675611E-3</v>
      </c>
      <c r="D202" s="340">
        <f t="shared" si="14"/>
        <v>-6.0124066917441399E-3</v>
      </c>
      <c r="E202" s="6">
        <v>5</v>
      </c>
      <c r="F202" s="46">
        <v>-35.699999999999989</v>
      </c>
      <c r="G202" s="61">
        <v>1.1701170117011701E-2</v>
      </c>
      <c r="H202" s="19">
        <f>F202-F226</f>
        <v>-18.046153846153839</v>
      </c>
      <c r="I202" s="63">
        <f>G202-G226</f>
        <v>3.955858006373901E-3</v>
      </c>
      <c r="J202" s="19">
        <f t="shared" si="15"/>
        <v>-7.1388022176562829E-2</v>
      </c>
      <c r="K202" s="20"/>
      <c r="L202" s="20">
        <f t="shared" si="16"/>
        <v>325.66366863905301</v>
      </c>
      <c r="M202" s="38">
        <f t="shared" si="17"/>
        <v>1.5648812566592496E-5</v>
      </c>
      <c r="N202" s="21"/>
      <c r="Q202" s="75"/>
      <c r="R202" s="76"/>
      <c r="S202" s="41"/>
      <c r="T202" s="41"/>
      <c r="U202" s="41"/>
      <c r="V202" s="58"/>
      <c r="W202" s="58"/>
      <c r="X202" s="77"/>
      <c r="Y202" s="74"/>
      <c r="Z202" s="58"/>
    </row>
    <row r="203" spans="1:26">
      <c r="A203" s="112" t="s">
        <v>71</v>
      </c>
      <c r="C203" s="268">
        <f>B194+(B193*F203)</f>
        <v>7.6260918969931497E-3</v>
      </c>
      <c r="D203" s="340">
        <f t="shared" si="14"/>
        <v>4.5634151174878618E-3</v>
      </c>
      <c r="E203" s="6">
        <v>6</v>
      </c>
      <c r="F203" s="46">
        <v>-18.699999999999989</v>
      </c>
      <c r="G203" s="61">
        <v>3.0626767795052879E-3</v>
      </c>
      <c r="H203" s="19">
        <f>F203-F226</f>
        <v>-1.0461538461538389</v>
      </c>
      <c r="I203" s="63">
        <f>G203-G226</f>
        <v>-4.6826353311325121E-3</v>
      </c>
      <c r="J203" s="19">
        <f t="shared" si="15"/>
        <v>4.8987569618001324E-3</v>
      </c>
      <c r="K203" s="20"/>
      <c r="L203" s="20">
        <f t="shared" si="16"/>
        <v>1.0944378698224699</v>
      </c>
      <c r="M203" s="38">
        <f t="shared" si="17"/>
        <v>2.1927073644370491E-5</v>
      </c>
      <c r="N203" s="21"/>
      <c r="Q203" s="75"/>
      <c r="R203" s="76"/>
      <c r="S203" s="41"/>
      <c r="T203" s="41"/>
      <c r="U203" s="41"/>
      <c r="V203" s="58"/>
      <c r="W203" s="58"/>
      <c r="X203" s="77"/>
      <c r="Y203" s="74"/>
      <c r="Z203" s="58"/>
    </row>
    <row r="204" spans="1:26">
      <c r="A204" s="112" t="s">
        <v>72</v>
      </c>
      <c r="C204" s="268">
        <f>B194+(B193*F204)</f>
        <v>6.0078528206105979E-3</v>
      </c>
      <c r="D204" s="340">
        <f t="shared" si="14"/>
        <v>2.6345671349375746E-3</v>
      </c>
      <c r="E204" s="6">
        <v>7</v>
      </c>
      <c r="F204" s="46">
        <v>-32.900000000000006</v>
      </c>
      <c r="G204" s="61">
        <v>3.3732856856730233E-3</v>
      </c>
      <c r="H204" s="19">
        <f>F204-F226</f>
        <v>-15.246153846153856</v>
      </c>
      <c r="I204" s="63">
        <f>G204-G226</f>
        <v>-4.3720264249647763E-3</v>
      </c>
      <c r="J204" s="19">
        <f t="shared" si="15"/>
        <v>6.6656587494463015E-2</v>
      </c>
      <c r="K204" s="20"/>
      <c r="L204" s="20">
        <f t="shared" si="16"/>
        <v>232.445207100592</v>
      </c>
      <c r="M204" s="38">
        <f t="shared" si="17"/>
        <v>1.9114615060590282E-5</v>
      </c>
      <c r="N204" s="21"/>
      <c r="Q204" s="75"/>
      <c r="R204" s="76"/>
      <c r="S204" s="41"/>
      <c r="T204" s="41"/>
      <c r="U204" s="41"/>
      <c r="V204" s="58"/>
      <c r="W204" s="58"/>
      <c r="X204" s="77"/>
      <c r="Y204" s="74"/>
      <c r="Z204" s="58"/>
    </row>
    <row r="205" spans="1:26">
      <c r="A205" s="112" t="s">
        <v>73</v>
      </c>
      <c r="C205" s="268">
        <f>B194+(B193*F205)</f>
        <v>7.4209629999869107E-3</v>
      </c>
      <c r="D205" s="340">
        <f t="shared" si="14"/>
        <v>-8.6284197160624732E-3</v>
      </c>
      <c r="E205" s="6">
        <v>8</v>
      </c>
      <c r="F205" s="46">
        <v>-20.5</v>
      </c>
      <c r="G205" s="61">
        <v>1.6049382716049384E-2</v>
      </c>
      <c r="H205" s="19">
        <f>F205-F226</f>
        <v>-2.8461538461538503</v>
      </c>
      <c r="I205" s="63">
        <f>G205-G226</f>
        <v>8.3040706054115839E-3</v>
      </c>
      <c r="J205" s="19">
        <f t="shared" si="15"/>
        <v>-2.363466249232531E-2</v>
      </c>
      <c r="K205" s="20"/>
      <c r="L205" s="20">
        <f t="shared" si="16"/>
        <v>8.1005917159763552</v>
      </c>
      <c r="M205" s="38">
        <f t="shared" si="17"/>
        <v>6.8957588619660714E-5</v>
      </c>
      <c r="N205" s="21"/>
      <c r="Q205" s="75"/>
      <c r="R205" s="76"/>
      <c r="S205" s="41"/>
      <c r="T205" s="41"/>
      <c r="U205" s="41"/>
      <c r="V205" s="58"/>
      <c r="W205" s="58"/>
      <c r="X205" s="77"/>
      <c r="Y205" s="74"/>
      <c r="Z205" s="58"/>
    </row>
    <row r="206" spans="1:26">
      <c r="A206" s="112" t="s">
        <v>74</v>
      </c>
      <c r="C206" s="268">
        <f>B194+(B193*F206)</f>
        <v>7.0676854551428329E-3</v>
      </c>
      <c r="D206" s="340">
        <f t="shared" si="14"/>
        <v>4.747257568240488E-3</v>
      </c>
      <c r="E206" s="6">
        <v>9</v>
      </c>
      <c r="F206" s="46">
        <v>-23.599999999999994</v>
      </c>
      <c r="G206" s="61">
        <v>2.3204278869023449E-3</v>
      </c>
      <c r="H206" s="19">
        <f>F206-F226</f>
        <v>-5.9461538461538446</v>
      </c>
      <c r="I206" s="63">
        <f>G206-G226</f>
        <v>-5.4248842237354551E-3</v>
      </c>
      <c r="J206" s="19">
        <f t="shared" si="15"/>
        <v>3.225719619190389E-2</v>
      </c>
      <c r="K206" s="20"/>
      <c r="L206" s="20">
        <f t="shared" si="16"/>
        <v>35.356745562130158</v>
      </c>
      <c r="M206" s="38">
        <f t="shared" si="17"/>
        <v>2.9429368840933831E-5</v>
      </c>
      <c r="N206" s="21"/>
      <c r="Q206" s="75"/>
      <c r="R206" s="76"/>
      <c r="S206" s="41"/>
      <c r="T206" s="41"/>
      <c r="U206" s="41"/>
      <c r="V206" s="58"/>
      <c r="W206" s="58"/>
      <c r="X206" s="77"/>
      <c r="Y206" s="74"/>
      <c r="Z206" s="58"/>
    </row>
    <row r="207" spans="1:26">
      <c r="A207" s="112" t="s">
        <v>75</v>
      </c>
      <c r="C207" s="268">
        <f>B194+(B193*F207)</f>
        <v>7.0448933554754711E-3</v>
      </c>
      <c r="D207" s="340">
        <f t="shared" si="14"/>
        <v>-7.4179165618799012E-3</v>
      </c>
      <c r="E207" s="6">
        <v>10</v>
      </c>
      <c r="F207" s="46">
        <v>-23.800000000000011</v>
      </c>
      <c r="G207" s="61">
        <v>1.4462809917355372E-2</v>
      </c>
      <c r="H207" s="19">
        <f>F207-F226</f>
        <v>-6.1461538461538616</v>
      </c>
      <c r="I207" s="63">
        <f>G207-G226</f>
        <v>6.7174978067175723E-3</v>
      </c>
      <c r="J207" s="19">
        <f t="shared" si="15"/>
        <v>-4.1286774981287334E-2</v>
      </c>
      <c r="K207" s="20"/>
      <c r="L207" s="20">
        <f t="shared" si="16"/>
        <v>37.775207100591906</v>
      </c>
      <c r="M207" s="38">
        <f t="shared" si="17"/>
        <v>4.5124776783255391E-5</v>
      </c>
      <c r="N207" s="21"/>
      <c r="Q207" s="75"/>
      <c r="R207" s="76"/>
      <c r="S207" s="41"/>
      <c r="T207" s="41"/>
      <c r="U207" s="41"/>
      <c r="V207" s="58"/>
      <c r="W207" s="58"/>
      <c r="X207" s="77"/>
      <c r="Y207" s="74"/>
      <c r="Z207" s="58"/>
    </row>
    <row r="208" spans="1:26">
      <c r="A208" s="112" t="s">
        <v>76</v>
      </c>
      <c r="C208" s="268">
        <f>B194+(B193*F208)</f>
        <v>7.4209629999869107E-3</v>
      </c>
      <c r="D208" s="340">
        <f t="shared" si="14"/>
        <v>9.3879795686250666E-4</v>
      </c>
      <c r="E208" s="6">
        <v>11</v>
      </c>
      <c r="F208" s="46">
        <v>-20.5</v>
      </c>
      <c r="G208" s="61">
        <v>6.482165043124404E-3</v>
      </c>
      <c r="H208" s="19">
        <f>F208-F226</f>
        <v>-2.8461538461538503</v>
      </c>
      <c r="I208" s="63">
        <f>G208-G226</f>
        <v>-1.263147067513396E-3</v>
      </c>
      <c r="J208" s="19">
        <f t="shared" si="15"/>
        <v>3.595110884461209E-3</v>
      </c>
      <c r="K208" s="20"/>
      <c r="L208" s="20">
        <f t="shared" si="16"/>
        <v>8.1005917159763552</v>
      </c>
      <c r="M208" s="38">
        <f t="shared" si="17"/>
        <v>1.5955405141676918E-6</v>
      </c>
      <c r="N208" s="21"/>
      <c r="Q208" s="75"/>
      <c r="R208" s="76"/>
      <c r="S208" s="41"/>
      <c r="T208" s="41"/>
      <c r="U208" s="41"/>
      <c r="V208" s="58"/>
      <c r="W208" s="58"/>
      <c r="X208" s="77"/>
      <c r="Y208" s="74"/>
      <c r="Z208" s="58"/>
    </row>
    <row r="209" spans="1:26" ht="14.25" customHeight="1">
      <c r="A209" s="112" t="s">
        <v>77</v>
      </c>
      <c r="C209" s="268">
        <f>B194+(B193*F209)</f>
        <v>7.6830721461615499E-3</v>
      </c>
      <c r="D209" s="340">
        <f t="shared" si="14"/>
        <v>3.6175730208995874E-3</v>
      </c>
      <c r="E209" s="6">
        <v>12</v>
      </c>
      <c r="F209" s="46">
        <v>-18.199999999999989</v>
      </c>
      <c r="G209" s="61">
        <v>4.0654991252619625E-3</v>
      </c>
      <c r="H209" s="19">
        <f>F209-F226</f>
        <v>-0.54615384615383888</v>
      </c>
      <c r="I209" s="63">
        <f>G209-G226</f>
        <v>-3.6798129853758375E-3</v>
      </c>
      <c r="J209" s="19">
        <f t="shared" si="15"/>
        <v>2.0097440150898538E-3</v>
      </c>
      <c r="K209" s="20"/>
      <c r="L209" s="20">
        <f t="shared" si="16"/>
        <v>0.2982840236686311</v>
      </c>
      <c r="M209" s="38">
        <f t="shared" si="17"/>
        <v>1.3541023607340634E-5</v>
      </c>
      <c r="N209" s="21"/>
      <c r="Y209" s="74"/>
      <c r="Z209" s="58"/>
    </row>
    <row r="210" spans="1:26">
      <c r="A210" s="112" t="s">
        <v>78</v>
      </c>
      <c r="C210" s="268">
        <f>B194+(B193*F210)</f>
        <v>7.9679733920035491E-3</v>
      </c>
      <c r="D210" s="340">
        <f t="shared" si="14"/>
        <v>7.9679733920035491E-3</v>
      </c>
      <c r="E210" s="6">
        <v>13</v>
      </c>
      <c r="F210" s="46">
        <v>-15.699999999999989</v>
      </c>
      <c r="G210" s="61">
        <v>0</v>
      </c>
      <c r="H210" s="19">
        <f>F210-F226</f>
        <v>1.9538461538461611</v>
      </c>
      <c r="I210" s="63">
        <f>G210-G226</f>
        <v>-7.7453121106378E-3</v>
      </c>
      <c r="J210" s="19">
        <f t="shared" si="15"/>
        <v>-1.5133148277707759E-2</v>
      </c>
      <c r="K210" s="20"/>
      <c r="L210" s="20">
        <f t="shared" si="16"/>
        <v>3.8175147928994368</v>
      </c>
      <c r="M210" s="38">
        <f t="shared" si="17"/>
        <v>5.9989859691192574E-5</v>
      </c>
      <c r="N210" s="21"/>
      <c r="Y210" s="74"/>
      <c r="Z210" s="58"/>
    </row>
    <row r="211" spans="1:26">
      <c r="A211" s="112" t="s">
        <v>62</v>
      </c>
      <c r="C211" s="268">
        <f>B194+(B193*F211)</f>
        <v>6.634635561462994E-3</v>
      </c>
      <c r="D211" s="340">
        <f t="shared" si="14"/>
        <v>2.3284918496931477E-3</v>
      </c>
      <c r="E211" s="6">
        <v>14</v>
      </c>
      <c r="F211" s="47">
        <v>-27.400000000000006</v>
      </c>
      <c r="G211" s="62">
        <v>4.3061437117698463E-3</v>
      </c>
      <c r="H211" s="19">
        <f>F211-F226</f>
        <v>-9.7461538461538559</v>
      </c>
      <c r="I211" s="63">
        <f>G211-G226</f>
        <v>-3.4391683988679537E-3</v>
      </c>
      <c r="J211" s="19">
        <f t="shared" si="15"/>
        <v>3.3518664318197708E-2</v>
      </c>
      <c r="K211" s="20"/>
      <c r="L211" s="20">
        <f t="shared" si="16"/>
        <v>94.987514792899603</v>
      </c>
      <c r="M211" s="38">
        <f t="shared" si="17"/>
        <v>1.1827879275771964E-5</v>
      </c>
      <c r="N211" s="21"/>
      <c r="Y211" s="74"/>
      <c r="Z211" s="58"/>
    </row>
    <row r="212" spans="1:26">
      <c r="A212" s="112" t="s">
        <v>63</v>
      </c>
      <c r="C212" s="268">
        <f>B194+(B193*F212)</f>
        <v>9.1873507242073004E-3</v>
      </c>
      <c r="D212" s="340">
        <f t="shared" si="14"/>
        <v>-1.1911596543030777E-3</v>
      </c>
      <c r="E212" s="6">
        <v>15</v>
      </c>
      <c r="F212" s="47">
        <v>-5</v>
      </c>
      <c r="G212" s="62">
        <v>1.0378510378510378E-2</v>
      </c>
      <c r="H212" s="19">
        <f>F212-F226</f>
        <v>12.65384615384615</v>
      </c>
      <c r="I212" s="63">
        <f>G212-G226</f>
        <v>2.6331982678725781E-3</v>
      </c>
      <c r="J212" s="19">
        <f t="shared" si="15"/>
        <v>3.3320085774233767E-2</v>
      </c>
      <c r="K212" s="20"/>
      <c r="L212" s="20">
        <f t="shared" si="16"/>
        <v>160.11982248520701</v>
      </c>
      <c r="M212" s="38">
        <f t="shared" si="17"/>
        <v>6.9337331179271453E-6</v>
      </c>
      <c r="N212" s="21"/>
      <c r="P212" s="271" t="s">
        <v>38</v>
      </c>
      <c r="Q212" s="272"/>
      <c r="R212" s="272"/>
      <c r="S212" s="272"/>
      <c r="T212" s="272"/>
      <c r="U212" s="272"/>
      <c r="V212" s="272"/>
      <c r="W212" s="272"/>
      <c r="X212" s="273"/>
      <c r="Y212" s="74"/>
      <c r="Z212" s="58"/>
    </row>
    <row r="213" spans="1:26">
      <c r="A213" s="112" t="s">
        <v>64</v>
      </c>
      <c r="C213" s="268">
        <f>B194+(B193*F213)</f>
        <v>7.8198247441657077E-3</v>
      </c>
      <c r="D213" s="340">
        <f t="shared" si="14"/>
        <v>9.450285575369078E-5</v>
      </c>
      <c r="E213" s="6">
        <v>16</v>
      </c>
      <c r="F213" s="47">
        <v>-17</v>
      </c>
      <c r="G213" s="62">
        <v>7.725321888412017E-3</v>
      </c>
      <c r="H213" s="19">
        <f>F213-F226</f>
        <v>0.65384615384614975</v>
      </c>
      <c r="I213" s="63">
        <f>G213-G226</f>
        <v>-1.9990222225783026E-5</v>
      </c>
      <c r="J213" s="19">
        <f t="shared" si="15"/>
        <v>-1.3070529916858051E-5</v>
      </c>
      <c r="K213" s="20"/>
      <c r="L213" s="20">
        <f t="shared" si="16"/>
        <v>0.42751479289940292</v>
      </c>
      <c r="M213" s="38">
        <f t="shared" si="17"/>
        <v>3.9960898463618969E-10</v>
      </c>
      <c r="N213" s="21"/>
      <c r="P213" s="274"/>
      <c r="Q213" s="275"/>
      <c r="R213" s="275"/>
      <c r="S213" s="275"/>
      <c r="T213" s="275"/>
      <c r="U213" s="275"/>
      <c r="V213" s="275"/>
      <c r="W213" s="275"/>
      <c r="X213" s="276"/>
      <c r="Y213" s="74"/>
      <c r="Z213" s="58"/>
    </row>
    <row r="214" spans="1:26" ht="14.25" customHeight="1">
      <c r="A214" s="129" t="s">
        <v>65</v>
      </c>
      <c r="C214" s="268">
        <f>B194+(B193*F214)</f>
        <v>9.8711137142280959E-3</v>
      </c>
      <c r="D214" s="340">
        <f t="shared" si="14"/>
        <v>-8.2847476313815949E-4</v>
      </c>
      <c r="E214" s="6">
        <v>17</v>
      </c>
      <c r="F214" s="47">
        <v>1</v>
      </c>
      <c r="G214" s="62">
        <v>1.0699588477366255E-2</v>
      </c>
      <c r="H214" s="19">
        <f>F214-F226</f>
        <v>18.65384615384615</v>
      </c>
      <c r="I214" s="63">
        <f>G214-G226</f>
        <v>2.9542763667284554E-3</v>
      </c>
      <c r="J214" s="19">
        <f t="shared" si="15"/>
        <v>5.5108616840896171E-2</v>
      </c>
      <c r="K214" s="20"/>
      <c r="L214" s="20">
        <f t="shared" si="16"/>
        <v>347.96597633136082</v>
      </c>
      <c r="M214" s="38">
        <f t="shared" si="17"/>
        <v>8.7277488510102827E-6</v>
      </c>
      <c r="N214" s="21"/>
      <c r="P214" s="274"/>
      <c r="Q214" s="275"/>
      <c r="R214" s="275"/>
      <c r="S214" s="275"/>
      <c r="T214" s="275"/>
      <c r="U214" s="275"/>
      <c r="V214" s="275"/>
      <c r="W214" s="275"/>
      <c r="X214" s="276"/>
      <c r="Y214" s="74"/>
      <c r="Z214" s="58"/>
    </row>
    <row r="215" spans="1:26">
      <c r="A215" s="112" t="s">
        <v>69</v>
      </c>
      <c r="C215" s="268">
        <f>B194+(B193*F215)</f>
        <v>6.7941802591345137E-3</v>
      </c>
      <c r="D215" s="340">
        <f t="shared" si="14"/>
        <v>-4.3118940835672097E-3</v>
      </c>
      <c r="E215" s="6">
        <v>18</v>
      </c>
      <c r="F215" s="47">
        <v>-26</v>
      </c>
      <c r="G215" s="62">
        <v>1.1106074342701723E-2</v>
      </c>
      <c r="H215" s="19">
        <f>F215-F226</f>
        <v>-8.3461538461538503</v>
      </c>
      <c r="I215" s="63">
        <f>G215-G226</f>
        <v>3.3607622320639234E-3</v>
      </c>
      <c r="J215" s="19">
        <f t="shared" si="15"/>
        <v>-2.8049438629148913E-2</v>
      </c>
      <c r="K215" s="20"/>
      <c r="L215" s="20">
        <f t="shared" si="16"/>
        <v>69.658284023668713</v>
      </c>
      <c r="M215" s="38">
        <f t="shared" si="17"/>
        <v>1.1294722780467285E-5</v>
      </c>
      <c r="N215" s="21"/>
      <c r="P215" s="277"/>
      <c r="Q215" s="278"/>
      <c r="R215" s="278"/>
      <c r="S215" s="278"/>
      <c r="T215" s="278"/>
      <c r="U215" s="278"/>
      <c r="V215" s="278"/>
      <c r="W215" s="278"/>
      <c r="X215" s="279"/>
      <c r="Y215" s="74"/>
      <c r="Z215" s="58"/>
    </row>
    <row r="216" spans="1:26">
      <c r="A216" s="112" t="s">
        <v>71</v>
      </c>
      <c r="C216" s="268">
        <f>B194+(B193*F216)</f>
        <v>9.1075783753715427E-3</v>
      </c>
      <c r="D216" s="340">
        <f t="shared" si="14"/>
        <v>4.1720542675796968E-3</v>
      </c>
      <c r="E216" s="6">
        <v>19</v>
      </c>
      <c r="F216" s="47">
        <v>-5.6999999999999886</v>
      </c>
      <c r="G216" s="62">
        <v>4.9355241077918459E-3</v>
      </c>
      <c r="H216" s="19">
        <f>F216-F226</f>
        <v>11.953846153846161</v>
      </c>
      <c r="I216" s="63">
        <f>G216-G226</f>
        <v>-2.8097880028459541E-3</v>
      </c>
      <c r="J216" s="19">
        <f t="shared" si="15"/>
        <v>-3.3587773510943192E-2</v>
      </c>
      <c r="K216" s="20"/>
      <c r="L216" s="20">
        <f t="shared" si="16"/>
        <v>142.89443786982267</v>
      </c>
      <c r="M216" s="38">
        <f t="shared" si="17"/>
        <v>7.8949086209370547E-6</v>
      </c>
      <c r="N216" s="21"/>
      <c r="Q216" s="41"/>
      <c r="R216" s="80"/>
      <c r="S216" s="41"/>
      <c r="T216" s="41"/>
      <c r="U216" s="41"/>
      <c r="V216" s="58"/>
      <c r="W216" s="58"/>
      <c r="X216" s="77"/>
      <c r="Y216" s="74"/>
      <c r="Z216" s="58"/>
    </row>
    <row r="217" spans="1:26">
      <c r="A217" s="112" t="s">
        <v>72</v>
      </c>
      <c r="C217" s="268">
        <f>B194+(B193*F217)</f>
        <v>6.6232395116293148E-3</v>
      </c>
      <c r="D217" s="340">
        <f t="shared" si="14"/>
        <v>3.22576468479436E-3</v>
      </c>
      <c r="E217" s="6">
        <v>20</v>
      </c>
      <c r="F217" s="47">
        <v>-27.5</v>
      </c>
      <c r="G217" s="62">
        <v>3.3974748268349548E-3</v>
      </c>
      <c r="H217" s="19">
        <f>F217-F226</f>
        <v>-9.8461538461538503</v>
      </c>
      <c r="I217" s="63">
        <f>G217-G226</f>
        <v>-4.3478372838028452E-3</v>
      </c>
      <c r="J217" s="19">
        <f t="shared" si="15"/>
        <v>4.2809474794366496E-2</v>
      </c>
      <c r="K217" s="20"/>
      <c r="L217" s="20">
        <f t="shared" si="16"/>
        <v>96.946745562130261</v>
      </c>
      <c r="M217" s="38">
        <f t="shared" si="17"/>
        <v>1.8903689046426103E-5</v>
      </c>
      <c r="N217" s="21"/>
      <c r="Q217" s="41"/>
      <c r="R217" s="80"/>
      <c r="S217" s="41"/>
      <c r="T217" s="41"/>
      <c r="U217" s="41"/>
      <c r="V217" s="58"/>
      <c r="W217" s="58"/>
      <c r="X217" s="77"/>
      <c r="Y217" s="74"/>
      <c r="Z217" s="58"/>
    </row>
    <row r="218" spans="1:26">
      <c r="A218" s="112" t="s">
        <v>73</v>
      </c>
      <c r="C218" s="268">
        <f>B194+(B193*F218)</f>
        <v>8.6745284816917029E-3</v>
      </c>
      <c r="D218" s="340">
        <f t="shared" si="14"/>
        <v>-8.7743283173456008E-3</v>
      </c>
      <c r="E218" s="6">
        <v>21</v>
      </c>
      <c r="F218" s="47">
        <v>-9.5</v>
      </c>
      <c r="G218" s="62">
        <v>1.7448856799037304E-2</v>
      </c>
      <c r="H218" s="19">
        <f>F218-F226</f>
        <v>8.1538461538461497</v>
      </c>
      <c r="I218" s="63">
        <f>G218-G226</f>
        <v>9.7035446883995038E-3</v>
      </c>
      <c r="J218" s="19">
        <f t="shared" si="15"/>
        <v>7.9121210536180528E-2</v>
      </c>
      <c r="K218" s="20"/>
      <c r="L218" s="20">
        <f t="shared" si="16"/>
        <v>66.485207100591651</v>
      </c>
      <c r="M218" s="38">
        <f t="shared" si="17"/>
        <v>9.4158779519766216E-5</v>
      </c>
      <c r="N218" s="21"/>
      <c r="Q218" s="41"/>
      <c r="R218" s="41"/>
      <c r="S218" s="41"/>
      <c r="T218" s="41"/>
      <c r="U218" s="41"/>
      <c r="V218" s="58"/>
      <c r="W218" s="58"/>
      <c r="X218" s="77"/>
      <c r="Y218" s="74"/>
      <c r="Z218" s="58"/>
    </row>
    <row r="219" spans="1:26">
      <c r="A219" s="112" t="s">
        <v>74</v>
      </c>
      <c r="C219" s="268">
        <f>B194+(B193*F219)</f>
        <v>7.3411906511511513E-3</v>
      </c>
      <c r="D219" s="340">
        <f t="shared" si="14"/>
        <v>5.4848483416292757E-3</v>
      </c>
      <c r="E219" s="6">
        <v>22</v>
      </c>
      <c r="F219" s="47">
        <v>-21.199999999999989</v>
      </c>
      <c r="G219" s="62">
        <v>1.8563423095218758E-3</v>
      </c>
      <c r="H219" s="19">
        <f>F219-F226</f>
        <v>-3.5461538461538389</v>
      </c>
      <c r="I219" s="63">
        <f>G219-G226</f>
        <v>-5.8889698011159244E-3</v>
      </c>
      <c r="J219" s="19">
        <f t="shared" si="15"/>
        <v>2.0883192910111044E-2</v>
      </c>
      <c r="K219" s="20"/>
      <c r="L219" s="20">
        <f t="shared" si="16"/>
        <v>12.575207100591664</v>
      </c>
      <c r="M219" s="38">
        <f t="shared" si="17"/>
        <v>3.4679965318455329E-5</v>
      </c>
      <c r="N219" s="21"/>
      <c r="Q219" s="41"/>
      <c r="R219" s="41"/>
      <c r="S219" s="41"/>
      <c r="T219" s="41"/>
      <c r="U219" s="41"/>
      <c r="V219" s="58"/>
      <c r="W219" s="58"/>
      <c r="X219" s="77"/>
      <c r="Y219" s="74"/>
      <c r="Z219" s="58"/>
    </row>
    <row r="220" spans="1:26">
      <c r="A220" s="112" t="s">
        <v>75</v>
      </c>
      <c r="C220" s="268">
        <f>B194+(B193*F220)</f>
        <v>8.640340332190662E-3</v>
      </c>
      <c r="D220" s="340">
        <f t="shared" si="14"/>
        <v>-1.6290407590247011E-2</v>
      </c>
      <c r="E220" s="6">
        <v>23</v>
      </c>
      <c r="F220" s="47">
        <v>-9.8000000000000114</v>
      </c>
      <c r="G220" s="62">
        <v>2.4930747922437674E-2</v>
      </c>
      <c r="H220" s="19">
        <f>F220-F226</f>
        <v>7.8538461538461384</v>
      </c>
      <c r="I220" s="63">
        <f>G220-G226</f>
        <v>1.7185435811799876E-2</v>
      </c>
      <c r="J220" s="19">
        <f t="shared" si="15"/>
        <v>0.13497176895267415</v>
      </c>
      <c r="K220" s="20"/>
      <c r="L220" s="20">
        <f t="shared" si="16"/>
        <v>61.682899408283781</v>
      </c>
      <c r="M220" s="38">
        <f t="shared" si="17"/>
        <v>2.9533920404149365E-4</v>
      </c>
      <c r="N220" s="21"/>
      <c r="Q220" s="41"/>
      <c r="R220" s="41"/>
      <c r="S220" s="41"/>
      <c r="T220" s="41"/>
      <c r="U220" s="41"/>
      <c r="V220" s="58"/>
      <c r="W220" s="58"/>
      <c r="X220" s="77"/>
      <c r="Y220" s="74"/>
      <c r="Z220" s="58"/>
    </row>
    <row r="221" spans="1:26">
      <c r="A221" s="112" t="s">
        <v>76</v>
      </c>
      <c r="C221" s="268">
        <f>B194+(B193*F221)</f>
        <v>9.0164099767021007E-3</v>
      </c>
      <c r="D221" s="340">
        <f t="shared" si="14"/>
        <v>2.6110579492302577E-3</v>
      </c>
      <c r="E221" s="6">
        <v>24</v>
      </c>
      <c r="F221" s="47">
        <v>-6.5</v>
      </c>
      <c r="G221" s="62">
        <v>6.405352027471843E-3</v>
      </c>
      <c r="H221" s="19">
        <f>F221-F226</f>
        <v>11.15384615384615</v>
      </c>
      <c r="I221" s="63">
        <f>G221-G226</f>
        <v>-1.339960083165957E-3</v>
      </c>
      <c r="J221" s="19">
        <f t="shared" si="15"/>
        <v>-1.4945708619927977E-2</v>
      </c>
      <c r="K221" s="20"/>
      <c r="L221" s="20">
        <f t="shared" si="16"/>
        <v>124.40828402366854</v>
      </c>
      <c r="M221" s="38">
        <f t="shared" si="17"/>
        <v>1.7954930244781184E-6</v>
      </c>
      <c r="N221" s="21"/>
      <c r="Q221" s="26"/>
      <c r="R221" s="80"/>
      <c r="S221" s="41"/>
      <c r="T221" s="41"/>
      <c r="U221" s="41"/>
      <c r="V221" s="58"/>
      <c r="W221" s="58"/>
      <c r="X221" s="77"/>
      <c r="Y221" s="74"/>
      <c r="Z221" s="58"/>
    </row>
    <row r="222" spans="1:26">
      <c r="A222" s="112" t="s">
        <v>77</v>
      </c>
      <c r="C222" s="268">
        <f>B194+(B193*F222)</f>
        <v>9.1759546743736212E-3</v>
      </c>
      <c r="D222" s="340">
        <f t="shared" si="14"/>
        <v>4.5907758065459863E-3</v>
      </c>
      <c r="E222" s="6">
        <v>25</v>
      </c>
      <c r="F222" s="47">
        <v>-5.0999999999999943</v>
      </c>
      <c r="G222" s="62">
        <v>4.5851788678276349E-3</v>
      </c>
      <c r="H222" s="19">
        <f>F222-F226</f>
        <v>12.553846153846155</v>
      </c>
      <c r="I222" s="63">
        <f>G222-G226</f>
        <v>-3.1601332428101651E-3</v>
      </c>
      <c r="J222" s="19">
        <f t="shared" si="15"/>
        <v>-3.9671826555893769E-2</v>
      </c>
      <c r="K222" s="20"/>
      <c r="L222" s="20">
        <f t="shared" si="16"/>
        <v>157.59905325443791</v>
      </c>
      <c r="M222" s="38">
        <f t="shared" si="17"/>
        <v>9.9864421123138902E-6</v>
      </c>
      <c r="N222" s="21"/>
      <c r="Q222" s="41"/>
      <c r="R222" s="80"/>
      <c r="S222" s="41"/>
      <c r="T222" s="41"/>
      <c r="U222" s="41"/>
      <c r="V222" s="58"/>
      <c r="W222" s="58"/>
      <c r="X222" s="77"/>
      <c r="Y222" s="74"/>
      <c r="Z222" s="58"/>
    </row>
    <row r="223" spans="1:26">
      <c r="A223" s="112" t="s">
        <v>78</v>
      </c>
      <c r="C223" s="268">
        <f>B194+(B193*F223)</f>
        <v>8.2300825381781857E-3</v>
      </c>
      <c r="D223" s="340">
        <f t="shared" si="14"/>
        <v>-3.176761568285693E-3</v>
      </c>
      <c r="E223" s="6">
        <v>26</v>
      </c>
      <c r="F223" s="47">
        <v>-13.400000000000006</v>
      </c>
      <c r="G223" s="62">
        <v>1.1406844106463879E-2</v>
      </c>
      <c r="H223" s="19">
        <f>F223-F226</f>
        <v>4.2538461538461441</v>
      </c>
      <c r="I223" s="63">
        <f>G223-G226</f>
        <v>3.6615319958260787E-3</v>
      </c>
      <c r="J223" s="19">
        <f t="shared" si="15"/>
        <v>1.5575593797629361E-2</v>
      </c>
      <c r="K223" s="20"/>
      <c r="L223" s="20">
        <f t="shared" si="16"/>
        <v>18.095207100591633</v>
      </c>
      <c r="M223" s="38">
        <f t="shared" si="17"/>
        <v>1.3406816556458107E-5</v>
      </c>
      <c r="N223" s="21"/>
      <c r="Q223" s="41"/>
      <c r="R223" s="81"/>
      <c r="S223" s="41"/>
      <c r="T223" s="82"/>
      <c r="U223" s="41"/>
      <c r="V223" s="58"/>
      <c r="W223" s="58"/>
      <c r="X223" s="77"/>
      <c r="Y223" s="74"/>
      <c r="Z223" s="58"/>
    </row>
    <row r="224" spans="1:26" ht="12.75">
      <c r="C224" s="340"/>
      <c r="D224" s="340"/>
      <c r="E224" s="6"/>
      <c r="F224" s="91"/>
      <c r="G224" s="92"/>
      <c r="H224" s="65"/>
      <c r="J224" s="60"/>
      <c r="K224" s="6"/>
      <c r="L224" s="6"/>
      <c r="M224" s="18"/>
      <c r="N224" s="6"/>
      <c r="Q224" s="41"/>
      <c r="R224" s="83"/>
      <c r="S224" s="41"/>
      <c r="T224" s="41"/>
      <c r="U224" s="41"/>
      <c r="V224" s="58"/>
      <c r="W224" s="58"/>
      <c r="X224" s="77"/>
      <c r="Y224" s="74"/>
      <c r="Z224" s="58"/>
    </row>
    <row r="225" spans="1:26" ht="13.5" thickBot="1">
      <c r="B225" s="2" t="s">
        <v>16</v>
      </c>
      <c r="C225" s="340"/>
      <c r="D225" s="340"/>
      <c r="M225" s="18"/>
      <c r="N225" s="6"/>
      <c r="Q225" s="41"/>
      <c r="R225" s="41"/>
      <c r="S225" s="41"/>
      <c r="T225" s="41"/>
      <c r="U225" s="41"/>
      <c r="V225" s="58"/>
      <c r="W225" s="58"/>
      <c r="X225" s="77"/>
      <c r="Y225" s="74"/>
      <c r="Z225" s="58"/>
    </row>
    <row r="226" spans="1:26" ht="13.5" thickBot="1">
      <c r="B226" s="2" t="s">
        <v>0</v>
      </c>
      <c r="C226" s="340">
        <f>AVERAGE(C198:C223)</f>
        <v>7.7453121106378026E-3</v>
      </c>
      <c r="D226" s="340">
        <f>AVERAGE(D198:D223)</f>
        <v>2.3352046791995479E-19</v>
      </c>
      <c r="F226" s="18">
        <f>AVERAGE(F198:F223)</f>
        <v>-17.65384615384615</v>
      </c>
      <c r="G226" s="64">
        <f>AVERAGE(G198:G223)</f>
        <v>7.7453121106378E-3</v>
      </c>
      <c r="H226" s="19">
        <f>AVERAGE(H198:H223)</f>
        <v>-4.3725706816006168E-15</v>
      </c>
      <c r="I226" s="19">
        <f>AVERAGE(I198:I223)</f>
        <v>9.6744193852552706E-19</v>
      </c>
      <c r="J226" s="59">
        <f>SUM(J198:J223)</f>
        <v>0.2615672201740864</v>
      </c>
      <c r="K226" s="27" t="s">
        <v>16</v>
      </c>
      <c r="L226" s="28">
        <f>SUM(L198:L223)</f>
        <v>2295.2446153846163</v>
      </c>
      <c r="M226" s="28">
        <f>SUM(M198:M223)</f>
        <v>8.2859562828348167E-4</v>
      </c>
      <c r="N226" s="28">
        <f>M226*L226</f>
        <v>1.9018296541488944</v>
      </c>
      <c r="Q226" s="41"/>
      <c r="R226" s="41"/>
      <c r="S226" s="41"/>
      <c r="T226" s="82"/>
      <c r="U226" s="84"/>
      <c r="V226" s="85"/>
      <c r="W226" s="86"/>
      <c r="X226" s="77"/>
      <c r="Y226" s="74"/>
      <c r="Z226" s="87"/>
    </row>
    <row r="227" spans="1:26" ht="15" thickBot="1">
      <c r="B227" s="15" t="s">
        <v>17</v>
      </c>
      <c r="C227" s="344">
        <f>STDEVA(C198:C223)</f>
        <v>1.0919401221607379E-3</v>
      </c>
      <c r="D227" s="344">
        <f>STDEVA(D198:D223)</f>
        <v>5.6525650726864576E-3</v>
      </c>
      <c r="E227" s="15"/>
      <c r="F227" s="30">
        <f>STDEVA(F198:F223)</f>
        <v>9.5817422536501553</v>
      </c>
      <c r="G227" s="29">
        <f>STDEVA(G198:G223)</f>
        <v>5.7570674072255981E-3</v>
      </c>
      <c r="H227" s="30">
        <f>STDEVA(H198:H223)</f>
        <v>9.58174225365015</v>
      </c>
      <c r="I227" s="30">
        <f>STDEVA(I198:I223)</f>
        <v>5.7570674072255981E-3</v>
      </c>
      <c r="J227" s="31" t="s">
        <v>16</v>
      </c>
      <c r="K227" s="32"/>
      <c r="L227" s="33"/>
      <c r="M227" s="33"/>
      <c r="N227" s="34"/>
      <c r="Q227" s="41"/>
      <c r="R227" s="41"/>
      <c r="S227" s="41"/>
      <c r="T227" s="41"/>
      <c r="U227" s="84"/>
      <c r="V227" s="85"/>
      <c r="W227" s="85"/>
      <c r="X227" s="88"/>
      <c r="Y227" s="89"/>
      <c r="Z227" s="41"/>
    </row>
    <row r="228" spans="1:26" ht="15.75">
      <c r="B228" s="15" t="s">
        <v>18</v>
      </c>
      <c r="C228" s="345">
        <f>C227^2</f>
        <v>1.1923332303844073E-6</v>
      </c>
      <c r="D228" s="345">
        <f>D227^2</f>
        <v>3.1951491900954857E-5</v>
      </c>
      <c r="E228" s="15"/>
      <c r="F228" s="30">
        <f>F227^2</f>
        <v>91.809784615384757</v>
      </c>
      <c r="G228" s="35">
        <f>G227^2</f>
        <v>3.314382513133927E-5</v>
      </c>
      <c r="H228" s="30">
        <f>H227^2</f>
        <v>91.809784615384658</v>
      </c>
      <c r="I228" s="30">
        <f>I227^2</f>
        <v>3.314382513133927E-5</v>
      </c>
      <c r="J228" s="33"/>
      <c r="K228" s="27"/>
      <c r="L228" s="33"/>
      <c r="M228" s="33"/>
      <c r="N228" s="34"/>
      <c r="Q228" s="41"/>
      <c r="R228" s="41"/>
      <c r="S228" s="41"/>
      <c r="T228" s="41"/>
      <c r="U228" s="84"/>
      <c r="V228" s="85"/>
      <c r="W228" s="85"/>
      <c r="X228" s="41"/>
      <c r="Y228" s="41"/>
      <c r="Z228" s="41"/>
    </row>
    <row r="229" spans="1:26">
      <c r="B229" s="2" t="s">
        <v>19</v>
      </c>
      <c r="C229" s="346">
        <f>COUNT(C198:C223)</f>
        <v>26</v>
      </c>
      <c r="D229" s="346">
        <f>COUNT(D198:D223)</f>
        <v>26</v>
      </c>
      <c r="F229" s="30">
        <f>COUNT(F198:F223)</f>
        <v>26</v>
      </c>
      <c r="G229" s="30">
        <f>COUNT(G198:G223)</f>
        <v>26</v>
      </c>
      <c r="I229" s="27"/>
      <c r="J229" s="33"/>
      <c r="K229" s="27"/>
      <c r="L229" s="33"/>
      <c r="M229" s="33"/>
      <c r="N229" s="34"/>
      <c r="Q229" s="41"/>
      <c r="R229" s="41"/>
      <c r="S229" s="41"/>
      <c r="T229" s="41"/>
      <c r="U229" s="41"/>
      <c r="V229" s="41"/>
      <c r="W229" s="41"/>
      <c r="X229" s="41"/>
      <c r="Y229" s="41"/>
      <c r="Z229" s="41"/>
    </row>
    <row r="230" spans="1:26">
      <c r="B230" s="36" t="s">
        <v>20</v>
      </c>
      <c r="C230" s="347">
        <f>C226/C227</f>
        <v>7.0931655989628171</v>
      </c>
      <c r="D230" s="347">
        <f>D226/D227</f>
        <v>4.1312300684222116E-17</v>
      </c>
      <c r="E230" s="36"/>
      <c r="F230" s="37">
        <f>F226/F227</f>
        <v>-1.8424463616855207</v>
      </c>
      <c r="G230" s="37">
        <f>G226/G227</f>
        <v>1.3453572040717796</v>
      </c>
      <c r="I230" s="27"/>
      <c r="J230" s="36"/>
      <c r="Q230" s="41"/>
      <c r="R230" s="41"/>
      <c r="S230" s="41"/>
      <c r="T230" s="41"/>
      <c r="U230" s="41"/>
      <c r="V230" s="41"/>
      <c r="W230" s="41"/>
      <c r="X230" s="41"/>
      <c r="Y230" s="41"/>
      <c r="Z230" s="41"/>
    </row>
    <row r="231" spans="1:26">
      <c r="B231" s="36"/>
      <c r="C231" s="347"/>
      <c r="D231" s="347"/>
      <c r="E231" s="36"/>
      <c r="F231" s="37"/>
      <c r="G231" s="37"/>
      <c r="I231" s="27"/>
      <c r="J231" s="36"/>
      <c r="Q231" s="41"/>
      <c r="R231" s="41"/>
      <c r="S231" s="41"/>
      <c r="T231" s="41"/>
      <c r="U231" s="41"/>
      <c r="V231" s="41"/>
      <c r="W231" s="41"/>
      <c r="X231" s="41"/>
      <c r="Y231" s="41"/>
      <c r="Z231" s="41"/>
    </row>
    <row r="232" spans="1:26">
      <c r="B232" s="36"/>
      <c r="C232" s="347"/>
      <c r="D232" s="347"/>
      <c r="E232" s="36"/>
      <c r="F232" s="37"/>
      <c r="G232" s="48" t="s">
        <v>21</v>
      </c>
      <c r="I232" s="49" t="s">
        <v>22</v>
      </c>
      <c r="J232" s="36"/>
    </row>
    <row r="233" spans="1:26" ht="15.75">
      <c r="A233" s="2" t="s">
        <v>23</v>
      </c>
      <c r="C233" s="347"/>
      <c r="D233" s="347"/>
      <c r="E233" s="36"/>
      <c r="G233" s="24">
        <f>B195*(SQRT((C229-2)/(1-B196)))</f>
        <v>0.94636544456265925</v>
      </c>
      <c r="H233" s="40"/>
      <c r="I233" s="42">
        <f>TDIST(ABS(G233),8,2)</f>
        <v>0.37166581692092276</v>
      </c>
      <c r="J233" s="50" t="s">
        <v>57</v>
      </c>
      <c r="N233" s="2"/>
      <c r="O233" s="41"/>
      <c r="P233" s="43"/>
    </row>
    <row r="234" spans="1:26" ht="15.75">
      <c r="A234" s="2" t="s">
        <v>24</v>
      </c>
      <c r="C234" s="347"/>
      <c r="D234" s="347"/>
      <c r="E234" s="36"/>
      <c r="G234" s="24">
        <f>B193/((G227/F227)*SQRT((1-B196)/(G229-2)))</f>
        <v>0.94636544456265925</v>
      </c>
      <c r="H234" s="36"/>
      <c r="I234" s="42">
        <f>TDIST(ABS(G234),8,2)</f>
        <v>0.37166581692092276</v>
      </c>
      <c r="J234" s="36"/>
      <c r="K234" s="36"/>
      <c r="N234" s="2"/>
      <c r="O234" s="36"/>
      <c r="P234" s="43"/>
    </row>
    <row r="235" spans="1:26" ht="12.75">
      <c r="C235" s="347"/>
      <c r="D235" s="347"/>
      <c r="E235" s="36"/>
      <c r="J235" s="36"/>
      <c r="K235" s="36"/>
      <c r="N235" s="2"/>
      <c r="O235" s="36"/>
      <c r="P235" s="43"/>
    </row>
    <row r="236" spans="1:26" ht="15.75">
      <c r="A236" s="2" t="s">
        <v>25</v>
      </c>
      <c r="B236" s="37"/>
      <c r="C236" s="340"/>
      <c r="D236" s="340"/>
      <c r="E236" s="56">
        <f>Q236*((G227/F227)*SQRT((1-B195^2)/(G229-2)))</f>
        <v>2.4853285794730888E-4</v>
      </c>
      <c r="F236" s="51" t="s">
        <v>26</v>
      </c>
      <c r="G236" s="98">
        <f>B193-E236</f>
        <v>-1.3457235961050951E-4</v>
      </c>
      <c r="H236" s="51" t="s">
        <v>27</v>
      </c>
      <c r="I236" s="98">
        <f>B193+E236</f>
        <v>3.6249335628410825E-4</v>
      </c>
      <c r="K236" s="51" t="s">
        <v>28</v>
      </c>
      <c r="L236" s="52">
        <v>0.95</v>
      </c>
      <c r="M236" s="51" t="s">
        <v>29</v>
      </c>
      <c r="N236" s="53">
        <f>C229-2</f>
        <v>24</v>
      </c>
      <c r="P236" s="54" t="s">
        <v>30</v>
      </c>
      <c r="Q236" s="55">
        <f>TINV((1-L236),N236)</f>
        <v>2.0638985616280254</v>
      </c>
    </row>
    <row r="237" spans="1:26">
      <c r="C237" s="340"/>
      <c r="D237" s="340"/>
    </row>
    <row r="238" spans="1:26">
      <c r="C238" s="340"/>
      <c r="D238" s="340"/>
    </row>
    <row r="239" spans="1:26">
      <c r="C239" s="340"/>
      <c r="D239" s="340"/>
    </row>
    <row r="240" spans="1:26">
      <c r="C240" s="340"/>
      <c r="D240" s="340"/>
    </row>
    <row r="241" spans="1:26">
      <c r="C241" s="340"/>
      <c r="D241" s="340"/>
    </row>
    <row r="242" spans="1:26">
      <c r="A242" s="16" t="s">
        <v>13</v>
      </c>
      <c r="B242" s="17">
        <f>J268/L268</f>
        <v>2.2439865695122877E-4</v>
      </c>
      <c r="C242" s="340"/>
      <c r="D242" s="348"/>
      <c r="E242" s="95"/>
      <c r="F242" s="93" t="str">
        <f>F247</f>
        <v>X = Dif PAS [desp vs antes]</v>
      </c>
      <c r="G242" s="95"/>
      <c r="H242" s="15"/>
      <c r="I242" s="96" t="str">
        <f>G247</f>
        <v>Y = InsCard /año</v>
      </c>
      <c r="M242" s="4"/>
    </row>
    <row r="243" spans="1:26">
      <c r="A243" s="22" t="s">
        <v>14</v>
      </c>
      <c r="B243" s="23">
        <f>B245*G269/F269</f>
        <v>2.2439865695122842E-4</v>
      </c>
      <c r="C243" s="340"/>
      <c r="D243" s="346" t="s">
        <v>37</v>
      </c>
      <c r="E243" s="128">
        <v>-1</v>
      </c>
      <c r="F243" s="93" t="s">
        <v>33</v>
      </c>
      <c r="G243" s="15" t="s">
        <v>36</v>
      </c>
      <c r="H243" s="15"/>
      <c r="I243" s="96" t="s">
        <v>166</v>
      </c>
      <c r="J243" s="126">
        <f>E243*B243</f>
        <v>-2.2439865695122842E-4</v>
      </c>
      <c r="K243" s="6" t="s">
        <v>35</v>
      </c>
      <c r="L243" s="126">
        <f>E243*G278</f>
        <v>3.2387697159493424E-6</v>
      </c>
      <c r="M243" s="6" t="s">
        <v>34</v>
      </c>
      <c r="N243" s="126">
        <f>E243*I278</f>
        <v>-4.5203608361840621E-4</v>
      </c>
    </row>
    <row r="244" spans="1:26">
      <c r="A244" s="16" t="s">
        <v>15</v>
      </c>
      <c r="B244" s="17">
        <f>G268-(F268*B242)</f>
        <v>9.9039363262204069E-3</v>
      </c>
      <c r="C244" s="340"/>
      <c r="D244" s="340"/>
      <c r="M244" s="4"/>
    </row>
    <row r="245" spans="1:26">
      <c r="A245" s="25" t="s">
        <v>31</v>
      </c>
      <c r="B245" s="24">
        <f>J268/SQRT(N268)</f>
        <v>0.46305140217198593</v>
      </c>
      <c r="C245" s="340"/>
      <c r="D245" s="340"/>
      <c r="M245" s="4"/>
    </row>
    <row r="246" spans="1:26" ht="26.25" customHeight="1" thickBot="1">
      <c r="A246" s="108" t="s">
        <v>32</v>
      </c>
      <c r="B246" s="109">
        <f>B245^2</f>
        <v>0.21441660105344226</v>
      </c>
      <c r="C246" s="343">
        <f>1-B246</f>
        <v>0.78558339894655771</v>
      </c>
      <c r="D246" s="340"/>
      <c r="F246" s="7"/>
      <c r="G246" s="8"/>
      <c r="H246" s="269" t="s">
        <v>1</v>
      </c>
      <c r="I246" s="270"/>
      <c r="J246" s="9" t="s">
        <v>2</v>
      </c>
      <c r="K246" s="10"/>
      <c r="L246" s="9" t="s">
        <v>3</v>
      </c>
      <c r="M246" s="9" t="s">
        <v>4</v>
      </c>
      <c r="N246" s="9" t="s">
        <v>5</v>
      </c>
      <c r="Q246" s="41"/>
      <c r="R246" s="41"/>
      <c r="S246" s="41"/>
      <c r="T246" s="41"/>
      <c r="U246" s="43"/>
      <c r="V246" s="68"/>
      <c r="W246" s="68"/>
      <c r="X246" s="41"/>
      <c r="Y246" s="41"/>
      <c r="Z246" s="69"/>
    </row>
    <row r="247" spans="1:26" ht="37.5" customHeight="1" thickBot="1">
      <c r="A247" s="121" t="s">
        <v>45</v>
      </c>
      <c r="C247" s="342" t="s">
        <v>174</v>
      </c>
      <c r="D247" s="343" t="s">
        <v>6</v>
      </c>
      <c r="E247" s="12" t="s">
        <v>39</v>
      </c>
      <c r="F247" s="44" t="s">
        <v>189</v>
      </c>
      <c r="G247" s="45" t="s">
        <v>186</v>
      </c>
      <c r="H247" s="13" t="s">
        <v>7</v>
      </c>
      <c r="I247" s="14" t="s">
        <v>8</v>
      </c>
      <c r="J247" s="14" t="s">
        <v>9</v>
      </c>
      <c r="L247" s="14" t="s">
        <v>10</v>
      </c>
      <c r="M247" s="14" t="s">
        <v>11</v>
      </c>
      <c r="N247" s="14" t="s">
        <v>12</v>
      </c>
      <c r="Q247" s="41"/>
      <c r="R247" s="41"/>
      <c r="S247" s="70"/>
      <c r="T247" s="71"/>
      <c r="U247" s="41"/>
      <c r="V247" s="111"/>
      <c r="W247" s="111"/>
      <c r="X247" s="73"/>
      <c r="Y247" s="74"/>
      <c r="Z247" s="111"/>
    </row>
    <row r="248" spans="1:26">
      <c r="A248" s="112" t="s">
        <v>62</v>
      </c>
      <c r="C248" s="268">
        <f>B244+(B243*F248)</f>
        <v>3.1046570205981831E-3</v>
      </c>
      <c r="D248" s="340">
        <f t="shared" ref="D248:D265" si="18">C248-G248</f>
        <v>2.3061900771296426E-3</v>
      </c>
      <c r="E248" s="6">
        <v>1</v>
      </c>
      <c r="F248" s="46">
        <v>-30.300000000000011</v>
      </c>
      <c r="G248" s="61">
        <v>7.9846694346854044E-4</v>
      </c>
      <c r="H248" s="19">
        <f>F248-F268</f>
        <v>-12.188888888888908</v>
      </c>
      <c r="I248" s="63">
        <f>G248-G268</f>
        <v>-5.0413603735240588E-3</v>
      </c>
      <c r="J248" s="19">
        <f t="shared" ref="J248:J265" si="19">H248*I248</f>
        <v>6.1448581441732236E-2</v>
      </c>
      <c r="K248" s="20"/>
      <c r="L248" s="20">
        <f t="shared" ref="L248:L265" si="20">H248^2</f>
        <v>148.56901234567948</v>
      </c>
      <c r="M248" s="38">
        <f t="shared" ref="M248:M265" si="21">I248^2</f>
        <v>2.541531441573864E-5</v>
      </c>
      <c r="N248" s="21"/>
      <c r="Q248" s="75"/>
      <c r="R248" s="76"/>
      <c r="S248" s="41"/>
      <c r="T248" s="41"/>
      <c r="U248" s="41"/>
      <c r="V248" s="58"/>
      <c r="W248" s="58"/>
      <c r="X248" s="77"/>
      <c r="Y248" s="74"/>
      <c r="Z248" s="58"/>
    </row>
    <row r="249" spans="1:26">
      <c r="A249" s="112" t="s">
        <v>64</v>
      </c>
      <c r="C249" s="268">
        <f>B244+(B243*F249)</f>
        <v>4.7427672163421536E-3</v>
      </c>
      <c r="D249" s="340">
        <f t="shared" si="18"/>
        <v>-2.8521694925186056E-3</v>
      </c>
      <c r="E249" s="6">
        <v>2</v>
      </c>
      <c r="F249" s="46">
        <v>-23</v>
      </c>
      <c r="G249" s="61">
        <v>7.5949367088607592E-3</v>
      </c>
      <c r="H249" s="19">
        <f>F249-F268</f>
        <v>-4.8888888888888964</v>
      </c>
      <c r="I249" s="63">
        <f>G249-G268</f>
        <v>1.7551093918681598E-3</v>
      </c>
      <c r="J249" s="19">
        <f t="shared" si="19"/>
        <v>-8.5805348046887938E-3</v>
      </c>
      <c r="K249" s="20"/>
      <c r="L249" s="20">
        <f t="shared" si="20"/>
        <v>23.901234567901309</v>
      </c>
      <c r="M249" s="38">
        <f t="shared" si="21"/>
        <v>3.0804089774238219E-6</v>
      </c>
      <c r="N249" s="21"/>
      <c r="Q249" s="75"/>
      <c r="R249" s="76"/>
      <c r="S249" s="41"/>
      <c r="T249" s="41"/>
      <c r="U249" s="41"/>
      <c r="V249" s="58"/>
      <c r="W249" s="58"/>
      <c r="X249" s="77"/>
      <c r="Y249" s="74"/>
      <c r="Z249" s="58"/>
    </row>
    <row r="250" spans="1:26">
      <c r="A250" s="129" t="s">
        <v>65</v>
      </c>
      <c r="C250" s="268">
        <f>B244+(B243*F250)</f>
        <v>8.1087470706105794E-3</v>
      </c>
      <c r="D250" s="340">
        <f t="shared" si="18"/>
        <v>-2.0178352078704335E-3</v>
      </c>
      <c r="E250" s="6">
        <v>3</v>
      </c>
      <c r="F250" s="46">
        <v>-8</v>
      </c>
      <c r="G250" s="61">
        <v>1.0126582278481013E-2</v>
      </c>
      <c r="H250" s="19">
        <f>F250-F268</f>
        <v>10.111111111111104</v>
      </c>
      <c r="I250" s="63">
        <f>G250-G268</f>
        <v>4.2867549614884135E-3</v>
      </c>
      <c r="J250" s="19">
        <f t="shared" si="19"/>
        <v>4.3343855721716146E-2</v>
      </c>
      <c r="K250" s="20"/>
      <c r="L250" s="20">
        <f t="shared" si="20"/>
        <v>102.23456790123441</v>
      </c>
      <c r="M250" s="38">
        <f t="shared" si="21"/>
        <v>1.8376268099845528E-5</v>
      </c>
      <c r="N250" s="21"/>
      <c r="Q250" s="75"/>
      <c r="R250" s="76"/>
      <c r="S250" s="41"/>
      <c r="T250" s="41"/>
      <c r="U250" s="41"/>
      <c r="V250" s="58"/>
      <c r="W250" s="58"/>
      <c r="X250" s="77"/>
      <c r="Y250" s="74"/>
      <c r="Z250" s="58"/>
    </row>
    <row r="251" spans="1:26">
      <c r="A251" s="112" t="s">
        <v>69</v>
      </c>
      <c r="C251" s="268">
        <f>B244+(B243*F251)</f>
        <v>1.8929042730615551E-3</v>
      </c>
      <c r="D251" s="340">
        <f t="shared" si="18"/>
        <v>9.2724255059754975E-5</v>
      </c>
      <c r="E251" s="6">
        <v>4</v>
      </c>
      <c r="F251" s="46">
        <v>-35.699999999999989</v>
      </c>
      <c r="G251" s="61">
        <v>1.8001800180018001E-3</v>
      </c>
      <c r="H251" s="19">
        <f>F251-F268</f>
        <v>-17.588888888888885</v>
      </c>
      <c r="I251" s="63">
        <f>G251-G268</f>
        <v>-4.0396472989907995E-3</v>
      </c>
      <c r="J251" s="19">
        <f t="shared" si="19"/>
        <v>7.1052907492249268E-2</v>
      </c>
      <c r="K251" s="20"/>
      <c r="L251" s="20">
        <f t="shared" si="20"/>
        <v>309.36901234567887</v>
      </c>
      <c r="M251" s="38">
        <f t="shared" si="21"/>
        <v>1.6318750300243663E-5</v>
      </c>
      <c r="N251" s="21"/>
      <c r="Q251" s="75"/>
      <c r="R251" s="76"/>
      <c r="S251" s="41"/>
      <c r="T251" s="41"/>
      <c r="U251" s="41"/>
      <c r="V251" s="58"/>
      <c r="W251" s="58"/>
      <c r="X251" s="77"/>
      <c r="Y251" s="74"/>
      <c r="Z251" s="58"/>
    </row>
    <row r="252" spans="1:26">
      <c r="A252" s="112" t="s">
        <v>70</v>
      </c>
      <c r="C252" s="268">
        <f>B244+(B243*F252)</f>
        <v>3.7778529914518685E-3</v>
      </c>
      <c r="D252" s="340">
        <f t="shared" si="18"/>
        <v>1.0848547867840048E-3</v>
      </c>
      <c r="E252" s="6">
        <v>5</v>
      </c>
      <c r="F252" s="46">
        <v>-27.300000000000011</v>
      </c>
      <c r="G252" s="61">
        <v>2.6929982046678637E-3</v>
      </c>
      <c r="H252" s="19">
        <f>F252-F268</f>
        <v>-9.1888888888889078</v>
      </c>
      <c r="I252" s="63">
        <f>G252-G268</f>
        <v>-3.1468291123247357E-3</v>
      </c>
      <c r="J252" s="19">
        <f t="shared" si="19"/>
        <v>2.8915863065472908E-2</v>
      </c>
      <c r="K252" s="20"/>
      <c r="L252" s="20">
        <f t="shared" si="20"/>
        <v>84.435679012346029</v>
      </c>
      <c r="M252" s="38">
        <f t="shared" si="21"/>
        <v>9.9025334621744838E-6</v>
      </c>
      <c r="N252" s="21"/>
      <c r="Q252" s="75"/>
      <c r="R252" s="76"/>
      <c r="S252" s="41"/>
      <c r="T252" s="41"/>
      <c r="U252" s="41"/>
      <c r="V252" s="58"/>
      <c r="W252" s="58"/>
      <c r="X252" s="77"/>
      <c r="Y252" s="74"/>
      <c r="Z252" s="58"/>
    </row>
    <row r="253" spans="1:26">
      <c r="A253" s="112" t="s">
        <v>71</v>
      </c>
      <c r="C253" s="268">
        <f>B244+(B243*F253)</f>
        <v>5.7076814412324378E-3</v>
      </c>
      <c r="D253" s="340">
        <f t="shared" si="18"/>
        <v>-1.7688530499128238E-3</v>
      </c>
      <c r="E253" s="6">
        <v>6</v>
      </c>
      <c r="F253" s="46">
        <v>-18.699999999999989</v>
      </c>
      <c r="G253" s="61">
        <v>7.4765344911452616E-3</v>
      </c>
      <c r="H253" s="19">
        <f>F253-F268</f>
        <v>-0.58888888888888502</v>
      </c>
      <c r="I253" s="63">
        <f>G253-G268</f>
        <v>1.6367071741526622E-3</v>
      </c>
      <c r="J253" s="19">
        <f t="shared" si="19"/>
        <v>-9.6383866922322811E-4</v>
      </c>
      <c r="K253" s="20"/>
      <c r="L253" s="20">
        <f t="shared" si="20"/>
        <v>0.34679012345678556</v>
      </c>
      <c r="M253" s="38">
        <f t="shared" si="21"/>
        <v>2.6788103739227928E-6</v>
      </c>
      <c r="N253" s="21"/>
      <c r="Q253" s="75"/>
      <c r="R253" s="76"/>
      <c r="S253" s="41"/>
      <c r="T253" s="41"/>
      <c r="U253" s="41"/>
      <c r="V253" s="58"/>
      <c r="W253" s="58"/>
      <c r="X253" s="77"/>
      <c r="Y253" s="74"/>
      <c r="Z253" s="58"/>
    </row>
    <row r="254" spans="1:26">
      <c r="A254" s="112" t="s">
        <v>73</v>
      </c>
      <c r="C254" s="268">
        <f>B244+(B243*F254)</f>
        <v>5.3037638587202247E-3</v>
      </c>
      <c r="D254" s="340">
        <f t="shared" si="18"/>
        <v>-1.1362902807946442E-2</v>
      </c>
      <c r="E254" s="6">
        <v>7</v>
      </c>
      <c r="F254" s="46">
        <v>-20.5</v>
      </c>
      <c r="G254" s="61">
        <v>1.6666666666666666E-2</v>
      </c>
      <c r="H254" s="19">
        <f>F254-F268</f>
        <v>-2.3888888888888964</v>
      </c>
      <c r="I254" s="63">
        <f>G254-G268</f>
        <v>1.0826839349674067E-2</v>
      </c>
      <c r="J254" s="19">
        <f t="shared" si="19"/>
        <v>-2.5864116224221464E-2</v>
      </c>
      <c r="K254" s="20"/>
      <c r="L254" s="20">
        <f t="shared" si="20"/>
        <v>5.7067901234568259</v>
      </c>
      <c r="M254" s="38">
        <f t="shared" si="21"/>
        <v>1.1722045030365078E-4</v>
      </c>
      <c r="N254" s="21"/>
      <c r="Q254" s="75"/>
      <c r="R254" s="76"/>
      <c r="S254" s="41"/>
      <c r="T254" s="41"/>
      <c r="U254" s="41"/>
      <c r="V254" s="58"/>
      <c r="W254" s="58"/>
      <c r="X254" s="77"/>
      <c r="Y254" s="74"/>
      <c r="Z254" s="58"/>
    </row>
    <row r="255" spans="1:26" ht="14.25" customHeight="1">
      <c r="A255" s="112" t="s">
        <v>77</v>
      </c>
      <c r="C255" s="268">
        <f>B244+(B243*F255)</f>
        <v>5.819880769708052E-3</v>
      </c>
      <c r="D255" s="340">
        <f t="shared" si="18"/>
        <v>1.7543816444460895E-3</v>
      </c>
      <c r="E255" s="6">
        <v>8</v>
      </c>
      <c r="F255" s="46">
        <v>-18.199999999999989</v>
      </c>
      <c r="G255" s="61">
        <v>4.0654991252619625E-3</v>
      </c>
      <c r="H255" s="19">
        <f>F255-F268</f>
        <v>-8.888888888888502E-2</v>
      </c>
      <c r="I255" s="63">
        <f>G255-G268</f>
        <v>-1.7743281917306369E-3</v>
      </c>
      <c r="J255" s="19">
        <f t="shared" si="19"/>
        <v>1.5771806148716087E-4</v>
      </c>
      <c r="K255" s="20"/>
      <c r="L255" s="20">
        <f t="shared" si="20"/>
        <v>7.9012345679005461E-3</v>
      </c>
      <c r="M255" s="38">
        <f t="shared" si="21"/>
        <v>3.1482405319701119E-6</v>
      </c>
      <c r="N255" s="21"/>
      <c r="Y255" s="74"/>
      <c r="Z255" s="58"/>
    </row>
    <row r="256" spans="1:26">
      <c r="A256" s="112" t="s">
        <v>78</v>
      </c>
      <c r="C256" s="268">
        <f>B244+(B243*F256)</f>
        <v>6.3808774120861231E-3</v>
      </c>
      <c r="D256" s="340">
        <f t="shared" si="18"/>
        <v>6.3808774120861231E-3</v>
      </c>
      <c r="E256" s="6">
        <v>9</v>
      </c>
      <c r="F256" s="46">
        <v>-15.699999999999989</v>
      </c>
      <c r="G256" s="61">
        <v>0</v>
      </c>
      <c r="H256" s="19">
        <f>F256-F268</f>
        <v>2.411111111111115</v>
      </c>
      <c r="I256" s="63">
        <f>G256-G268</f>
        <v>-5.8398273169925994E-3</v>
      </c>
      <c r="J256" s="19">
        <f t="shared" si="19"/>
        <v>-1.4080472530971068E-2</v>
      </c>
      <c r="K256" s="20"/>
      <c r="L256" s="20">
        <f t="shared" si="20"/>
        <v>5.8134567901234755</v>
      </c>
      <c r="M256" s="38">
        <f t="shared" si="21"/>
        <v>3.4103583092292984E-5</v>
      </c>
      <c r="N256" s="21"/>
      <c r="Y256" s="74"/>
      <c r="Z256" s="58"/>
    </row>
    <row r="257" spans="1:26">
      <c r="A257" s="112" t="s">
        <v>62</v>
      </c>
      <c r="C257" s="268">
        <f>B244+(B243*F257)</f>
        <v>3.755413125756747E-3</v>
      </c>
      <c r="D257" s="340">
        <f t="shared" si="18"/>
        <v>3.0202178578936025E-3</v>
      </c>
      <c r="E257" s="6">
        <v>10</v>
      </c>
      <c r="F257" s="47">
        <v>-27.400000000000006</v>
      </c>
      <c r="G257" s="62">
        <v>7.3519526786314454E-4</v>
      </c>
      <c r="H257" s="19">
        <f>F257-F268</f>
        <v>-9.2888888888889021</v>
      </c>
      <c r="I257" s="63">
        <f>G257-G268</f>
        <v>-5.1046320491294553E-3</v>
      </c>
      <c r="J257" s="19">
        <f t="shared" si="19"/>
        <v>4.7416359923024787E-2</v>
      </c>
      <c r="K257" s="20"/>
      <c r="L257" s="20">
        <f t="shared" si="20"/>
        <v>86.283456790123708</v>
      </c>
      <c r="M257" s="38">
        <f t="shared" si="21"/>
        <v>2.6057268356999581E-5</v>
      </c>
      <c r="N257" s="21"/>
      <c r="Y257" s="74"/>
      <c r="Z257" s="58"/>
    </row>
    <row r="258" spans="1:26">
      <c r="A258" s="112" t="s">
        <v>64</v>
      </c>
      <c r="C258" s="268">
        <f>B244+(B243*F258)</f>
        <v>6.0891591580495234E-3</v>
      </c>
      <c r="D258" s="340">
        <f t="shared" si="18"/>
        <v>-1.6361627303624936E-3</v>
      </c>
      <c r="E258" s="6">
        <v>11</v>
      </c>
      <c r="F258" s="47">
        <v>-17</v>
      </c>
      <c r="G258" s="62">
        <v>7.725321888412017E-3</v>
      </c>
      <c r="H258" s="19">
        <f>F258-F268</f>
        <v>1.1111111111111036</v>
      </c>
      <c r="I258" s="63">
        <f>G258-G268</f>
        <v>1.8854945714194176E-3</v>
      </c>
      <c r="J258" s="19">
        <f t="shared" si="19"/>
        <v>2.0949939682437832E-3</v>
      </c>
      <c r="K258" s="20"/>
      <c r="L258" s="20">
        <f t="shared" si="20"/>
        <v>1.2345679012345512</v>
      </c>
      <c r="M258" s="38">
        <f t="shared" si="21"/>
        <v>3.5550897788520932E-6</v>
      </c>
      <c r="N258" s="21"/>
      <c r="Q258" s="41"/>
      <c r="R258" s="80"/>
      <c r="S258" s="41"/>
      <c r="T258" s="41"/>
      <c r="U258" s="41"/>
      <c r="V258" s="58"/>
      <c r="W258" s="58"/>
      <c r="X258" s="77"/>
      <c r="Y258" s="74"/>
      <c r="Z258" s="58"/>
    </row>
    <row r="259" spans="1:26">
      <c r="A259" s="129" t="s">
        <v>65</v>
      </c>
      <c r="C259" s="268">
        <f>B244+(B243*F259)</f>
        <v>1.0128334983171635E-2</v>
      </c>
      <c r="D259" s="340">
        <f t="shared" si="18"/>
        <v>1.0748370407848047E-3</v>
      </c>
      <c r="E259" s="6">
        <v>12</v>
      </c>
      <c r="F259" s="47">
        <v>1</v>
      </c>
      <c r="G259" s="62">
        <v>9.0534979423868307E-3</v>
      </c>
      <c r="H259" s="19">
        <f>F259-F268</f>
        <v>19.111111111111104</v>
      </c>
      <c r="I259" s="63">
        <f>G259-G268</f>
        <v>3.2136706253942313E-3</v>
      </c>
      <c r="J259" s="19">
        <f t="shared" si="19"/>
        <v>6.141681639642306E-2</v>
      </c>
      <c r="K259" s="20"/>
      <c r="L259" s="20">
        <f t="shared" si="20"/>
        <v>365.2345679012343</v>
      </c>
      <c r="M259" s="38">
        <f t="shared" si="21"/>
        <v>1.032767888852175E-5</v>
      </c>
      <c r="N259" s="21"/>
      <c r="Q259" s="41"/>
      <c r="R259" s="80"/>
      <c r="S259" s="41"/>
      <c r="T259" s="41"/>
      <c r="U259" s="41"/>
      <c r="V259" s="58"/>
      <c r="W259" s="58"/>
      <c r="X259" s="77"/>
      <c r="Y259" s="74"/>
      <c r="Z259" s="58"/>
    </row>
    <row r="260" spans="1:26">
      <c r="A260" s="112" t="s">
        <v>69</v>
      </c>
      <c r="C260" s="268">
        <f>B244+(B243*F260)</f>
        <v>4.0695712454884682E-3</v>
      </c>
      <c r="D260" s="340">
        <f t="shared" si="18"/>
        <v>2.4829891965310793E-3</v>
      </c>
      <c r="E260" s="6">
        <v>13</v>
      </c>
      <c r="F260" s="47">
        <v>-26</v>
      </c>
      <c r="G260" s="62">
        <v>1.5865820489573889E-3</v>
      </c>
      <c r="H260" s="19">
        <f>F260-F268</f>
        <v>-7.8888888888888964</v>
      </c>
      <c r="I260" s="63">
        <f>G260-G268</f>
        <v>-4.2532452680352105E-3</v>
      </c>
      <c r="J260" s="19">
        <f t="shared" si="19"/>
        <v>3.3553379336722249E-2</v>
      </c>
      <c r="K260" s="20"/>
      <c r="L260" s="20">
        <f t="shared" si="20"/>
        <v>62.234567901234684</v>
      </c>
      <c r="M260" s="38">
        <f t="shared" si="21"/>
        <v>1.8090095310063909E-5</v>
      </c>
      <c r="N260" s="21"/>
      <c r="Q260" s="41"/>
      <c r="R260" s="41"/>
      <c r="S260" s="41"/>
      <c r="T260" s="41"/>
      <c r="U260" s="41"/>
      <c r="V260" s="58"/>
      <c r="W260" s="58"/>
      <c r="X260" s="77"/>
      <c r="Y260" s="74"/>
      <c r="Z260" s="58"/>
    </row>
    <row r="261" spans="1:26">
      <c r="A261" s="112" t="s">
        <v>70</v>
      </c>
      <c r="C261" s="268">
        <f>B244+(B243*F261)</f>
        <v>4.1817705739640824E-3</v>
      </c>
      <c r="D261" s="340">
        <f t="shared" si="18"/>
        <v>-2.1473433500865504E-3</v>
      </c>
      <c r="E261" s="6">
        <v>14</v>
      </c>
      <c r="F261" s="47">
        <v>-25.5</v>
      </c>
      <c r="G261" s="62">
        <v>6.3291139240506328E-3</v>
      </c>
      <c r="H261" s="19">
        <f>F261-F268</f>
        <v>-7.3888888888888964</v>
      </c>
      <c r="I261" s="63">
        <f>G261-G268</f>
        <v>4.8928660705803342E-4</v>
      </c>
      <c r="J261" s="19">
        <f t="shared" si="19"/>
        <v>-3.6152843743732506E-3</v>
      </c>
      <c r="K261" s="20"/>
      <c r="L261" s="20">
        <f t="shared" si="20"/>
        <v>54.595679012345791</v>
      </c>
      <c r="M261" s="38">
        <f t="shared" si="21"/>
        <v>2.3940138384636239E-7</v>
      </c>
      <c r="N261" s="21"/>
      <c r="Q261" s="41"/>
      <c r="R261" s="41"/>
      <c r="S261" s="41"/>
      <c r="T261" s="41"/>
      <c r="U261" s="41"/>
      <c r="V261" s="58"/>
      <c r="W261" s="58"/>
      <c r="X261" s="77"/>
      <c r="Y261" s="74"/>
      <c r="Z261" s="58"/>
    </row>
    <row r="262" spans="1:26" ht="14.25" customHeight="1">
      <c r="A262" s="112" t="s">
        <v>71</v>
      </c>
      <c r="C262" s="268">
        <f>B244+(B243*F262)</f>
        <v>8.6248639815984067E-3</v>
      </c>
      <c r="D262" s="340">
        <f t="shared" si="18"/>
        <v>5.4855180521174926E-4</v>
      </c>
      <c r="E262" s="6">
        <v>15</v>
      </c>
      <c r="F262" s="47">
        <v>-5.6999999999999886</v>
      </c>
      <c r="G262" s="62">
        <v>8.0763121763866574E-3</v>
      </c>
      <c r="H262" s="19">
        <f>F262-F268</f>
        <v>12.411111111111115</v>
      </c>
      <c r="I262" s="63">
        <f>G262-G268</f>
        <v>2.236484859394058E-3</v>
      </c>
      <c r="J262" s="19">
        <f t="shared" si="19"/>
        <v>2.7757262088257375E-2</v>
      </c>
      <c r="K262" s="20"/>
      <c r="L262" s="20">
        <f t="shared" si="20"/>
        <v>154.03567901234578</v>
      </c>
      <c r="M262" s="38">
        <f t="shared" si="21"/>
        <v>5.0018645262988593E-6</v>
      </c>
      <c r="N262" s="21"/>
      <c r="P262" s="271" t="s">
        <v>56</v>
      </c>
      <c r="Q262" s="272"/>
      <c r="R262" s="272"/>
      <c r="S262" s="272"/>
      <c r="T262" s="272"/>
      <c r="U262" s="272"/>
      <c r="V262" s="272"/>
      <c r="W262" s="272"/>
      <c r="X262" s="273"/>
      <c r="Y262" s="74"/>
      <c r="Z262" s="58"/>
    </row>
    <row r="263" spans="1:26">
      <c r="A263" s="112" t="s">
        <v>73</v>
      </c>
      <c r="C263" s="268">
        <f>B244+(B243*F263)</f>
        <v>7.7721490851837376E-3</v>
      </c>
      <c r="D263" s="340">
        <f t="shared" si="18"/>
        <v>-6.0665994106044695E-3</v>
      </c>
      <c r="E263" s="6">
        <v>16</v>
      </c>
      <c r="F263" s="47">
        <v>-9.5</v>
      </c>
      <c r="G263" s="62">
        <v>1.3838748495788207E-2</v>
      </c>
      <c r="H263" s="19">
        <f>F263-F268</f>
        <v>8.6111111111111036</v>
      </c>
      <c r="I263" s="63">
        <f>G263-G268</f>
        <v>7.9989211787956076E-3</v>
      </c>
      <c r="J263" s="19">
        <f t="shared" si="19"/>
        <v>6.8879599039628786E-2</v>
      </c>
      <c r="K263" s="20"/>
      <c r="L263" s="20">
        <f t="shared" si="20"/>
        <v>74.151234567901099</v>
      </c>
      <c r="M263" s="38">
        <f t="shared" si="21"/>
        <v>6.3982740024584917E-5</v>
      </c>
      <c r="N263" s="21"/>
      <c r="P263" s="274"/>
      <c r="Q263" s="275"/>
      <c r="R263" s="275"/>
      <c r="S263" s="275"/>
      <c r="T263" s="275"/>
      <c r="U263" s="275"/>
      <c r="V263" s="275"/>
      <c r="W263" s="275"/>
      <c r="X263" s="276"/>
      <c r="Y263" s="74"/>
      <c r="Z263" s="58"/>
    </row>
    <row r="264" spans="1:26">
      <c r="A264" s="112" t="s">
        <v>77</v>
      </c>
      <c r="C264" s="268">
        <f>B244+(B243*F264)</f>
        <v>8.7595031757691441E-3</v>
      </c>
      <c r="D264" s="340">
        <f t="shared" si="18"/>
        <v>2.2092476503010952E-3</v>
      </c>
      <c r="E264" s="6">
        <v>17</v>
      </c>
      <c r="F264" s="47">
        <v>-5.0999999999999943</v>
      </c>
      <c r="G264" s="62">
        <v>6.5502555254680489E-3</v>
      </c>
      <c r="H264" s="19">
        <f>F264-F268</f>
        <v>13.011111111111109</v>
      </c>
      <c r="I264" s="63">
        <f>G264-G268</f>
        <v>7.104282084754495E-4</v>
      </c>
      <c r="J264" s="19">
        <f t="shared" si="19"/>
        <v>9.2434603569416813E-3</v>
      </c>
      <c r="K264" s="20"/>
      <c r="L264" s="20">
        <f t="shared" si="20"/>
        <v>169.28901234567897</v>
      </c>
      <c r="M264" s="38">
        <f t="shared" si="21"/>
        <v>5.0470823939763669E-7</v>
      </c>
      <c r="N264" s="21"/>
      <c r="P264" s="274"/>
      <c r="Q264" s="275"/>
      <c r="R264" s="275"/>
      <c r="S264" s="275"/>
      <c r="T264" s="275"/>
      <c r="U264" s="275"/>
      <c r="V264" s="275"/>
      <c r="W264" s="275"/>
      <c r="X264" s="276"/>
      <c r="Y264" s="74"/>
      <c r="Z264" s="58"/>
    </row>
    <row r="265" spans="1:26">
      <c r="A265" s="112" t="s">
        <v>78</v>
      </c>
      <c r="C265" s="268">
        <f>B244+(B243*F265)</f>
        <v>6.8969943230739444E-3</v>
      </c>
      <c r="D265" s="340">
        <f t="shared" si="18"/>
        <v>6.8969943230739444E-3</v>
      </c>
      <c r="E265" s="6">
        <v>18</v>
      </c>
      <c r="F265" s="47">
        <v>-13.400000000000006</v>
      </c>
      <c r="G265" s="62">
        <v>0</v>
      </c>
      <c r="H265" s="19">
        <f>F265-F268</f>
        <v>4.7111111111110979</v>
      </c>
      <c r="I265" s="63">
        <f>G265-G268</f>
        <v>-5.8398273169925994E-3</v>
      </c>
      <c r="J265" s="19">
        <f t="shared" si="19"/>
        <v>-2.7512075360053945E-2</v>
      </c>
      <c r="K265" s="20"/>
      <c r="L265" s="20">
        <f t="shared" si="20"/>
        <v>22.194567901234443</v>
      </c>
      <c r="M265" s="38">
        <f t="shared" si="21"/>
        <v>3.4103583092292984E-5</v>
      </c>
      <c r="N265" s="21"/>
      <c r="P265" s="277"/>
      <c r="Q265" s="278"/>
      <c r="R265" s="278"/>
      <c r="S265" s="278"/>
      <c r="T265" s="278"/>
      <c r="U265" s="278"/>
      <c r="V265" s="278"/>
      <c r="W265" s="278"/>
      <c r="X265" s="279"/>
      <c r="Y265" s="74"/>
      <c r="Z265" s="58"/>
    </row>
    <row r="266" spans="1:26" ht="12.75">
      <c r="C266" s="340"/>
      <c r="D266" s="340"/>
      <c r="E266" s="6"/>
      <c r="F266" s="91"/>
      <c r="G266" s="92"/>
      <c r="H266" s="65"/>
      <c r="J266" s="60"/>
      <c r="K266" s="6"/>
      <c r="L266" s="6"/>
      <c r="M266" s="18"/>
      <c r="N266" s="6"/>
      <c r="Q266" s="41"/>
      <c r="R266" s="83"/>
      <c r="S266" s="41"/>
      <c r="T266" s="41"/>
      <c r="U266" s="41"/>
      <c r="V266" s="58"/>
      <c r="W266" s="58"/>
      <c r="X266" s="77"/>
      <c r="Y266" s="74"/>
      <c r="Z266" s="58"/>
    </row>
    <row r="267" spans="1:26" ht="13.5" thickBot="1">
      <c r="B267" s="2" t="s">
        <v>16</v>
      </c>
      <c r="C267" s="340"/>
      <c r="D267" s="340"/>
      <c r="M267" s="18"/>
      <c r="N267" s="6"/>
      <c r="Q267" s="41"/>
      <c r="R267" s="41"/>
      <c r="S267" s="41"/>
      <c r="T267" s="41"/>
      <c r="U267" s="41"/>
      <c r="V267" s="58"/>
      <c r="W267" s="58"/>
      <c r="X267" s="77"/>
      <c r="Y267" s="74"/>
      <c r="Z267" s="58"/>
    </row>
    <row r="268" spans="1:26" ht="13.5" thickBot="1">
      <c r="B268" s="2" t="s">
        <v>0</v>
      </c>
      <c r="C268" s="340">
        <f>AVERAGE(C248:C265)</f>
        <v>5.8398273169926046E-3</v>
      </c>
      <c r="D268" s="340">
        <f>AVERAGE(D248:D265)</f>
        <v>3.9513145841693938E-18</v>
      </c>
      <c r="F268" s="18">
        <f>AVERAGE(F248:F265)</f>
        <v>-18.111111111111104</v>
      </c>
      <c r="G268" s="64">
        <f>AVERAGE(G248:G265)</f>
        <v>5.8398273169925994E-3</v>
      </c>
      <c r="H268" s="19">
        <f>AVERAGE(H248:H265)</f>
        <v>-7.1054273576010019E-15</v>
      </c>
      <c r="I268" s="19">
        <f>AVERAGE(I248:I265)</f>
        <v>0</v>
      </c>
      <c r="J268" s="59">
        <f>SUM(J248:J265)</f>
        <v>0.37466447492836763</v>
      </c>
      <c r="K268" s="27" t="s">
        <v>16</v>
      </c>
      <c r="L268" s="28">
        <f>SUM(L248:L265)</f>
        <v>1669.6377777777784</v>
      </c>
      <c r="M268" s="28">
        <f>SUM(M248:M265)</f>
        <v>3.9210678915812093E-4</v>
      </c>
      <c r="N268" s="28">
        <f>M268*L268</f>
        <v>0.65467630810154498</v>
      </c>
      <c r="Q268" s="41"/>
      <c r="R268" s="41"/>
      <c r="S268" s="41"/>
      <c r="T268" s="82"/>
      <c r="U268" s="84"/>
      <c r="V268" s="85"/>
      <c r="W268" s="86"/>
      <c r="X268" s="77"/>
      <c r="Y268" s="74"/>
      <c r="Z268" s="87"/>
    </row>
    <row r="269" spans="1:26" ht="15" thickBot="1">
      <c r="B269" s="15" t="s">
        <v>17</v>
      </c>
      <c r="C269" s="29">
        <f>STDEVA(C248:C265)</f>
        <v>2.2238573401830533E-3</v>
      </c>
      <c r="D269" s="29">
        <f>STDEVA(D248:D265)</f>
        <v>4.2567080913669996E-3</v>
      </c>
      <c r="E269" s="15"/>
      <c r="F269" s="30">
        <f>STDEVA(F248:F265)</f>
        <v>9.910297015130519</v>
      </c>
      <c r="G269" s="29">
        <f>STDEVA(G248:G265)</f>
        <v>4.8026144176474697E-3</v>
      </c>
      <c r="H269" s="30">
        <f>STDEVA(H248:H265)</f>
        <v>9.9102970151305065</v>
      </c>
      <c r="I269" s="30">
        <f>STDEVA(I248:I265)</f>
        <v>4.8026144176474706E-3</v>
      </c>
      <c r="J269" s="31" t="s">
        <v>16</v>
      </c>
      <c r="K269" s="32"/>
      <c r="L269" s="33"/>
      <c r="M269" s="33"/>
      <c r="N269" s="34"/>
      <c r="Q269" s="41"/>
      <c r="R269" s="41"/>
      <c r="S269" s="41"/>
      <c r="T269" s="41"/>
      <c r="U269" s="84"/>
      <c r="V269" s="85"/>
      <c r="W269" s="85"/>
      <c r="X269" s="88"/>
      <c r="Y269" s="89"/>
      <c r="Z269" s="41"/>
    </row>
    <row r="270" spans="1:26" ht="15.75">
      <c r="B270" s="15" t="s">
        <v>18</v>
      </c>
      <c r="C270" s="35">
        <f>C269^2</f>
        <v>4.9455414694860443E-6</v>
      </c>
      <c r="D270" s="35">
        <f>D269^2</f>
        <v>1.8119563775109283E-5</v>
      </c>
      <c r="E270" s="15"/>
      <c r="F270" s="30">
        <f>F269^2</f>
        <v>98.213986928104873</v>
      </c>
      <c r="G270" s="35">
        <f>G269^2</f>
        <v>2.3065105244595343E-5</v>
      </c>
      <c r="H270" s="30">
        <f>H269^2</f>
        <v>98.213986928104632</v>
      </c>
      <c r="I270" s="30">
        <f>I269^2</f>
        <v>2.3065105244595354E-5</v>
      </c>
      <c r="J270" s="33"/>
      <c r="K270" s="27"/>
      <c r="L270" s="33"/>
      <c r="M270" s="33"/>
      <c r="N270" s="34"/>
      <c r="Q270" s="41"/>
      <c r="R270" s="41"/>
      <c r="S270" s="41"/>
      <c r="T270" s="41"/>
      <c r="U270" s="84"/>
      <c r="V270" s="85"/>
      <c r="W270" s="85"/>
      <c r="X270" s="41"/>
      <c r="Y270" s="41"/>
      <c r="Z270" s="41"/>
    </row>
    <row r="271" spans="1:26">
      <c r="B271" s="2" t="s">
        <v>19</v>
      </c>
      <c r="C271" s="30">
        <f>COUNT(C248:C265)</f>
        <v>18</v>
      </c>
      <c r="D271" s="30">
        <f>COUNT(D248:D265)</f>
        <v>18</v>
      </c>
      <c r="F271" s="30">
        <f>COUNT(F248:F265)</f>
        <v>18</v>
      </c>
      <c r="G271" s="30">
        <f>COUNT(G248:G265)</f>
        <v>18</v>
      </c>
      <c r="I271" s="27"/>
      <c r="J271" s="33"/>
      <c r="K271" s="27"/>
      <c r="L271" s="33"/>
      <c r="M271" s="33"/>
      <c r="N271" s="34"/>
      <c r="Q271" s="41"/>
      <c r="R271" s="41"/>
      <c r="S271" s="41"/>
      <c r="T271" s="41"/>
      <c r="U271" s="41"/>
      <c r="V271" s="41"/>
      <c r="W271" s="41"/>
      <c r="X271" s="41"/>
      <c r="Y271" s="41"/>
      <c r="Z271" s="41"/>
    </row>
    <row r="272" spans="1:26">
      <c r="B272" s="36" t="s">
        <v>20</v>
      </c>
      <c r="C272" s="37">
        <f>C268/C269</f>
        <v>2.6259900810507513</v>
      </c>
      <c r="D272" s="37">
        <f>D268/D269</f>
        <v>9.2825594317426364E-16</v>
      </c>
      <c r="E272" s="36"/>
      <c r="F272" s="37">
        <f>F268/F269</f>
        <v>-1.8275043708034193</v>
      </c>
      <c r="G272" s="37">
        <f>G268/G269</f>
        <v>1.2159683891202746</v>
      </c>
      <c r="I272" s="27"/>
      <c r="J272" s="36"/>
      <c r="Q272" s="41"/>
      <c r="R272" s="41"/>
      <c r="S272" s="41"/>
      <c r="T272" s="41"/>
      <c r="U272" s="41"/>
      <c r="V272" s="41"/>
      <c r="W272" s="41"/>
      <c r="X272" s="41"/>
      <c r="Y272" s="41"/>
      <c r="Z272" s="41"/>
    </row>
    <row r="273" spans="1:26">
      <c r="B273" s="36"/>
      <c r="C273" s="37"/>
      <c r="D273" s="36"/>
      <c r="E273" s="36"/>
      <c r="F273" s="37"/>
      <c r="G273" s="37"/>
      <c r="I273" s="27"/>
      <c r="J273" s="36"/>
      <c r="Q273" s="41"/>
      <c r="R273" s="41"/>
      <c r="S273" s="41"/>
      <c r="T273" s="41"/>
      <c r="U273" s="41"/>
      <c r="V273" s="41"/>
      <c r="W273" s="41"/>
      <c r="X273" s="41"/>
      <c r="Y273" s="41"/>
      <c r="Z273" s="41"/>
    </row>
    <row r="274" spans="1:26">
      <c r="B274" s="36"/>
      <c r="C274" s="37"/>
      <c r="D274" s="36"/>
      <c r="E274" s="36"/>
      <c r="F274" s="37"/>
      <c r="G274" s="48" t="s">
        <v>21</v>
      </c>
      <c r="I274" s="49" t="s">
        <v>22</v>
      </c>
      <c r="J274" s="36"/>
    </row>
    <row r="275" spans="1:26" ht="15.75">
      <c r="A275" s="2" t="s">
        <v>23</v>
      </c>
      <c r="C275" s="37"/>
      <c r="D275" s="36"/>
      <c r="E275" s="36"/>
      <c r="G275" s="24">
        <f>B245*(SQRT((C271-2)/(1-B246)))</f>
        <v>2.0897438043198182</v>
      </c>
      <c r="H275" s="40"/>
      <c r="I275" s="42">
        <f>TDIST(ABS(G275),8,2)</f>
        <v>7.0045973760151495E-2</v>
      </c>
      <c r="J275" s="50" t="s">
        <v>57</v>
      </c>
      <c r="N275" s="2"/>
      <c r="O275" s="41"/>
      <c r="P275" s="43"/>
    </row>
    <row r="276" spans="1:26" ht="15.75">
      <c r="A276" s="2" t="s">
        <v>24</v>
      </c>
      <c r="C276" s="37"/>
      <c r="D276" s="36"/>
      <c r="E276" s="36"/>
      <c r="G276" s="24">
        <f>B243/((G269/F269)*SQRT((1-B246)/(G271-2)))</f>
        <v>2.0897438043198182</v>
      </c>
      <c r="H276" s="36"/>
      <c r="I276" s="42">
        <f>TDIST(ABS(G276),8,2)</f>
        <v>7.0045973760151495E-2</v>
      </c>
      <c r="J276" s="36"/>
      <c r="K276" s="36"/>
      <c r="N276" s="2"/>
      <c r="O276" s="36"/>
      <c r="P276" s="43"/>
    </row>
    <row r="277" spans="1:26" ht="12.75">
      <c r="C277" s="37"/>
      <c r="D277" s="36"/>
      <c r="E277" s="36"/>
      <c r="J277" s="36"/>
      <c r="K277" s="36"/>
      <c r="N277" s="2"/>
      <c r="O277" s="36"/>
      <c r="P277" s="43"/>
    </row>
    <row r="278" spans="1:26" ht="15.75">
      <c r="A278" s="2" t="s">
        <v>25</v>
      </c>
      <c r="B278" s="37"/>
      <c r="D278" s="38"/>
      <c r="E278" s="56">
        <f>Q278*((G269/F269)*SQRT((1-B245^2)/(G271-2)))</f>
        <v>2.2763742666717776E-4</v>
      </c>
      <c r="F278" s="51" t="s">
        <v>26</v>
      </c>
      <c r="G278" s="98">
        <f>B243-E278</f>
        <v>-3.2387697159493424E-6</v>
      </c>
      <c r="H278" s="51" t="s">
        <v>27</v>
      </c>
      <c r="I278" s="98">
        <f>B243+E278</f>
        <v>4.5203608361840621E-4</v>
      </c>
      <c r="K278" s="51" t="s">
        <v>28</v>
      </c>
      <c r="L278" s="52">
        <v>0.95</v>
      </c>
      <c r="M278" s="51" t="s">
        <v>29</v>
      </c>
      <c r="N278" s="53">
        <f>C271-2</f>
        <v>16</v>
      </c>
      <c r="P278" s="54" t="s">
        <v>30</v>
      </c>
      <c r="Q278" s="55">
        <f>TINV((1-L278),N278)</f>
        <v>2.119905299221255</v>
      </c>
    </row>
    <row r="283" spans="1:26">
      <c r="A283" s="16" t="s">
        <v>13</v>
      </c>
      <c r="B283" s="17">
        <f>J301/L301</f>
        <v>8.2624861021576314E-4</v>
      </c>
      <c r="D283" s="94"/>
      <c r="E283" s="95"/>
      <c r="F283" s="93" t="str">
        <f>F288</f>
        <v>X = Dif PAS [desp vs antes]</v>
      </c>
      <c r="G283" s="95"/>
      <c r="H283" s="15"/>
      <c r="I283" s="96" t="str">
        <f>G288</f>
        <v>Y = EnfRenTerm /año</v>
      </c>
      <c r="M283" s="4"/>
    </row>
    <row r="284" spans="1:26">
      <c r="A284" s="22" t="s">
        <v>14</v>
      </c>
      <c r="B284" s="23">
        <f>B286*G302/F302</f>
        <v>8.2624861021576314E-4</v>
      </c>
      <c r="D284" s="97" t="s">
        <v>37</v>
      </c>
      <c r="E284" s="128">
        <v>-1</v>
      </c>
      <c r="F284" s="93" t="s">
        <v>33</v>
      </c>
      <c r="G284" s="15" t="s">
        <v>36</v>
      </c>
      <c r="H284" s="15"/>
      <c r="I284" s="96" t="s">
        <v>166</v>
      </c>
      <c r="J284" s="126">
        <f>E284*B284</f>
        <v>-8.2624861021576314E-4</v>
      </c>
      <c r="K284" s="6" t="s">
        <v>35</v>
      </c>
      <c r="L284" s="126">
        <f>E284*G311</f>
        <v>3.5431346099342887E-3</v>
      </c>
      <c r="M284" s="6" t="s">
        <v>34</v>
      </c>
      <c r="N284" s="126">
        <f>E284*I311</f>
        <v>-5.1956318303658152E-3</v>
      </c>
    </row>
    <row r="285" spans="1:26">
      <c r="A285" s="16" t="s">
        <v>15</v>
      </c>
      <c r="B285" s="17">
        <f>G301-(F301*B283)</f>
        <v>6.1687155628627234E-2</v>
      </c>
      <c r="M285" s="4"/>
    </row>
    <row r="286" spans="1:26">
      <c r="A286" s="25" t="s">
        <v>31</v>
      </c>
      <c r="B286" s="24">
        <f>J301/SQRT(N301)</f>
        <v>0.15237183605941015</v>
      </c>
      <c r="M286" s="4"/>
    </row>
    <row r="287" spans="1:26" ht="26.25" customHeight="1" thickBot="1">
      <c r="A287" s="108" t="s">
        <v>32</v>
      </c>
      <c r="B287" s="109">
        <f>B286^2</f>
        <v>2.3217176424115766E-2</v>
      </c>
      <c r="C287" s="110">
        <f>1-B287</f>
        <v>0.9767828235758842</v>
      </c>
      <c r="F287" s="7"/>
      <c r="G287" s="8"/>
      <c r="H287" s="269" t="s">
        <v>1</v>
      </c>
      <c r="I287" s="270"/>
      <c r="J287" s="9" t="s">
        <v>2</v>
      </c>
      <c r="K287" s="10"/>
      <c r="L287" s="9" t="s">
        <v>3</v>
      </c>
      <c r="M287" s="9" t="s">
        <v>4</v>
      </c>
      <c r="N287" s="9" t="s">
        <v>5</v>
      </c>
      <c r="Q287" s="41"/>
      <c r="R287" s="41"/>
      <c r="S287" s="41"/>
      <c r="T287" s="41"/>
      <c r="U287" s="43"/>
      <c r="V287" s="68"/>
      <c r="W287" s="68"/>
      <c r="X287" s="41"/>
      <c r="Y287" s="41"/>
      <c r="Z287" s="69"/>
    </row>
    <row r="288" spans="1:26" ht="37.5" customHeight="1" thickBot="1">
      <c r="A288" s="113" t="s">
        <v>46</v>
      </c>
      <c r="C288" s="11" t="s">
        <v>174</v>
      </c>
      <c r="D288" s="12" t="s">
        <v>6</v>
      </c>
      <c r="E288" s="12" t="s">
        <v>39</v>
      </c>
      <c r="F288" s="44" t="s">
        <v>189</v>
      </c>
      <c r="G288" s="45" t="s">
        <v>187</v>
      </c>
      <c r="H288" s="13" t="s">
        <v>7</v>
      </c>
      <c r="I288" s="14" t="s">
        <v>8</v>
      </c>
      <c r="J288" s="14" t="s">
        <v>9</v>
      </c>
      <c r="L288" s="14" t="s">
        <v>10</v>
      </c>
      <c r="M288" s="14" t="s">
        <v>11</v>
      </c>
      <c r="N288" s="14" t="s">
        <v>12</v>
      </c>
      <c r="Q288" s="41"/>
      <c r="R288" s="41"/>
      <c r="S288" s="70"/>
      <c r="T288" s="71"/>
      <c r="U288" s="41"/>
      <c r="V288" s="105"/>
      <c r="W288" s="105"/>
      <c r="X288" s="73"/>
      <c r="Y288" s="74"/>
      <c r="Z288" s="105"/>
    </row>
    <row r="289" spans="1:26">
      <c r="A289" s="112" t="s">
        <v>61</v>
      </c>
      <c r="C289" s="268">
        <f>B285+(B284*F289)</f>
        <v>6.994964173078487E-2</v>
      </c>
      <c r="D289" s="340">
        <f>C289-G289</f>
        <v>2.1640462986823518E-2</v>
      </c>
      <c r="E289" s="6">
        <v>1</v>
      </c>
      <c r="F289" s="46">
        <v>10</v>
      </c>
      <c r="G289" s="61">
        <v>4.8309178743961352E-2</v>
      </c>
      <c r="H289" s="19">
        <f>F289-F301</f>
        <v>13.409999999999993</v>
      </c>
      <c r="I289" s="63">
        <f>G289-G301</f>
        <v>-1.0560469123830137E-2</v>
      </c>
      <c r="J289" s="19">
        <f>H289*I289</f>
        <v>-0.14161589095056207</v>
      </c>
      <c r="K289" s="20"/>
      <c r="L289" s="20">
        <f>H289^2</f>
        <v>179.82809999999981</v>
      </c>
      <c r="M289" s="38">
        <f t="shared" ref="M289:M298" si="22">I289^2</f>
        <v>1.1152350811536965E-4</v>
      </c>
      <c r="N289" s="21"/>
      <c r="Q289" s="75"/>
      <c r="R289" s="76"/>
      <c r="S289" s="41"/>
      <c r="T289" s="41"/>
      <c r="U289" s="41"/>
      <c r="V289" s="58"/>
      <c r="W289" s="58"/>
      <c r="X289" s="77"/>
      <c r="Y289" s="74"/>
      <c r="Z289" s="58"/>
    </row>
    <row r="290" spans="1:26">
      <c r="A290" s="112" t="s">
        <v>66</v>
      </c>
      <c r="C290" s="268">
        <f>B285+(B284*F290)</f>
        <v>5.7969036882656297E-2</v>
      </c>
      <c r="D290" s="340">
        <f t="shared" ref="D290:D298" si="23">C290-G290</f>
        <v>-4.2090700273855045E-2</v>
      </c>
      <c r="E290" s="6">
        <v>2</v>
      </c>
      <c r="F290" s="46">
        <v>-4.5</v>
      </c>
      <c r="G290" s="61">
        <v>0.10005973715651134</v>
      </c>
      <c r="H290" s="19">
        <f>F290-F301</f>
        <v>-1.0900000000000061</v>
      </c>
      <c r="I290" s="63">
        <f>G290-G301</f>
        <v>4.1190089288719853E-2</v>
      </c>
      <c r="J290" s="19">
        <f t="shared" ref="J290:J298" si="24">H290*I290</f>
        <v>-4.4897197324704888E-2</v>
      </c>
      <c r="K290" s="20"/>
      <c r="L290" s="20">
        <f t="shared" ref="L290:L298" si="25">H290^2</f>
        <v>1.1881000000000133</v>
      </c>
      <c r="M290" s="38">
        <f t="shared" si="22"/>
        <v>1.696623455612714E-3</v>
      </c>
      <c r="N290" s="21"/>
      <c r="Q290" s="75"/>
      <c r="R290" s="76"/>
      <c r="S290" s="41"/>
      <c r="T290" s="41"/>
      <c r="U290" s="41"/>
      <c r="V290" s="58"/>
      <c r="W290" s="58"/>
      <c r="X290" s="77"/>
      <c r="Y290" s="74"/>
      <c r="Z290" s="58"/>
    </row>
    <row r="291" spans="1:26">
      <c r="A291" s="112" t="s">
        <v>67</v>
      </c>
      <c r="C291" s="268">
        <f>B285+(B284*F291)</f>
        <v>5.6151289940181634E-2</v>
      </c>
      <c r="D291" s="340">
        <f t="shared" si="23"/>
        <v>-8.6064278922093826E-2</v>
      </c>
      <c r="E291" s="6">
        <v>3</v>
      </c>
      <c r="F291" s="46">
        <v>-6.6999999999999886</v>
      </c>
      <c r="G291" s="61">
        <v>0.14221556886227546</v>
      </c>
      <c r="H291" s="19">
        <f>F291-F301</f>
        <v>-3.2899999999999947</v>
      </c>
      <c r="I291" s="63">
        <f>G291-G301</f>
        <v>8.3345920994483971E-2</v>
      </c>
      <c r="J291" s="19">
        <f t="shared" si="24"/>
        <v>-0.27420808007185182</v>
      </c>
      <c r="K291" s="20"/>
      <c r="L291" s="20">
        <f t="shared" si="25"/>
        <v>10.824099999999966</v>
      </c>
      <c r="M291" s="38">
        <f t="shared" si="22"/>
        <v>6.9465425464187644E-3</v>
      </c>
      <c r="N291" s="21"/>
      <c r="Q291" s="75"/>
      <c r="R291" s="76"/>
      <c r="S291" s="41"/>
      <c r="T291" s="41"/>
      <c r="U291" s="41"/>
      <c r="V291" s="58"/>
      <c r="W291" s="58"/>
      <c r="X291" s="77"/>
      <c r="Y291" s="74"/>
      <c r="Z291" s="58"/>
    </row>
    <row r="292" spans="1:26">
      <c r="A292" s="112" t="s">
        <v>71</v>
      </c>
      <c r="C292" s="268">
        <f>B285+(B284*F292)</f>
        <v>4.6236306617592475E-2</v>
      </c>
      <c r="D292" s="340">
        <f t="shared" si="23"/>
        <v>4.092166161786271E-2</v>
      </c>
      <c r="E292" s="6">
        <v>4</v>
      </c>
      <c r="F292" s="46">
        <v>-18.699999999999989</v>
      </c>
      <c r="G292" s="61">
        <v>5.3146449997297637E-3</v>
      </c>
      <c r="H292" s="19">
        <f>F292-F301</f>
        <v>-15.289999999999996</v>
      </c>
      <c r="I292" s="63">
        <f>G292-G301</f>
        <v>-5.3555002868061724E-2</v>
      </c>
      <c r="J292" s="19">
        <f t="shared" si="24"/>
        <v>0.8188559938526635</v>
      </c>
      <c r="K292" s="20"/>
      <c r="L292" s="20">
        <f t="shared" si="25"/>
        <v>233.78409999999985</v>
      </c>
      <c r="M292" s="38">
        <f t="shared" si="22"/>
        <v>2.8681383321980994E-3</v>
      </c>
      <c r="N292" s="21"/>
      <c r="P292" s="15"/>
      <c r="Q292" s="75"/>
      <c r="R292" s="76"/>
      <c r="S292" s="41"/>
      <c r="T292" s="41"/>
      <c r="U292" s="41"/>
      <c r="V292" s="58"/>
      <c r="W292" s="58"/>
      <c r="X292" s="77"/>
      <c r="Y292" s="74"/>
      <c r="Z292" s="58"/>
    </row>
    <row r="293" spans="1:26" ht="14.25" customHeight="1">
      <c r="A293" s="112" t="s">
        <v>77</v>
      </c>
      <c r="C293" s="268">
        <f>B285+(B284*F293)</f>
        <v>4.6649430922700352E-2</v>
      </c>
      <c r="D293" s="340">
        <f t="shared" si="23"/>
        <v>3.399392558115908E-2</v>
      </c>
      <c r="E293" s="6">
        <v>5</v>
      </c>
      <c r="F293" s="46">
        <v>-18.199999999999989</v>
      </c>
      <c r="G293" s="61">
        <v>1.2655505341541272E-2</v>
      </c>
      <c r="H293" s="19">
        <f>F293-F301</f>
        <v>-14.789999999999996</v>
      </c>
      <c r="I293" s="63">
        <f>G293-G301</f>
        <v>-4.6214142526250217E-2</v>
      </c>
      <c r="J293" s="19">
        <f t="shared" si="24"/>
        <v>0.68350716796324051</v>
      </c>
      <c r="K293" s="20"/>
      <c r="L293" s="20">
        <f t="shared" si="25"/>
        <v>218.74409999999986</v>
      </c>
      <c r="M293" s="38">
        <f t="shared" si="22"/>
        <v>2.1357469694365688E-3</v>
      </c>
      <c r="N293" s="21"/>
      <c r="P293" s="107"/>
      <c r="Q293" s="107"/>
      <c r="R293" s="107"/>
      <c r="S293" s="107"/>
      <c r="T293" s="107"/>
      <c r="U293" s="107"/>
      <c r="V293" s="107"/>
      <c r="W293" s="107"/>
      <c r="X293" s="107"/>
      <c r="Y293" s="74"/>
      <c r="Z293" s="58"/>
    </row>
    <row r="294" spans="1:26">
      <c r="A294" s="112" t="s">
        <v>61</v>
      </c>
      <c r="C294" s="268">
        <f>B285+(B284*F294)</f>
        <v>7.4080884781863685E-2</v>
      </c>
      <c r="D294" s="340">
        <f t="shared" si="23"/>
        <v>5.7517737783934077E-2</v>
      </c>
      <c r="E294" s="6">
        <v>6</v>
      </c>
      <c r="F294" s="46">
        <v>15</v>
      </c>
      <c r="G294" s="61">
        <v>1.6563146997929608E-2</v>
      </c>
      <c r="H294" s="19">
        <f>F294-F301</f>
        <v>18.409999999999993</v>
      </c>
      <c r="I294" s="63">
        <f>G294-G301</f>
        <v>-4.2306500869861881E-2</v>
      </c>
      <c r="J294" s="19">
        <f t="shared" si="24"/>
        <v>-0.7788626810141569</v>
      </c>
      <c r="K294" s="20"/>
      <c r="L294" s="20">
        <f t="shared" si="25"/>
        <v>338.92809999999974</v>
      </c>
      <c r="M294" s="38">
        <f t="shared" si="22"/>
        <v>1.7898400158516241E-3</v>
      </c>
      <c r="N294" s="21"/>
      <c r="P294" s="107"/>
      <c r="Q294" s="107"/>
      <c r="R294" s="107"/>
      <c r="S294" s="107"/>
      <c r="T294" s="107"/>
      <c r="U294" s="107"/>
      <c r="V294" s="107"/>
      <c r="W294" s="107"/>
      <c r="X294" s="107"/>
      <c r="Y294" s="74"/>
      <c r="Z294" s="58"/>
    </row>
    <row r="295" spans="1:26">
      <c r="A295" s="112" t="s">
        <v>66</v>
      </c>
      <c r="C295" s="268">
        <f>B285+(B284*F295)</f>
        <v>6.3752777154166648E-2</v>
      </c>
      <c r="D295" s="340">
        <f t="shared" si="23"/>
        <v>-4.9308576419520897E-2</v>
      </c>
      <c r="E295" s="6">
        <v>7</v>
      </c>
      <c r="F295" s="47">
        <v>2.5</v>
      </c>
      <c r="G295" s="62">
        <v>0.11306135357368755</v>
      </c>
      <c r="H295" s="19">
        <f>F295-F301</f>
        <v>5.9099999999999939</v>
      </c>
      <c r="I295" s="63">
        <f>G295-G301</f>
        <v>5.4191705705896057E-2</v>
      </c>
      <c r="J295" s="19">
        <f t="shared" si="24"/>
        <v>0.32027298072184535</v>
      </c>
      <c r="K295" s="20"/>
      <c r="L295" s="20">
        <f t="shared" si="25"/>
        <v>34.92809999999993</v>
      </c>
      <c r="M295" s="38">
        <f t="shared" si="22"/>
        <v>2.936740967314447E-3</v>
      </c>
      <c r="N295" s="21"/>
      <c r="P295" s="15"/>
      <c r="Q295" s="41"/>
      <c r="R295" s="80"/>
      <c r="S295" s="41"/>
      <c r="T295" s="41"/>
      <c r="U295" s="41"/>
      <c r="V295" s="58"/>
      <c r="W295" s="58"/>
      <c r="X295" s="77"/>
      <c r="Y295" s="74"/>
      <c r="Z295" s="58"/>
    </row>
    <row r="296" spans="1:26">
      <c r="A296" s="112" t="s">
        <v>67</v>
      </c>
      <c r="C296" s="268">
        <f>B285+(B284*F296)</f>
        <v>5.945628438104468E-2</v>
      </c>
      <c r="D296" s="340">
        <f t="shared" si="23"/>
        <v>-7.8192525142764827E-2</v>
      </c>
      <c r="E296" s="6">
        <v>8</v>
      </c>
      <c r="F296" s="47">
        <v>-2.6999999999999886</v>
      </c>
      <c r="G296" s="62">
        <v>0.13764880952380951</v>
      </c>
      <c r="H296" s="19">
        <f>F296-F301</f>
        <v>0.71000000000000529</v>
      </c>
      <c r="I296" s="63">
        <f>G296-G301</f>
        <v>7.8779161656018018E-2</v>
      </c>
      <c r="J296" s="19">
        <f t="shared" si="24"/>
        <v>5.593320477577321E-2</v>
      </c>
      <c r="K296" s="20"/>
      <c r="L296" s="20">
        <f t="shared" si="25"/>
        <v>0.50410000000000754</v>
      </c>
      <c r="M296" s="38">
        <f t="shared" si="22"/>
        <v>6.2061563112250197E-3</v>
      </c>
      <c r="N296" s="21"/>
      <c r="P296" s="15"/>
      <c r="Q296" s="41"/>
      <c r="R296" s="41"/>
      <c r="S296" s="41"/>
      <c r="T296" s="41"/>
      <c r="U296" s="41"/>
      <c r="V296" s="58"/>
      <c r="W296" s="58"/>
      <c r="X296" s="77"/>
      <c r="Y296" s="74"/>
      <c r="Z296" s="58"/>
    </row>
    <row r="297" spans="1:26">
      <c r="A297" s="112" t="s">
        <v>71</v>
      </c>
      <c r="C297" s="268">
        <f>B285+(B284*F297)</f>
        <v>5.6977538550397396E-2</v>
      </c>
      <c r="D297" s="340">
        <f t="shared" si="23"/>
        <v>5.1772804036725996E-2</v>
      </c>
      <c r="E297" s="6">
        <v>9</v>
      </c>
      <c r="F297" s="47">
        <v>-5.6999999999999886</v>
      </c>
      <c r="G297" s="62">
        <v>5.2047345136714013E-3</v>
      </c>
      <c r="H297" s="19">
        <f>F297-F301</f>
        <v>-2.2899999999999947</v>
      </c>
      <c r="I297" s="63">
        <f>G297-G301</f>
        <v>-5.3664913354120089E-2</v>
      </c>
      <c r="J297" s="19">
        <f t="shared" si="24"/>
        <v>0.12289265158093472</v>
      </c>
      <c r="K297" s="20"/>
      <c r="L297" s="20">
        <f t="shared" si="25"/>
        <v>5.2440999999999756</v>
      </c>
      <c r="M297" s="38">
        <f t="shared" si="22"/>
        <v>2.8799229253052166E-3</v>
      </c>
      <c r="N297" s="21"/>
      <c r="Q297" s="41"/>
      <c r="R297" s="41"/>
      <c r="S297" s="41"/>
      <c r="T297" s="41"/>
      <c r="U297" s="41"/>
      <c r="V297" s="58"/>
      <c r="W297" s="58"/>
      <c r="X297" s="77"/>
      <c r="Y297" s="74"/>
      <c r="Z297" s="58"/>
    </row>
    <row r="298" spans="1:26">
      <c r="A298" s="112" t="s">
        <v>77</v>
      </c>
      <c r="C298" s="268">
        <f>B285+(B284*F298)</f>
        <v>5.747328771652685E-2</v>
      </c>
      <c r="D298" s="340">
        <f t="shared" si="23"/>
        <v>4.9809488751729233E-2</v>
      </c>
      <c r="E298" s="6">
        <v>10</v>
      </c>
      <c r="F298" s="47">
        <v>-5.0999999999999943</v>
      </c>
      <c r="G298" s="62">
        <v>7.663798964797618E-3</v>
      </c>
      <c r="H298" s="19">
        <f>F298-F301</f>
        <v>-1.6900000000000004</v>
      </c>
      <c r="I298" s="63">
        <f>G298-G301</f>
        <v>-5.1205848902993872E-2</v>
      </c>
      <c r="J298" s="19">
        <f t="shared" si="24"/>
        <v>8.653788464605966E-2</v>
      </c>
      <c r="K298" s="20"/>
      <c r="L298" s="20">
        <f t="shared" si="25"/>
        <v>2.8561000000000014</v>
      </c>
      <c r="M298" s="38">
        <f t="shared" si="22"/>
        <v>2.622038961876239E-3</v>
      </c>
      <c r="N298" s="21"/>
      <c r="Q298" s="41"/>
      <c r="R298" s="80"/>
      <c r="S298" s="41"/>
      <c r="T298" s="41"/>
      <c r="U298" s="41"/>
      <c r="V298" s="58"/>
      <c r="W298" s="58"/>
      <c r="X298" s="77"/>
      <c r="Y298" s="74"/>
      <c r="Z298" s="58"/>
    </row>
    <row r="299" spans="1:26" ht="12.75">
      <c r="C299" s="340"/>
      <c r="D299" s="340"/>
      <c r="E299" s="6"/>
      <c r="F299" s="91"/>
      <c r="G299" s="92"/>
      <c r="H299" s="65"/>
      <c r="J299" s="60"/>
      <c r="K299" s="6"/>
      <c r="L299" s="6"/>
      <c r="M299" s="18"/>
      <c r="N299" s="6"/>
      <c r="Q299" s="41"/>
      <c r="R299" s="83"/>
      <c r="S299" s="41"/>
      <c r="T299" s="41"/>
      <c r="U299" s="41"/>
      <c r="V299" s="58"/>
      <c r="W299" s="58"/>
      <c r="X299" s="77"/>
      <c r="Y299" s="74"/>
      <c r="Z299" s="58"/>
    </row>
    <row r="300" spans="1:26" ht="13.5" thickBot="1">
      <c r="B300" s="2" t="s">
        <v>16</v>
      </c>
      <c r="C300" s="340"/>
      <c r="D300" s="340"/>
      <c r="M300" s="18"/>
      <c r="N300" s="6"/>
      <c r="Q300" s="41"/>
      <c r="R300" s="41"/>
      <c r="S300" s="41"/>
      <c r="T300" s="41"/>
      <c r="U300" s="41"/>
      <c r="V300" s="58"/>
      <c r="W300" s="58"/>
      <c r="X300" s="77"/>
      <c r="Y300" s="74"/>
      <c r="Z300" s="58"/>
    </row>
    <row r="301" spans="1:26" ht="13.5" thickBot="1">
      <c r="B301" s="2" t="s">
        <v>0</v>
      </c>
      <c r="C301" s="340">
        <f>AVERAGE(C289:C298)</f>
        <v>5.8869647867791489E-2</v>
      </c>
      <c r="D301" s="340">
        <f>AVERAGE(D289:D298)</f>
        <v>0</v>
      </c>
      <c r="F301" s="18">
        <f>AVERAGE(F289:F298)</f>
        <v>-3.4099999999999939</v>
      </c>
      <c r="G301" s="64">
        <f>AVERAGE(G289:G298)</f>
        <v>5.8869647867791489E-2</v>
      </c>
      <c r="H301" s="19">
        <f>AVERAGE(H289:H298)</f>
        <v>-3.5527136788005011E-16</v>
      </c>
      <c r="I301" s="19">
        <f>AVERAGE(I289:I298)</f>
        <v>0</v>
      </c>
      <c r="J301" s="59">
        <f>SUM(J289:J298)</f>
        <v>0.84841603417924127</v>
      </c>
      <c r="K301" s="27" t="s">
        <v>16</v>
      </c>
      <c r="L301" s="28">
        <f>SUM(L289:L298)</f>
        <v>1026.8289999999993</v>
      </c>
      <c r="M301" s="28">
        <f>SUM(M289:M298)</f>
        <v>3.0193273993354062E-2</v>
      </c>
      <c r="N301" s="28">
        <f>M301*L301</f>
        <v>31.003329341321734</v>
      </c>
      <c r="Q301" s="41"/>
      <c r="R301" s="41"/>
      <c r="S301" s="41"/>
      <c r="T301" s="82"/>
      <c r="U301" s="84"/>
      <c r="V301" s="85"/>
      <c r="W301" s="86"/>
      <c r="X301" s="77"/>
      <c r="Y301" s="74"/>
      <c r="Z301" s="87"/>
    </row>
    <row r="302" spans="1:26" ht="15" thickBot="1">
      <c r="B302" s="15" t="s">
        <v>17</v>
      </c>
      <c r="C302" s="29">
        <f>STDEVA(C289:C298)</f>
        <v>8.8254843689886762E-3</v>
      </c>
      <c r="D302" s="29">
        <f>STDEVA(D289:D298)</f>
        <v>5.7244380048494907E-2</v>
      </c>
      <c r="E302" s="15"/>
      <c r="F302" s="30">
        <f>STDEVA(F289:F298)</f>
        <v>10.681390879052739</v>
      </c>
      <c r="G302" s="29">
        <f>STDEVA(G289:G298)</f>
        <v>5.7920706327562889E-2</v>
      </c>
      <c r="H302" s="30">
        <f>STDEVA(H289:H298)</f>
        <v>10.681390879052739</v>
      </c>
      <c r="I302" s="30">
        <f>STDEVA(I289:I298)</f>
        <v>5.7920706327562896E-2</v>
      </c>
      <c r="J302" s="31" t="s">
        <v>16</v>
      </c>
      <c r="K302" s="32"/>
      <c r="L302" s="33"/>
      <c r="M302" s="33"/>
      <c r="N302" s="34"/>
      <c r="Q302" s="41"/>
      <c r="R302" s="41"/>
      <c r="S302" s="41"/>
      <c r="T302" s="41"/>
      <c r="U302" s="84"/>
      <c r="V302" s="85"/>
      <c r="W302" s="85"/>
      <c r="X302" s="88"/>
      <c r="Y302" s="89"/>
      <c r="Z302" s="41"/>
    </row>
    <row r="303" spans="1:26" ht="15.75">
      <c r="B303" s="15" t="s">
        <v>18</v>
      </c>
      <c r="C303" s="35">
        <f>C302^2</f>
        <v>7.7889174347263446E-5</v>
      </c>
      <c r="D303" s="35">
        <f>D302^2</f>
        <v>3.2769190471365218E-3</v>
      </c>
      <c r="E303" s="15"/>
      <c r="F303" s="30">
        <f>F302^2</f>
        <v>114.09211111111104</v>
      </c>
      <c r="G303" s="35">
        <f>G302^2</f>
        <v>3.3548082214837835E-3</v>
      </c>
      <c r="H303" s="30">
        <f>H302^2</f>
        <v>114.09211111111104</v>
      </c>
      <c r="I303" s="30">
        <f>I302^2</f>
        <v>3.3548082214837844E-3</v>
      </c>
      <c r="J303" s="33"/>
      <c r="K303" s="27"/>
      <c r="L303" s="33"/>
      <c r="M303" s="33"/>
      <c r="N303" s="34"/>
      <c r="P303" s="271" t="s">
        <v>162</v>
      </c>
      <c r="Q303" s="272"/>
      <c r="R303" s="272"/>
      <c r="S303" s="272"/>
      <c r="T303" s="272"/>
      <c r="U303" s="272"/>
      <c r="V303" s="272"/>
      <c r="W303" s="272"/>
      <c r="X303" s="273"/>
      <c r="Y303" s="41"/>
      <c r="Z303" s="41"/>
    </row>
    <row r="304" spans="1:26">
      <c r="B304" s="2" t="s">
        <v>19</v>
      </c>
      <c r="C304" s="30">
        <f>COUNT(C289:C298)</f>
        <v>10</v>
      </c>
      <c r="D304" s="30">
        <f>COUNT(D289:D298)</f>
        <v>10</v>
      </c>
      <c r="F304" s="30">
        <f>COUNT(F289:F298)</f>
        <v>10</v>
      </c>
      <c r="G304" s="30">
        <f>COUNT(G289:G298)</f>
        <v>10</v>
      </c>
      <c r="I304" s="27"/>
      <c r="J304" s="33"/>
      <c r="K304" s="27"/>
      <c r="L304" s="33"/>
      <c r="M304" s="33"/>
      <c r="N304" s="34"/>
      <c r="P304" s="274"/>
      <c r="Q304" s="275"/>
      <c r="R304" s="275"/>
      <c r="S304" s="275"/>
      <c r="T304" s="275"/>
      <c r="U304" s="275"/>
      <c r="V304" s="275"/>
      <c r="W304" s="275"/>
      <c r="X304" s="276"/>
      <c r="Y304" s="41"/>
      <c r="Z304" s="41"/>
    </row>
    <row r="305" spans="1:26">
      <c r="B305" s="36" t="s">
        <v>20</v>
      </c>
      <c r="C305" s="37">
        <f>C301/C302</f>
        <v>6.670415515623132</v>
      </c>
      <c r="D305" s="37">
        <f>D301/D302</f>
        <v>0</v>
      </c>
      <c r="E305" s="36"/>
      <c r="F305" s="37">
        <f>F301/F302</f>
        <v>-0.31924681332347271</v>
      </c>
      <c r="G305" s="37">
        <f>G301/G302</f>
        <v>1.0163834593946763</v>
      </c>
      <c r="I305" s="27"/>
      <c r="J305" s="36"/>
      <c r="P305" s="274"/>
      <c r="Q305" s="275"/>
      <c r="R305" s="275"/>
      <c r="S305" s="275"/>
      <c r="T305" s="275"/>
      <c r="U305" s="275"/>
      <c r="V305" s="275"/>
      <c r="W305" s="275"/>
      <c r="X305" s="276"/>
      <c r="Y305" s="41"/>
      <c r="Z305" s="41"/>
    </row>
    <row r="306" spans="1:26">
      <c r="B306" s="36"/>
      <c r="C306" s="37"/>
      <c r="D306" s="36"/>
      <c r="E306" s="36"/>
      <c r="F306" s="37"/>
      <c r="G306" s="37"/>
      <c r="I306" s="27"/>
      <c r="J306" s="36"/>
      <c r="P306" s="277"/>
      <c r="Q306" s="278"/>
      <c r="R306" s="278"/>
      <c r="S306" s="278"/>
      <c r="T306" s="278"/>
      <c r="U306" s="278"/>
      <c r="V306" s="278"/>
      <c r="W306" s="278"/>
      <c r="X306" s="279"/>
      <c r="Y306" s="41"/>
      <c r="Z306" s="41"/>
    </row>
    <row r="307" spans="1:26">
      <c r="B307" s="36"/>
      <c r="C307" s="37"/>
      <c r="D307" s="36"/>
      <c r="E307" s="36"/>
      <c r="F307" s="37"/>
      <c r="G307" s="48" t="s">
        <v>21</v>
      </c>
      <c r="I307" s="49" t="s">
        <v>22</v>
      </c>
      <c r="J307" s="36"/>
    </row>
    <row r="308" spans="1:26" ht="15.75">
      <c r="A308" s="2" t="s">
        <v>23</v>
      </c>
      <c r="C308" s="37"/>
      <c r="D308" s="36"/>
      <c r="E308" s="36"/>
      <c r="G308" s="24">
        <f>B286*(SQRT((C304-2)/(1-B287)))</f>
        <v>0.43606445483598771</v>
      </c>
      <c r="H308" s="40"/>
      <c r="I308" s="42">
        <f>TDIST(ABS(G308),8,2)</f>
        <v>0.67431799933877357</v>
      </c>
      <c r="J308" s="50" t="s">
        <v>57</v>
      </c>
      <c r="N308" s="2"/>
      <c r="O308" s="41"/>
      <c r="P308" s="43"/>
    </row>
    <row r="309" spans="1:26" ht="15.75">
      <c r="A309" s="2" t="s">
        <v>24</v>
      </c>
      <c r="C309" s="37"/>
      <c r="D309" s="36"/>
      <c r="E309" s="36"/>
      <c r="G309" s="24">
        <f>B284/((G302/F302)*SQRT((1-B287)/(G304-2)))</f>
        <v>0.43606445483598777</v>
      </c>
      <c r="H309" s="36"/>
      <c r="I309" s="42">
        <f>TDIST(ABS(G309),8,2)</f>
        <v>0.67431799933877357</v>
      </c>
      <c r="J309" s="36"/>
      <c r="K309" s="36"/>
      <c r="N309" s="2"/>
      <c r="O309" s="36"/>
      <c r="P309" s="43"/>
    </row>
    <row r="310" spans="1:26" ht="12.75">
      <c r="C310" s="37"/>
      <c r="D310" s="36"/>
      <c r="E310" s="36"/>
      <c r="J310" s="36"/>
      <c r="K310" s="36"/>
      <c r="N310" s="2"/>
      <c r="O310" s="36"/>
      <c r="P310" s="43"/>
    </row>
    <row r="311" spans="1:26" ht="15.75">
      <c r="A311" s="2" t="s">
        <v>25</v>
      </c>
      <c r="B311" s="37"/>
      <c r="D311" s="38"/>
      <c r="E311" s="56">
        <f>Q311*((G302/F302)*SQRT((1-B286^2)/(G304-2)))</f>
        <v>4.369383220150052E-3</v>
      </c>
      <c r="F311" s="51" t="s">
        <v>26</v>
      </c>
      <c r="G311" s="98">
        <f>B284-E311</f>
        <v>-3.5431346099342887E-3</v>
      </c>
      <c r="H311" s="51" t="s">
        <v>27</v>
      </c>
      <c r="I311" s="98">
        <f>B284+E311</f>
        <v>5.1956318303658152E-3</v>
      </c>
      <c r="K311" s="51" t="s">
        <v>28</v>
      </c>
      <c r="L311" s="52">
        <v>0.95</v>
      </c>
      <c r="M311" s="51" t="s">
        <v>29</v>
      </c>
      <c r="N311" s="53">
        <f>C304-2</f>
        <v>8</v>
      </c>
      <c r="P311" s="54" t="s">
        <v>30</v>
      </c>
      <c r="Q311" s="55">
        <f>TINV((1-L311),N311)</f>
        <v>2.3060041352041662</v>
      </c>
    </row>
    <row r="316" spans="1:26">
      <c r="A316" s="16" t="s">
        <v>13</v>
      </c>
      <c r="B316" s="17">
        <f>J330/L330</f>
        <v>-4.4277480715640785E-4</v>
      </c>
      <c r="D316" s="94"/>
      <c r="E316" s="95"/>
      <c r="F316" s="93" t="str">
        <f>F321</f>
        <v>X = Dif PAS [desp vs antes]</v>
      </c>
      <c r="G316" s="95"/>
      <c r="H316" s="15"/>
      <c r="I316" s="96" t="str">
        <f>G321</f>
        <v>Y = EfAdv grav atrib /año</v>
      </c>
      <c r="L316" s="265"/>
      <c r="M316" s="265"/>
      <c r="N316" s="265"/>
    </row>
    <row r="317" spans="1:26">
      <c r="A317" s="22" t="s">
        <v>14</v>
      </c>
      <c r="B317" s="23">
        <f>B319*G331/F331</f>
        <v>-4.4277480715640801E-4</v>
      </c>
      <c r="D317" s="97" t="s">
        <v>37</v>
      </c>
      <c r="E317" s="128">
        <v>-1</v>
      </c>
      <c r="F317" s="93" t="s">
        <v>33</v>
      </c>
      <c r="G317" s="15" t="s">
        <v>36</v>
      </c>
      <c r="H317" s="15"/>
      <c r="I317" s="96" t="s">
        <v>166</v>
      </c>
      <c r="J317" s="131">
        <f>E317*B317</f>
        <v>4.4277480715640801E-4</v>
      </c>
      <c r="K317" s="6" t="s">
        <v>35</v>
      </c>
      <c r="L317" s="131">
        <f>E317*G340</f>
        <v>8.1389243526297614E-4</v>
      </c>
      <c r="M317" s="6" t="s">
        <v>34</v>
      </c>
      <c r="N317" s="131">
        <f>E317*I340</f>
        <v>7.1657179049839878E-5</v>
      </c>
    </row>
    <row r="318" spans="1:26">
      <c r="A318" s="16" t="s">
        <v>15</v>
      </c>
      <c r="B318" s="17">
        <f>G330-(F330*B316)</f>
        <v>2.7129686799036261E-3</v>
      </c>
      <c r="M318" s="4"/>
    </row>
    <row r="319" spans="1:26">
      <c r="A319" s="25" t="s">
        <v>31</v>
      </c>
      <c r="B319" s="24">
        <f>J330/SQRT(N330)</f>
        <v>-0.85606682707097004</v>
      </c>
      <c r="M319" s="4"/>
    </row>
    <row r="320" spans="1:26" ht="26.25" customHeight="1" thickBot="1">
      <c r="A320" s="108" t="s">
        <v>32</v>
      </c>
      <c r="B320" s="109">
        <f>B319^2</f>
        <v>0.73285041241135807</v>
      </c>
      <c r="C320" s="110">
        <f>1-B320</f>
        <v>0.26714958758864193</v>
      </c>
      <c r="F320" s="7"/>
      <c r="G320" s="8"/>
      <c r="H320" s="269" t="s">
        <v>1</v>
      </c>
      <c r="I320" s="270"/>
      <c r="J320" s="9" t="s">
        <v>2</v>
      </c>
      <c r="K320" s="10"/>
      <c r="L320" s="9" t="s">
        <v>3</v>
      </c>
      <c r="M320" s="9" t="s">
        <v>4</v>
      </c>
      <c r="N320" s="9" t="s">
        <v>5</v>
      </c>
      <c r="Q320" s="41"/>
      <c r="R320" s="41"/>
      <c r="S320" s="41"/>
      <c r="T320" s="41"/>
      <c r="U320" s="43"/>
      <c r="V320" s="68"/>
      <c r="W320" s="68"/>
      <c r="X320" s="41"/>
      <c r="Y320" s="41"/>
      <c r="Z320" s="69"/>
    </row>
    <row r="321" spans="1:26" ht="37.5" customHeight="1" thickBot="1">
      <c r="A321" s="113" t="s">
        <v>81</v>
      </c>
      <c r="C321" s="11" t="s">
        <v>174</v>
      </c>
      <c r="D321" s="12" t="s">
        <v>6</v>
      </c>
      <c r="E321" s="12" t="s">
        <v>39</v>
      </c>
      <c r="F321" s="44" t="s">
        <v>189</v>
      </c>
      <c r="G321" s="45" t="s">
        <v>188</v>
      </c>
      <c r="H321" s="13" t="s">
        <v>7</v>
      </c>
      <c r="I321" s="14" t="s">
        <v>8</v>
      </c>
      <c r="J321" s="14" t="s">
        <v>9</v>
      </c>
      <c r="L321" s="14" t="s">
        <v>10</v>
      </c>
      <c r="M321" s="14" t="s">
        <v>11</v>
      </c>
      <c r="N321" s="14" t="s">
        <v>12</v>
      </c>
      <c r="Q321" s="41"/>
      <c r="R321" s="41"/>
      <c r="S321" s="70"/>
      <c r="T321" s="71"/>
      <c r="U321" s="41"/>
      <c r="V321" s="111"/>
      <c r="W321" s="111"/>
      <c r="X321" s="73"/>
      <c r="Y321" s="74"/>
      <c r="Z321" s="111"/>
    </row>
    <row r="322" spans="1:26" ht="15">
      <c r="A322" s="130" t="s">
        <v>58</v>
      </c>
      <c r="C322" s="268">
        <f>B318+(B317*F322)</f>
        <v>1.099285757372845E-2</v>
      </c>
      <c r="D322" s="340">
        <f>C322-G322</f>
        <v>4.0567954554370633E-3</v>
      </c>
      <c r="E322" s="6">
        <v>1</v>
      </c>
      <c r="F322" s="46">
        <v>-18.699999999999989</v>
      </c>
      <c r="G322" s="61">
        <v>6.9360621182913869E-3</v>
      </c>
      <c r="H322" s="19">
        <f>F322-F330</f>
        <v>-0.68333333333332646</v>
      </c>
      <c r="I322" s="63">
        <f>G322-G330</f>
        <v>-3.7542326705468521E-3</v>
      </c>
      <c r="J322" s="19">
        <f>H322*I322</f>
        <v>2.5653923248736563E-3</v>
      </c>
      <c r="K322" s="20"/>
      <c r="L322" s="20">
        <f>H322^2</f>
        <v>0.46694444444443506</v>
      </c>
      <c r="M322" s="38">
        <f t="shared" ref="M322:M327" si="26">I322^2</f>
        <v>1.4094262944601349E-5</v>
      </c>
      <c r="N322" s="21"/>
      <c r="Q322" s="75"/>
      <c r="R322" s="76"/>
      <c r="S322" s="41"/>
      <c r="T322" s="41"/>
      <c r="U322" s="41"/>
      <c r="V322" s="58"/>
      <c r="W322" s="58"/>
      <c r="X322" s="77"/>
      <c r="Y322" s="74"/>
      <c r="Z322" s="58"/>
    </row>
    <row r="323" spans="1:26" ht="15">
      <c r="A323" s="130" t="s">
        <v>59</v>
      </c>
      <c r="C323" s="268">
        <f>B318+(B317*F323)</f>
        <v>1.7280259835349452E-2</v>
      </c>
      <c r="D323" s="340">
        <f t="shared" ref="D323:D327" si="27">C323-G323</f>
        <v>-8.5115072514304821E-4</v>
      </c>
      <c r="E323" s="6">
        <v>2</v>
      </c>
      <c r="F323" s="46">
        <v>-32.900000000000006</v>
      </c>
      <c r="G323" s="61">
        <v>1.81314105604925E-2</v>
      </c>
      <c r="H323" s="19">
        <f>F323-F330</f>
        <v>-14.883333333333344</v>
      </c>
      <c r="I323" s="63">
        <f>G323-G330</f>
        <v>7.4411157716542612E-3</v>
      </c>
      <c r="J323" s="19">
        <f t="shared" ref="J323:J327" si="28">H323*I323</f>
        <v>-0.11074860640145433</v>
      </c>
      <c r="K323" s="20"/>
      <c r="L323" s="20">
        <f t="shared" ref="L323:L327" si="29">H323^2</f>
        <v>221.5136111111114</v>
      </c>
      <c r="M323" s="38">
        <f t="shared" si="26"/>
        <v>5.5370203927161792E-5</v>
      </c>
      <c r="N323" s="21"/>
      <c r="Q323" s="75"/>
      <c r="R323" s="76"/>
      <c r="S323" s="41"/>
      <c r="T323" s="41"/>
      <c r="U323" s="41"/>
      <c r="V323" s="58"/>
      <c r="W323" s="58"/>
      <c r="X323" s="77"/>
      <c r="Y323" s="74"/>
      <c r="Z323" s="58"/>
    </row>
    <row r="324" spans="1:26" ht="15">
      <c r="A324" s="130" t="s">
        <v>60</v>
      </c>
      <c r="C324" s="268">
        <f>B318+(B317*F324)</f>
        <v>1.0771470170150246E-2</v>
      </c>
      <c r="D324" s="340">
        <f t="shared" si="27"/>
        <v>-3.6544944678760724E-3</v>
      </c>
      <c r="E324" s="6">
        <v>3</v>
      </c>
      <c r="F324" s="46">
        <v>-18.199999999999989</v>
      </c>
      <c r="G324" s="61">
        <v>1.4425964638026319E-2</v>
      </c>
      <c r="H324" s="19">
        <f>F324-F330</f>
        <v>-0.18333333333332646</v>
      </c>
      <c r="I324" s="63">
        <f>G324-G330</f>
        <v>3.7356698491880797E-3</v>
      </c>
      <c r="J324" s="19">
        <f t="shared" si="28"/>
        <v>-6.8487280568445567E-4</v>
      </c>
      <c r="K324" s="20"/>
      <c r="L324" s="20">
        <f t="shared" si="29"/>
        <v>3.3611111111108594E-2</v>
      </c>
      <c r="M324" s="38">
        <f t="shared" si="26"/>
        <v>1.395522922213289E-5</v>
      </c>
      <c r="N324" s="21"/>
      <c r="Q324" s="75"/>
      <c r="R324" s="76"/>
      <c r="S324" s="41"/>
      <c r="T324" s="41"/>
      <c r="U324" s="41"/>
      <c r="V324" s="58"/>
      <c r="W324" s="58"/>
      <c r="X324" s="77"/>
      <c r="Y324" s="74"/>
      <c r="Z324" s="58"/>
    </row>
    <row r="325" spans="1:26" ht="15">
      <c r="A325" s="130" t="s">
        <v>58</v>
      </c>
      <c r="C325" s="268">
        <f>B318+(B317*F325)</f>
        <v>5.2367850806951466E-3</v>
      </c>
      <c r="D325" s="340">
        <f t="shared" si="27"/>
        <v>2.5446810218995941E-3</v>
      </c>
      <c r="E325" s="6">
        <v>4</v>
      </c>
      <c r="F325" s="46">
        <v>-5.6999999999999886</v>
      </c>
      <c r="G325" s="61">
        <v>2.6921040587955525E-3</v>
      </c>
      <c r="H325" s="19">
        <f>F325-F330</f>
        <v>12.316666666666674</v>
      </c>
      <c r="I325" s="63">
        <f>G325-G330</f>
        <v>-7.9981907300426865E-3</v>
      </c>
      <c r="J325" s="19">
        <f t="shared" si="28"/>
        <v>-9.8511049158359149E-2</v>
      </c>
      <c r="K325" s="20"/>
      <c r="L325" s="20">
        <f t="shared" si="29"/>
        <v>151.70027777777796</v>
      </c>
      <c r="M325" s="38">
        <f t="shared" si="26"/>
        <v>6.3971054954140767E-5</v>
      </c>
      <c r="N325" s="21"/>
      <c r="P325" s="15"/>
      <c r="Q325" s="75"/>
      <c r="R325" s="76"/>
      <c r="S325" s="41"/>
      <c r="T325" s="41"/>
      <c r="U325" s="41"/>
      <c r="V325" s="58"/>
      <c r="W325" s="58"/>
      <c r="X325" s="77"/>
      <c r="Y325" s="74"/>
      <c r="Z325" s="58"/>
    </row>
    <row r="326" spans="1:26" ht="14.25" customHeight="1">
      <c r="A326" s="130" t="s">
        <v>59</v>
      </c>
      <c r="C326" s="268">
        <f>B318+(B317*F326)</f>
        <v>1.4889275876704846E-2</v>
      </c>
      <c r="D326" s="340">
        <f t="shared" si="27"/>
        <v>6.6235003933347303E-4</v>
      </c>
      <c r="E326" s="6">
        <v>5</v>
      </c>
      <c r="F326" s="46">
        <v>-27.5</v>
      </c>
      <c r="G326" s="61">
        <v>1.4226925837371373E-2</v>
      </c>
      <c r="H326" s="19">
        <f>F326-F330</f>
        <v>-9.4833333333333378</v>
      </c>
      <c r="I326" s="63">
        <f>G326-G330</f>
        <v>3.5366310485331343E-3</v>
      </c>
      <c r="J326" s="19">
        <f t="shared" si="28"/>
        <v>-3.3539051110255909E-2</v>
      </c>
      <c r="K326" s="20"/>
      <c r="L326" s="20">
        <f t="shared" si="29"/>
        <v>89.93361111111119</v>
      </c>
      <c r="M326" s="38">
        <f t="shared" si="26"/>
        <v>1.2507759173448577E-5</v>
      </c>
      <c r="N326" s="21"/>
      <c r="P326" s="107"/>
      <c r="Q326" s="107"/>
      <c r="R326" s="107"/>
      <c r="S326" s="107"/>
      <c r="T326" s="107"/>
      <c r="U326" s="107"/>
      <c r="V326" s="107"/>
      <c r="W326" s="107"/>
      <c r="X326" s="107"/>
      <c r="Y326" s="74"/>
      <c r="Z326" s="58"/>
    </row>
    <row r="327" spans="1:26" ht="15">
      <c r="A327" s="130" t="s">
        <v>60</v>
      </c>
      <c r="C327" s="268">
        <f>B318+(B317*F327)</f>
        <v>4.971120196401304E-3</v>
      </c>
      <c r="D327" s="340">
        <f t="shared" si="27"/>
        <v>-2.7581813236509942E-3</v>
      </c>
      <c r="E327" s="6">
        <v>6</v>
      </c>
      <c r="F327" s="46">
        <v>-5.0999999999999943</v>
      </c>
      <c r="G327" s="61">
        <v>7.7293015200522982E-3</v>
      </c>
      <c r="H327" s="19">
        <f>F327-F330</f>
        <v>12.916666666666668</v>
      </c>
      <c r="I327" s="63">
        <f>G327-G330</f>
        <v>-2.9609932687859409E-3</v>
      </c>
      <c r="J327" s="19">
        <f t="shared" si="28"/>
        <v>-3.8246163055151737E-2</v>
      </c>
      <c r="K327" s="20"/>
      <c r="L327" s="20">
        <f t="shared" si="29"/>
        <v>166.8402777777778</v>
      </c>
      <c r="M327" s="38">
        <f t="shared" si="26"/>
        <v>8.7674811377956502E-6</v>
      </c>
      <c r="N327" s="21"/>
      <c r="P327" s="107"/>
      <c r="Q327" s="107"/>
      <c r="R327" s="107"/>
      <c r="S327" s="107"/>
      <c r="T327" s="107"/>
      <c r="U327" s="107"/>
      <c r="V327" s="107"/>
      <c r="W327" s="107"/>
      <c r="X327" s="107"/>
      <c r="Y327" s="74"/>
      <c r="Z327" s="58"/>
    </row>
    <row r="328" spans="1:26" ht="12.75">
      <c r="C328" s="340"/>
      <c r="D328" s="340"/>
      <c r="E328" s="6"/>
      <c r="F328" s="91"/>
      <c r="G328" s="92"/>
      <c r="H328" s="65"/>
      <c r="J328" s="60"/>
      <c r="K328" s="6"/>
      <c r="L328" s="6"/>
      <c r="M328" s="18"/>
      <c r="N328" s="6"/>
      <c r="Q328" s="41"/>
      <c r="R328" s="83"/>
      <c r="S328" s="41"/>
      <c r="T328" s="41"/>
      <c r="U328" s="41"/>
      <c r="V328" s="58"/>
      <c r="W328" s="58"/>
      <c r="X328" s="77"/>
      <c r="Y328" s="74"/>
      <c r="Z328" s="58"/>
    </row>
    <row r="329" spans="1:26" ht="13.5" thickBot="1">
      <c r="B329" s="2" t="s">
        <v>16</v>
      </c>
      <c r="C329" s="340"/>
      <c r="D329" s="340"/>
      <c r="M329" s="18"/>
      <c r="N329" s="6"/>
      <c r="Q329" s="41"/>
      <c r="R329" s="41"/>
      <c r="S329" s="41"/>
      <c r="T329" s="41"/>
      <c r="U329" s="41"/>
      <c r="V329" s="58"/>
      <c r="W329" s="58"/>
      <c r="X329" s="77"/>
      <c r="Y329" s="74"/>
      <c r="Z329" s="58"/>
    </row>
    <row r="330" spans="1:26" ht="13.5" thickBot="1">
      <c r="B330" s="2" t="s">
        <v>0</v>
      </c>
      <c r="C330" s="340">
        <f>AVERAGE(C322:C327)</f>
        <v>1.0690294788838241E-2</v>
      </c>
      <c r="D330" s="340">
        <f>AVERAGE(D322:D327)</f>
        <v>2.6020852139652106E-18</v>
      </c>
      <c r="F330" s="18">
        <f>AVERAGE(F322:F327)</f>
        <v>-18.016666666666662</v>
      </c>
      <c r="G330" s="64">
        <f>AVERAGE(G322:G327)</f>
        <v>1.0690294788838239E-2</v>
      </c>
      <c r="H330" s="19">
        <f>AVERAGE(H322:H327)</f>
        <v>0</v>
      </c>
      <c r="I330" s="19">
        <f>AVERAGE(I322:I327)</f>
        <v>-7.2280144832366965E-19</v>
      </c>
      <c r="J330" s="59">
        <f>SUM(J322:J327)</f>
        <v>-0.27916435020603192</v>
      </c>
      <c r="K330" s="27" t="s">
        <v>16</v>
      </c>
      <c r="L330" s="28">
        <f>SUM(L322:L327)</f>
        <v>630.48833333333391</v>
      </c>
      <c r="M330" s="28">
        <f>SUM(M322:M327)</f>
        <v>1.6866599135928104E-4</v>
      </c>
      <c r="N330" s="28">
        <f>M330*L330</f>
        <v>0.10634193978212761</v>
      </c>
      <c r="Q330" s="41"/>
      <c r="R330" s="41"/>
      <c r="S330" s="41"/>
      <c r="T330" s="82"/>
      <c r="U330" s="84"/>
      <c r="V330" s="85"/>
      <c r="W330" s="86"/>
      <c r="X330" s="77"/>
      <c r="Y330" s="74"/>
      <c r="Z330" s="87"/>
    </row>
    <row r="331" spans="1:26" ht="15" thickBot="1">
      <c r="B331" s="15" t="s">
        <v>17</v>
      </c>
      <c r="C331" s="29">
        <f>STDEVA(C322:C327)</f>
        <v>4.9720607664713781E-3</v>
      </c>
      <c r="D331" s="29">
        <f>STDEVA(D322:D327)</f>
        <v>3.0019676890953154E-3</v>
      </c>
      <c r="E331" s="15"/>
      <c r="F331" s="30">
        <f>STDEVA(F322:F327)</f>
        <v>11.229321736715296</v>
      </c>
      <c r="G331" s="29">
        <f>STDEVA(G322:G327)</f>
        <v>5.8080287767758336E-3</v>
      </c>
      <c r="H331" s="30">
        <f>STDEVA(H322:H327)</f>
        <v>11.229321736715303</v>
      </c>
      <c r="I331" s="30">
        <f>STDEVA(I322:I327)</f>
        <v>5.8080287767758353E-3</v>
      </c>
      <c r="J331" s="31" t="s">
        <v>16</v>
      </c>
      <c r="K331" s="32"/>
      <c r="L331" s="33"/>
      <c r="M331" s="33"/>
      <c r="N331" s="34"/>
      <c r="Q331" s="41"/>
      <c r="R331" s="41"/>
      <c r="S331" s="41"/>
      <c r="T331" s="41"/>
      <c r="U331" s="84"/>
      <c r="V331" s="85"/>
      <c r="W331" s="85"/>
      <c r="X331" s="88"/>
      <c r="Y331" s="89"/>
      <c r="Z331" s="41"/>
    </row>
    <row r="332" spans="1:26" ht="15.75" customHeight="1">
      <c r="B332" s="15" t="s">
        <v>18</v>
      </c>
      <c r="C332" s="35">
        <f>C331^2</f>
        <v>2.4721388265483948E-5</v>
      </c>
      <c r="D332" s="35">
        <f>D331^2</f>
        <v>9.0118100063722692E-6</v>
      </c>
      <c r="E332" s="15"/>
      <c r="F332" s="30">
        <f>F331^2</f>
        <v>126.09766666666663</v>
      </c>
      <c r="G332" s="35">
        <f>G331^2</f>
        <v>3.3733198271856185E-5</v>
      </c>
      <c r="H332" s="30">
        <f>H331^2</f>
        <v>126.09766666666678</v>
      </c>
      <c r="I332" s="30">
        <f>I331^2</f>
        <v>3.3733198271856206E-5</v>
      </c>
      <c r="J332" s="33"/>
      <c r="K332" s="27"/>
      <c r="L332" s="33"/>
      <c r="M332" s="33"/>
      <c r="N332" s="34"/>
      <c r="P332" s="271" t="s">
        <v>83</v>
      </c>
      <c r="Q332" s="272"/>
      <c r="R332" s="272"/>
      <c r="S332" s="272"/>
      <c r="T332" s="272"/>
      <c r="U332" s="272"/>
      <c r="V332" s="272"/>
      <c r="W332" s="272"/>
      <c r="X332" s="273"/>
      <c r="Y332" s="41"/>
      <c r="Z332" s="41"/>
    </row>
    <row r="333" spans="1:26">
      <c r="B333" s="2" t="s">
        <v>19</v>
      </c>
      <c r="C333" s="30">
        <f>COUNT(C322:C327)</f>
        <v>6</v>
      </c>
      <c r="D333" s="30">
        <f>COUNT(D322:D327)</f>
        <v>6</v>
      </c>
      <c r="F333" s="30">
        <f>COUNT(F322:F327)</f>
        <v>6</v>
      </c>
      <c r="G333" s="30">
        <f>COUNT(G322:G327)</f>
        <v>6</v>
      </c>
      <c r="I333" s="27"/>
      <c r="J333" s="33"/>
      <c r="K333" s="27"/>
      <c r="L333" s="33"/>
      <c r="M333" s="33"/>
      <c r="N333" s="34"/>
      <c r="P333" s="274"/>
      <c r="Q333" s="275"/>
      <c r="R333" s="275"/>
      <c r="S333" s="275"/>
      <c r="T333" s="275"/>
      <c r="U333" s="275"/>
      <c r="V333" s="275"/>
      <c r="W333" s="275"/>
      <c r="X333" s="276"/>
      <c r="Y333" s="41"/>
      <c r="Z333" s="41"/>
    </row>
    <row r="334" spans="1:26">
      <c r="B334" s="36" t="s">
        <v>20</v>
      </c>
      <c r="C334" s="37">
        <f>C330/C331</f>
        <v>2.1500732374244564</v>
      </c>
      <c r="D334" s="37">
        <f>D330/D331</f>
        <v>8.6679321147170141E-16</v>
      </c>
      <c r="E334" s="36"/>
      <c r="F334" s="37">
        <f>F330/F331</f>
        <v>-1.6044305336589939</v>
      </c>
      <c r="G334" s="37">
        <f>G330/G331</f>
        <v>1.8406063743321637</v>
      </c>
      <c r="I334" s="27"/>
      <c r="J334" s="36"/>
      <c r="P334" s="274"/>
      <c r="Q334" s="275"/>
      <c r="R334" s="275"/>
      <c r="S334" s="275"/>
      <c r="T334" s="275"/>
      <c r="U334" s="275"/>
      <c r="V334" s="275"/>
      <c r="W334" s="275"/>
      <c r="X334" s="276"/>
      <c r="Y334" s="41"/>
      <c r="Z334" s="41"/>
    </row>
    <row r="335" spans="1:26">
      <c r="B335" s="36"/>
      <c r="C335" s="37"/>
      <c r="D335" s="36"/>
      <c r="E335" s="36"/>
      <c r="F335" s="37"/>
      <c r="G335" s="37"/>
      <c r="I335" s="27"/>
      <c r="J335" s="36"/>
      <c r="P335" s="274"/>
      <c r="Q335" s="275"/>
      <c r="R335" s="275"/>
      <c r="S335" s="275"/>
      <c r="T335" s="275"/>
      <c r="U335" s="275"/>
      <c r="V335" s="275"/>
      <c r="W335" s="275"/>
      <c r="X335" s="276"/>
      <c r="Y335" s="41"/>
      <c r="Z335" s="41"/>
    </row>
    <row r="336" spans="1:26">
      <c r="B336" s="36"/>
      <c r="C336" s="37"/>
      <c r="D336" s="36"/>
      <c r="E336" s="36"/>
      <c r="F336" s="37"/>
      <c r="G336" s="48" t="s">
        <v>21</v>
      </c>
      <c r="I336" s="49" t="s">
        <v>22</v>
      </c>
      <c r="J336" s="36"/>
      <c r="P336" s="277"/>
      <c r="Q336" s="278"/>
      <c r="R336" s="278"/>
      <c r="S336" s="278"/>
      <c r="T336" s="278"/>
      <c r="U336" s="278"/>
      <c r="V336" s="278"/>
      <c r="W336" s="278"/>
      <c r="X336" s="279"/>
    </row>
    <row r="337" spans="1:17" ht="15.75">
      <c r="A337" s="2" t="s">
        <v>23</v>
      </c>
      <c r="C337" s="37"/>
      <c r="D337" s="36"/>
      <c r="E337" s="36"/>
      <c r="G337" s="24">
        <f>B319*(SQRT((C333-2)/(1-B320)))</f>
        <v>-3.312534498310856</v>
      </c>
      <c r="H337" s="40"/>
      <c r="I337" s="42">
        <f>TDIST(ABS(G337),8,2)</f>
        <v>1.0657896254934733E-2</v>
      </c>
      <c r="J337" s="50" t="s">
        <v>57</v>
      </c>
      <c r="N337" s="2"/>
      <c r="O337" s="41"/>
      <c r="P337" s="43"/>
    </row>
    <row r="338" spans="1:17" ht="15.75">
      <c r="A338" s="2" t="s">
        <v>24</v>
      </c>
      <c r="C338" s="37"/>
      <c r="D338" s="36"/>
      <c r="E338" s="36"/>
      <c r="G338" s="24">
        <f>B317/((G331/F331)*SQRT((1-B320)/(G333-2)))</f>
        <v>-3.3125344983108564</v>
      </c>
      <c r="H338" s="36"/>
      <c r="I338" s="42">
        <f>TDIST(ABS(G338),8,2)</f>
        <v>1.0657896254934733E-2</v>
      </c>
      <c r="J338" s="36"/>
      <c r="K338" s="36"/>
      <c r="N338" s="2"/>
      <c r="O338" s="36"/>
      <c r="P338" s="43"/>
    </row>
    <row r="339" spans="1:17" ht="12.75">
      <c r="C339" s="37"/>
      <c r="D339" s="36"/>
      <c r="E339" s="36"/>
      <c r="J339" s="36"/>
      <c r="K339" s="36"/>
      <c r="N339" s="2"/>
      <c r="O339" s="36"/>
      <c r="P339" s="43"/>
    </row>
    <row r="340" spans="1:17" ht="15.75">
      <c r="A340" s="2" t="s">
        <v>25</v>
      </c>
      <c r="B340" s="37"/>
      <c r="D340" s="38"/>
      <c r="E340" s="56">
        <f>Q340*((G331/F331)*SQRT((1-B319^2)/(G333-2)))</f>
        <v>3.7111762810656813E-4</v>
      </c>
      <c r="F340" s="51" t="s">
        <v>26</v>
      </c>
      <c r="G340" s="98">
        <f>B317-E340</f>
        <v>-8.1389243526297614E-4</v>
      </c>
      <c r="H340" s="51" t="s">
        <v>27</v>
      </c>
      <c r="I340" s="98">
        <f>B317+E340</f>
        <v>-7.1657179049839878E-5</v>
      </c>
      <c r="K340" s="51" t="s">
        <v>28</v>
      </c>
      <c r="L340" s="52">
        <v>0.95</v>
      </c>
      <c r="M340" s="51" t="s">
        <v>29</v>
      </c>
      <c r="N340" s="53">
        <f>C333-2</f>
        <v>4</v>
      </c>
      <c r="P340" s="54" t="s">
        <v>30</v>
      </c>
      <c r="Q340" s="55">
        <f>TINV((1-L340),N340)</f>
        <v>2.776445105197793</v>
      </c>
    </row>
  </sheetData>
  <mergeCells count="48">
    <mergeCell ref="A138:I138"/>
    <mergeCell ref="A139:I139"/>
    <mergeCell ref="A130:A131"/>
    <mergeCell ref="A132:N132"/>
    <mergeCell ref="A134:I134"/>
    <mergeCell ref="A135:B136"/>
    <mergeCell ref="C135:C136"/>
    <mergeCell ref="D135:D136"/>
    <mergeCell ref="E135:E136"/>
    <mergeCell ref="F135:F136"/>
    <mergeCell ref="G135:I135"/>
    <mergeCell ref="F128:F129"/>
    <mergeCell ref="G128:G129"/>
    <mergeCell ref="H128:I128"/>
    <mergeCell ref="J128:L128"/>
    <mergeCell ref="M128:N128"/>
    <mergeCell ref="A116:K116"/>
    <mergeCell ref="A117:K117"/>
    <mergeCell ref="H320:I320"/>
    <mergeCell ref="P332:X336"/>
    <mergeCell ref="H246:I246"/>
    <mergeCell ref="P262:X265"/>
    <mergeCell ref="H287:I287"/>
    <mergeCell ref="P303:X306"/>
    <mergeCell ref="A119:G119"/>
    <mergeCell ref="A120:B120"/>
    <mergeCell ref="A121:A123"/>
    <mergeCell ref="A124:G124"/>
    <mergeCell ref="A125:G125"/>
    <mergeCell ref="A127:N127"/>
    <mergeCell ref="A128:B129"/>
    <mergeCell ref="C128:D128"/>
    <mergeCell ref="H8:I8"/>
    <mergeCell ref="H67:I67"/>
    <mergeCell ref="H147:I147"/>
    <mergeCell ref="P165:X168"/>
    <mergeCell ref="P212:X215"/>
    <mergeCell ref="P86:X89"/>
    <mergeCell ref="P26:X29"/>
    <mergeCell ref="H196:I196"/>
    <mergeCell ref="A112:K112"/>
    <mergeCell ref="A113:A114"/>
    <mergeCell ref="B113:B114"/>
    <mergeCell ref="C113:C114"/>
    <mergeCell ref="D113:D114"/>
    <mergeCell ref="E113:E114"/>
    <mergeCell ref="F113:J113"/>
    <mergeCell ref="K113:K114"/>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A719F-E357-4719-9963-98E6DDE65E79}">
  <dimension ref="A1:Z377"/>
  <sheetViews>
    <sheetView zoomScale="90" zoomScaleNormal="90" workbookViewId="0"/>
  </sheetViews>
  <sheetFormatPr baseColWidth="10" defaultRowHeight="14.25"/>
  <cols>
    <col min="1" max="1" width="20.28515625" style="2" customWidth="1"/>
    <col min="2" max="3" width="11.42578125" style="2"/>
    <col min="4" max="4" width="11.85546875" style="2" customWidth="1"/>
    <col min="5" max="9" width="11.42578125" style="2"/>
    <col min="10" max="10" width="11.7109375" style="2" customWidth="1"/>
    <col min="11" max="13" width="11.42578125" style="2"/>
    <col min="14" max="14" width="14" style="3" customWidth="1"/>
    <col min="15" max="15" width="4.5703125" style="2" customWidth="1"/>
    <col min="16" max="16" width="11.42578125" style="2"/>
    <col min="17" max="17" width="11.5703125" style="2" customWidth="1"/>
    <col min="18" max="18" width="11.42578125" style="2"/>
    <col min="19" max="19" width="11.7109375" style="2" customWidth="1"/>
    <col min="20" max="256" width="11.42578125" style="2"/>
    <col min="257" max="257" width="20.28515625" style="2" customWidth="1"/>
    <col min="258" max="259" width="11.42578125" style="2"/>
    <col min="260" max="260" width="11.85546875" style="2" customWidth="1"/>
    <col min="261" max="265" width="11.42578125" style="2"/>
    <col min="266" max="266" width="11.7109375" style="2" customWidth="1"/>
    <col min="267" max="269" width="11.42578125" style="2"/>
    <col min="270" max="270" width="14" style="2" customWidth="1"/>
    <col min="271" max="271" width="4.5703125" style="2" customWidth="1"/>
    <col min="272" max="272" width="11.42578125" style="2"/>
    <col min="273" max="273" width="11.5703125" style="2" customWidth="1"/>
    <col min="274" max="274" width="11.42578125" style="2"/>
    <col min="275" max="275" width="11.7109375" style="2" customWidth="1"/>
    <col min="276" max="512" width="11.42578125" style="2"/>
    <col min="513" max="513" width="20.28515625" style="2" customWidth="1"/>
    <col min="514" max="515" width="11.42578125" style="2"/>
    <col min="516" max="516" width="11.85546875" style="2" customWidth="1"/>
    <col min="517" max="521" width="11.42578125" style="2"/>
    <col min="522" max="522" width="11.7109375" style="2" customWidth="1"/>
    <col min="523" max="525" width="11.42578125" style="2"/>
    <col min="526" max="526" width="14" style="2" customWidth="1"/>
    <col min="527" max="527" width="4.5703125" style="2" customWidth="1"/>
    <col min="528" max="528" width="11.42578125" style="2"/>
    <col min="529" max="529" width="11.5703125" style="2" customWidth="1"/>
    <col min="530" max="530" width="11.42578125" style="2"/>
    <col min="531" max="531" width="11.7109375" style="2" customWidth="1"/>
    <col min="532" max="768" width="11.42578125" style="2"/>
    <col min="769" max="769" width="20.28515625" style="2" customWidth="1"/>
    <col min="770" max="771" width="11.42578125" style="2"/>
    <col min="772" max="772" width="11.85546875" style="2" customWidth="1"/>
    <col min="773" max="777" width="11.42578125" style="2"/>
    <col min="778" max="778" width="11.7109375" style="2" customWidth="1"/>
    <col min="779" max="781" width="11.42578125" style="2"/>
    <col min="782" max="782" width="14" style="2" customWidth="1"/>
    <col min="783" max="783" width="4.5703125" style="2" customWidth="1"/>
    <col min="784" max="784" width="11.42578125" style="2"/>
    <col min="785" max="785" width="11.5703125" style="2" customWidth="1"/>
    <col min="786" max="786" width="11.42578125" style="2"/>
    <col min="787" max="787" width="11.7109375" style="2" customWidth="1"/>
    <col min="788" max="1024" width="11.42578125" style="2"/>
    <col min="1025" max="1025" width="20.28515625" style="2" customWidth="1"/>
    <col min="1026" max="1027" width="11.42578125" style="2"/>
    <col min="1028" max="1028" width="11.85546875" style="2" customWidth="1"/>
    <col min="1029" max="1033" width="11.42578125" style="2"/>
    <col min="1034" max="1034" width="11.7109375" style="2" customWidth="1"/>
    <col min="1035" max="1037" width="11.42578125" style="2"/>
    <col min="1038" max="1038" width="14" style="2" customWidth="1"/>
    <col min="1039" max="1039" width="4.5703125" style="2" customWidth="1"/>
    <col min="1040" max="1040" width="11.42578125" style="2"/>
    <col min="1041" max="1041" width="11.5703125" style="2" customWidth="1"/>
    <col min="1042" max="1042" width="11.42578125" style="2"/>
    <col min="1043" max="1043" width="11.7109375" style="2" customWidth="1"/>
    <col min="1044" max="1280" width="11.42578125" style="2"/>
    <col min="1281" max="1281" width="20.28515625" style="2" customWidth="1"/>
    <col min="1282" max="1283" width="11.42578125" style="2"/>
    <col min="1284" max="1284" width="11.85546875" style="2" customWidth="1"/>
    <col min="1285" max="1289" width="11.42578125" style="2"/>
    <col min="1290" max="1290" width="11.7109375" style="2" customWidth="1"/>
    <col min="1291" max="1293" width="11.42578125" style="2"/>
    <col min="1294" max="1294" width="14" style="2" customWidth="1"/>
    <col min="1295" max="1295" width="4.5703125" style="2" customWidth="1"/>
    <col min="1296" max="1296" width="11.42578125" style="2"/>
    <col min="1297" max="1297" width="11.5703125" style="2" customWidth="1"/>
    <col min="1298" max="1298" width="11.42578125" style="2"/>
    <col min="1299" max="1299" width="11.7109375" style="2" customWidth="1"/>
    <col min="1300" max="1536" width="11.42578125" style="2"/>
    <col min="1537" max="1537" width="20.28515625" style="2" customWidth="1"/>
    <col min="1538" max="1539" width="11.42578125" style="2"/>
    <col min="1540" max="1540" width="11.85546875" style="2" customWidth="1"/>
    <col min="1541" max="1545" width="11.42578125" style="2"/>
    <col min="1546" max="1546" width="11.7109375" style="2" customWidth="1"/>
    <col min="1547" max="1549" width="11.42578125" style="2"/>
    <col min="1550" max="1550" width="14" style="2" customWidth="1"/>
    <col min="1551" max="1551" width="4.5703125" style="2" customWidth="1"/>
    <col min="1552" max="1552" width="11.42578125" style="2"/>
    <col min="1553" max="1553" width="11.5703125" style="2" customWidth="1"/>
    <col min="1554" max="1554" width="11.42578125" style="2"/>
    <col min="1555" max="1555" width="11.7109375" style="2" customWidth="1"/>
    <col min="1556" max="1792" width="11.42578125" style="2"/>
    <col min="1793" max="1793" width="20.28515625" style="2" customWidth="1"/>
    <col min="1794" max="1795" width="11.42578125" style="2"/>
    <col min="1796" max="1796" width="11.85546875" style="2" customWidth="1"/>
    <col min="1797" max="1801" width="11.42578125" style="2"/>
    <col min="1802" max="1802" width="11.7109375" style="2" customWidth="1"/>
    <col min="1803" max="1805" width="11.42578125" style="2"/>
    <col min="1806" max="1806" width="14" style="2" customWidth="1"/>
    <col min="1807" max="1807" width="4.5703125" style="2" customWidth="1"/>
    <col min="1808" max="1808" width="11.42578125" style="2"/>
    <col min="1809" max="1809" width="11.5703125" style="2" customWidth="1"/>
    <col min="1810" max="1810" width="11.42578125" style="2"/>
    <col min="1811" max="1811" width="11.7109375" style="2" customWidth="1"/>
    <col min="1812" max="2048" width="11.42578125" style="2"/>
    <col min="2049" max="2049" width="20.28515625" style="2" customWidth="1"/>
    <col min="2050" max="2051" width="11.42578125" style="2"/>
    <col min="2052" max="2052" width="11.85546875" style="2" customWidth="1"/>
    <col min="2053" max="2057" width="11.42578125" style="2"/>
    <col min="2058" max="2058" width="11.7109375" style="2" customWidth="1"/>
    <col min="2059" max="2061" width="11.42578125" style="2"/>
    <col min="2062" max="2062" width="14" style="2" customWidth="1"/>
    <col min="2063" max="2063" width="4.5703125" style="2" customWidth="1"/>
    <col min="2064" max="2064" width="11.42578125" style="2"/>
    <col min="2065" max="2065" width="11.5703125" style="2" customWidth="1"/>
    <col min="2066" max="2066" width="11.42578125" style="2"/>
    <col min="2067" max="2067" width="11.7109375" style="2" customWidth="1"/>
    <col min="2068" max="2304" width="11.42578125" style="2"/>
    <col min="2305" max="2305" width="20.28515625" style="2" customWidth="1"/>
    <col min="2306" max="2307" width="11.42578125" style="2"/>
    <col min="2308" max="2308" width="11.85546875" style="2" customWidth="1"/>
    <col min="2309" max="2313" width="11.42578125" style="2"/>
    <col min="2314" max="2314" width="11.7109375" style="2" customWidth="1"/>
    <col min="2315" max="2317" width="11.42578125" style="2"/>
    <col min="2318" max="2318" width="14" style="2" customWidth="1"/>
    <col min="2319" max="2319" width="4.5703125" style="2" customWidth="1"/>
    <col min="2320" max="2320" width="11.42578125" style="2"/>
    <col min="2321" max="2321" width="11.5703125" style="2" customWidth="1"/>
    <col min="2322" max="2322" width="11.42578125" style="2"/>
    <col min="2323" max="2323" width="11.7109375" style="2" customWidth="1"/>
    <col min="2324" max="2560" width="11.42578125" style="2"/>
    <col min="2561" max="2561" width="20.28515625" style="2" customWidth="1"/>
    <col min="2562" max="2563" width="11.42578125" style="2"/>
    <col min="2564" max="2564" width="11.85546875" style="2" customWidth="1"/>
    <col min="2565" max="2569" width="11.42578125" style="2"/>
    <col min="2570" max="2570" width="11.7109375" style="2" customWidth="1"/>
    <col min="2571" max="2573" width="11.42578125" style="2"/>
    <col min="2574" max="2574" width="14" style="2" customWidth="1"/>
    <col min="2575" max="2575" width="4.5703125" style="2" customWidth="1"/>
    <col min="2576" max="2576" width="11.42578125" style="2"/>
    <col min="2577" max="2577" width="11.5703125" style="2" customWidth="1"/>
    <col min="2578" max="2578" width="11.42578125" style="2"/>
    <col min="2579" max="2579" width="11.7109375" style="2" customWidth="1"/>
    <col min="2580" max="2816" width="11.42578125" style="2"/>
    <col min="2817" max="2817" width="20.28515625" style="2" customWidth="1"/>
    <col min="2818" max="2819" width="11.42578125" style="2"/>
    <col min="2820" max="2820" width="11.85546875" style="2" customWidth="1"/>
    <col min="2821" max="2825" width="11.42578125" style="2"/>
    <col min="2826" max="2826" width="11.7109375" style="2" customWidth="1"/>
    <col min="2827" max="2829" width="11.42578125" style="2"/>
    <col min="2830" max="2830" width="14" style="2" customWidth="1"/>
    <col min="2831" max="2831" width="4.5703125" style="2" customWidth="1"/>
    <col min="2832" max="2832" width="11.42578125" style="2"/>
    <col min="2833" max="2833" width="11.5703125" style="2" customWidth="1"/>
    <col min="2834" max="2834" width="11.42578125" style="2"/>
    <col min="2835" max="2835" width="11.7109375" style="2" customWidth="1"/>
    <col min="2836" max="3072" width="11.42578125" style="2"/>
    <col min="3073" max="3073" width="20.28515625" style="2" customWidth="1"/>
    <col min="3074" max="3075" width="11.42578125" style="2"/>
    <col min="3076" max="3076" width="11.85546875" style="2" customWidth="1"/>
    <col min="3077" max="3081" width="11.42578125" style="2"/>
    <col min="3082" max="3082" width="11.7109375" style="2" customWidth="1"/>
    <col min="3083" max="3085" width="11.42578125" style="2"/>
    <col min="3086" max="3086" width="14" style="2" customWidth="1"/>
    <col min="3087" max="3087" width="4.5703125" style="2" customWidth="1"/>
    <col min="3088" max="3088" width="11.42578125" style="2"/>
    <col min="3089" max="3089" width="11.5703125" style="2" customWidth="1"/>
    <col min="3090" max="3090" width="11.42578125" style="2"/>
    <col min="3091" max="3091" width="11.7109375" style="2" customWidth="1"/>
    <col min="3092" max="3328" width="11.42578125" style="2"/>
    <col min="3329" max="3329" width="20.28515625" style="2" customWidth="1"/>
    <col min="3330" max="3331" width="11.42578125" style="2"/>
    <col min="3332" max="3332" width="11.85546875" style="2" customWidth="1"/>
    <col min="3333" max="3337" width="11.42578125" style="2"/>
    <col min="3338" max="3338" width="11.7109375" style="2" customWidth="1"/>
    <col min="3339" max="3341" width="11.42578125" style="2"/>
    <col min="3342" max="3342" width="14" style="2" customWidth="1"/>
    <col min="3343" max="3343" width="4.5703125" style="2" customWidth="1"/>
    <col min="3344" max="3344" width="11.42578125" style="2"/>
    <col min="3345" max="3345" width="11.5703125" style="2" customWidth="1"/>
    <col min="3346" max="3346" width="11.42578125" style="2"/>
    <col min="3347" max="3347" width="11.7109375" style="2" customWidth="1"/>
    <col min="3348" max="3584" width="11.42578125" style="2"/>
    <col min="3585" max="3585" width="20.28515625" style="2" customWidth="1"/>
    <col min="3586" max="3587" width="11.42578125" style="2"/>
    <col min="3588" max="3588" width="11.85546875" style="2" customWidth="1"/>
    <col min="3589" max="3593" width="11.42578125" style="2"/>
    <col min="3594" max="3594" width="11.7109375" style="2" customWidth="1"/>
    <col min="3595" max="3597" width="11.42578125" style="2"/>
    <col min="3598" max="3598" width="14" style="2" customWidth="1"/>
    <col min="3599" max="3599" width="4.5703125" style="2" customWidth="1"/>
    <col min="3600" max="3600" width="11.42578125" style="2"/>
    <col min="3601" max="3601" width="11.5703125" style="2" customWidth="1"/>
    <col min="3602" max="3602" width="11.42578125" style="2"/>
    <col min="3603" max="3603" width="11.7109375" style="2" customWidth="1"/>
    <col min="3604" max="3840" width="11.42578125" style="2"/>
    <col min="3841" max="3841" width="20.28515625" style="2" customWidth="1"/>
    <col min="3842" max="3843" width="11.42578125" style="2"/>
    <col min="3844" max="3844" width="11.85546875" style="2" customWidth="1"/>
    <col min="3845" max="3849" width="11.42578125" style="2"/>
    <col min="3850" max="3850" width="11.7109375" style="2" customWidth="1"/>
    <col min="3851" max="3853" width="11.42578125" style="2"/>
    <col min="3854" max="3854" width="14" style="2" customWidth="1"/>
    <col min="3855" max="3855" width="4.5703125" style="2" customWidth="1"/>
    <col min="3856" max="3856" width="11.42578125" style="2"/>
    <col min="3857" max="3857" width="11.5703125" style="2" customWidth="1"/>
    <col min="3858" max="3858" width="11.42578125" style="2"/>
    <col min="3859" max="3859" width="11.7109375" style="2" customWidth="1"/>
    <col min="3860" max="4096" width="11.42578125" style="2"/>
    <col min="4097" max="4097" width="20.28515625" style="2" customWidth="1"/>
    <col min="4098" max="4099" width="11.42578125" style="2"/>
    <col min="4100" max="4100" width="11.85546875" style="2" customWidth="1"/>
    <col min="4101" max="4105" width="11.42578125" style="2"/>
    <col min="4106" max="4106" width="11.7109375" style="2" customWidth="1"/>
    <col min="4107" max="4109" width="11.42578125" style="2"/>
    <col min="4110" max="4110" width="14" style="2" customWidth="1"/>
    <col min="4111" max="4111" width="4.5703125" style="2" customWidth="1"/>
    <col min="4112" max="4112" width="11.42578125" style="2"/>
    <col min="4113" max="4113" width="11.5703125" style="2" customWidth="1"/>
    <col min="4114" max="4114" width="11.42578125" style="2"/>
    <col min="4115" max="4115" width="11.7109375" style="2" customWidth="1"/>
    <col min="4116" max="4352" width="11.42578125" style="2"/>
    <col min="4353" max="4353" width="20.28515625" style="2" customWidth="1"/>
    <col min="4354" max="4355" width="11.42578125" style="2"/>
    <col min="4356" max="4356" width="11.85546875" style="2" customWidth="1"/>
    <col min="4357" max="4361" width="11.42578125" style="2"/>
    <col min="4362" max="4362" width="11.7109375" style="2" customWidth="1"/>
    <col min="4363" max="4365" width="11.42578125" style="2"/>
    <col min="4366" max="4366" width="14" style="2" customWidth="1"/>
    <col min="4367" max="4367" width="4.5703125" style="2" customWidth="1"/>
    <col min="4368" max="4368" width="11.42578125" style="2"/>
    <col min="4369" max="4369" width="11.5703125" style="2" customWidth="1"/>
    <col min="4370" max="4370" width="11.42578125" style="2"/>
    <col min="4371" max="4371" width="11.7109375" style="2" customWidth="1"/>
    <col min="4372" max="4608" width="11.42578125" style="2"/>
    <col min="4609" max="4609" width="20.28515625" style="2" customWidth="1"/>
    <col min="4610" max="4611" width="11.42578125" style="2"/>
    <col min="4612" max="4612" width="11.85546875" style="2" customWidth="1"/>
    <col min="4613" max="4617" width="11.42578125" style="2"/>
    <col min="4618" max="4618" width="11.7109375" style="2" customWidth="1"/>
    <col min="4619" max="4621" width="11.42578125" style="2"/>
    <col min="4622" max="4622" width="14" style="2" customWidth="1"/>
    <col min="4623" max="4623" width="4.5703125" style="2" customWidth="1"/>
    <col min="4624" max="4624" width="11.42578125" style="2"/>
    <col min="4625" max="4625" width="11.5703125" style="2" customWidth="1"/>
    <col min="4626" max="4626" width="11.42578125" style="2"/>
    <col min="4627" max="4627" width="11.7109375" style="2" customWidth="1"/>
    <col min="4628" max="4864" width="11.42578125" style="2"/>
    <col min="4865" max="4865" width="20.28515625" style="2" customWidth="1"/>
    <col min="4866" max="4867" width="11.42578125" style="2"/>
    <col min="4868" max="4868" width="11.85546875" style="2" customWidth="1"/>
    <col min="4869" max="4873" width="11.42578125" style="2"/>
    <col min="4874" max="4874" width="11.7109375" style="2" customWidth="1"/>
    <col min="4875" max="4877" width="11.42578125" style="2"/>
    <col min="4878" max="4878" width="14" style="2" customWidth="1"/>
    <col min="4879" max="4879" width="4.5703125" style="2" customWidth="1"/>
    <col min="4880" max="4880" width="11.42578125" style="2"/>
    <col min="4881" max="4881" width="11.5703125" style="2" customWidth="1"/>
    <col min="4882" max="4882" width="11.42578125" style="2"/>
    <col min="4883" max="4883" width="11.7109375" style="2" customWidth="1"/>
    <col min="4884" max="5120" width="11.42578125" style="2"/>
    <col min="5121" max="5121" width="20.28515625" style="2" customWidth="1"/>
    <col min="5122" max="5123" width="11.42578125" style="2"/>
    <col min="5124" max="5124" width="11.85546875" style="2" customWidth="1"/>
    <col min="5125" max="5129" width="11.42578125" style="2"/>
    <col min="5130" max="5130" width="11.7109375" style="2" customWidth="1"/>
    <col min="5131" max="5133" width="11.42578125" style="2"/>
    <col min="5134" max="5134" width="14" style="2" customWidth="1"/>
    <col min="5135" max="5135" width="4.5703125" style="2" customWidth="1"/>
    <col min="5136" max="5136" width="11.42578125" style="2"/>
    <col min="5137" max="5137" width="11.5703125" style="2" customWidth="1"/>
    <col min="5138" max="5138" width="11.42578125" style="2"/>
    <col min="5139" max="5139" width="11.7109375" style="2" customWidth="1"/>
    <col min="5140" max="5376" width="11.42578125" style="2"/>
    <col min="5377" max="5377" width="20.28515625" style="2" customWidth="1"/>
    <col min="5378" max="5379" width="11.42578125" style="2"/>
    <col min="5380" max="5380" width="11.85546875" style="2" customWidth="1"/>
    <col min="5381" max="5385" width="11.42578125" style="2"/>
    <col min="5386" max="5386" width="11.7109375" style="2" customWidth="1"/>
    <col min="5387" max="5389" width="11.42578125" style="2"/>
    <col min="5390" max="5390" width="14" style="2" customWidth="1"/>
    <col min="5391" max="5391" width="4.5703125" style="2" customWidth="1"/>
    <col min="5392" max="5392" width="11.42578125" style="2"/>
    <col min="5393" max="5393" width="11.5703125" style="2" customWidth="1"/>
    <col min="5394" max="5394" width="11.42578125" style="2"/>
    <col min="5395" max="5395" width="11.7109375" style="2" customWidth="1"/>
    <col min="5396" max="5632" width="11.42578125" style="2"/>
    <col min="5633" max="5633" width="20.28515625" style="2" customWidth="1"/>
    <col min="5634" max="5635" width="11.42578125" style="2"/>
    <col min="5636" max="5636" width="11.85546875" style="2" customWidth="1"/>
    <col min="5637" max="5641" width="11.42578125" style="2"/>
    <col min="5642" max="5642" width="11.7109375" style="2" customWidth="1"/>
    <col min="5643" max="5645" width="11.42578125" style="2"/>
    <col min="5646" max="5646" width="14" style="2" customWidth="1"/>
    <col min="5647" max="5647" width="4.5703125" style="2" customWidth="1"/>
    <col min="5648" max="5648" width="11.42578125" style="2"/>
    <col min="5649" max="5649" width="11.5703125" style="2" customWidth="1"/>
    <col min="5650" max="5650" width="11.42578125" style="2"/>
    <col min="5651" max="5651" width="11.7109375" style="2" customWidth="1"/>
    <col min="5652" max="5888" width="11.42578125" style="2"/>
    <col min="5889" max="5889" width="20.28515625" style="2" customWidth="1"/>
    <col min="5890" max="5891" width="11.42578125" style="2"/>
    <col min="5892" max="5892" width="11.85546875" style="2" customWidth="1"/>
    <col min="5893" max="5897" width="11.42578125" style="2"/>
    <col min="5898" max="5898" width="11.7109375" style="2" customWidth="1"/>
    <col min="5899" max="5901" width="11.42578125" style="2"/>
    <col min="5902" max="5902" width="14" style="2" customWidth="1"/>
    <col min="5903" max="5903" width="4.5703125" style="2" customWidth="1"/>
    <col min="5904" max="5904" width="11.42578125" style="2"/>
    <col min="5905" max="5905" width="11.5703125" style="2" customWidth="1"/>
    <col min="5906" max="5906" width="11.42578125" style="2"/>
    <col min="5907" max="5907" width="11.7109375" style="2" customWidth="1"/>
    <col min="5908" max="6144" width="11.42578125" style="2"/>
    <col min="6145" max="6145" width="20.28515625" style="2" customWidth="1"/>
    <col min="6146" max="6147" width="11.42578125" style="2"/>
    <col min="6148" max="6148" width="11.85546875" style="2" customWidth="1"/>
    <col min="6149" max="6153" width="11.42578125" style="2"/>
    <col min="6154" max="6154" width="11.7109375" style="2" customWidth="1"/>
    <col min="6155" max="6157" width="11.42578125" style="2"/>
    <col min="6158" max="6158" width="14" style="2" customWidth="1"/>
    <col min="6159" max="6159" width="4.5703125" style="2" customWidth="1"/>
    <col min="6160" max="6160" width="11.42578125" style="2"/>
    <col min="6161" max="6161" width="11.5703125" style="2" customWidth="1"/>
    <col min="6162" max="6162" width="11.42578125" style="2"/>
    <col min="6163" max="6163" width="11.7109375" style="2" customWidth="1"/>
    <col min="6164" max="6400" width="11.42578125" style="2"/>
    <col min="6401" max="6401" width="20.28515625" style="2" customWidth="1"/>
    <col min="6402" max="6403" width="11.42578125" style="2"/>
    <col min="6404" max="6404" width="11.85546875" style="2" customWidth="1"/>
    <col min="6405" max="6409" width="11.42578125" style="2"/>
    <col min="6410" max="6410" width="11.7109375" style="2" customWidth="1"/>
    <col min="6411" max="6413" width="11.42578125" style="2"/>
    <col min="6414" max="6414" width="14" style="2" customWidth="1"/>
    <col min="6415" max="6415" width="4.5703125" style="2" customWidth="1"/>
    <col min="6416" max="6416" width="11.42578125" style="2"/>
    <col min="6417" max="6417" width="11.5703125" style="2" customWidth="1"/>
    <col min="6418" max="6418" width="11.42578125" style="2"/>
    <col min="6419" max="6419" width="11.7109375" style="2" customWidth="1"/>
    <col min="6420" max="6656" width="11.42578125" style="2"/>
    <col min="6657" max="6657" width="20.28515625" style="2" customWidth="1"/>
    <col min="6658" max="6659" width="11.42578125" style="2"/>
    <col min="6660" max="6660" width="11.85546875" style="2" customWidth="1"/>
    <col min="6661" max="6665" width="11.42578125" style="2"/>
    <col min="6666" max="6666" width="11.7109375" style="2" customWidth="1"/>
    <col min="6667" max="6669" width="11.42578125" style="2"/>
    <col min="6670" max="6670" width="14" style="2" customWidth="1"/>
    <col min="6671" max="6671" width="4.5703125" style="2" customWidth="1"/>
    <col min="6672" max="6672" width="11.42578125" style="2"/>
    <col min="6673" max="6673" width="11.5703125" style="2" customWidth="1"/>
    <col min="6674" max="6674" width="11.42578125" style="2"/>
    <col min="6675" max="6675" width="11.7109375" style="2" customWidth="1"/>
    <col min="6676" max="6912" width="11.42578125" style="2"/>
    <col min="6913" max="6913" width="20.28515625" style="2" customWidth="1"/>
    <col min="6914" max="6915" width="11.42578125" style="2"/>
    <col min="6916" max="6916" width="11.85546875" style="2" customWidth="1"/>
    <col min="6917" max="6921" width="11.42578125" style="2"/>
    <col min="6922" max="6922" width="11.7109375" style="2" customWidth="1"/>
    <col min="6923" max="6925" width="11.42578125" style="2"/>
    <col min="6926" max="6926" width="14" style="2" customWidth="1"/>
    <col min="6927" max="6927" width="4.5703125" style="2" customWidth="1"/>
    <col min="6928" max="6928" width="11.42578125" style="2"/>
    <col min="6929" max="6929" width="11.5703125" style="2" customWidth="1"/>
    <col min="6930" max="6930" width="11.42578125" style="2"/>
    <col min="6931" max="6931" width="11.7109375" style="2" customWidth="1"/>
    <col min="6932" max="7168" width="11.42578125" style="2"/>
    <col min="7169" max="7169" width="20.28515625" style="2" customWidth="1"/>
    <col min="7170" max="7171" width="11.42578125" style="2"/>
    <col min="7172" max="7172" width="11.85546875" style="2" customWidth="1"/>
    <col min="7173" max="7177" width="11.42578125" style="2"/>
    <col min="7178" max="7178" width="11.7109375" style="2" customWidth="1"/>
    <col min="7179" max="7181" width="11.42578125" style="2"/>
    <col min="7182" max="7182" width="14" style="2" customWidth="1"/>
    <col min="7183" max="7183" width="4.5703125" style="2" customWidth="1"/>
    <col min="7184" max="7184" width="11.42578125" style="2"/>
    <col min="7185" max="7185" width="11.5703125" style="2" customWidth="1"/>
    <col min="7186" max="7186" width="11.42578125" style="2"/>
    <col min="7187" max="7187" width="11.7109375" style="2" customWidth="1"/>
    <col min="7188" max="7424" width="11.42578125" style="2"/>
    <col min="7425" max="7425" width="20.28515625" style="2" customWidth="1"/>
    <col min="7426" max="7427" width="11.42578125" style="2"/>
    <col min="7428" max="7428" width="11.85546875" style="2" customWidth="1"/>
    <col min="7429" max="7433" width="11.42578125" style="2"/>
    <col min="7434" max="7434" width="11.7109375" style="2" customWidth="1"/>
    <col min="7435" max="7437" width="11.42578125" style="2"/>
    <col min="7438" max="7438" width="14" style="2" customWidth="1"/>
    <col min="7439" max="7439" width="4.5703125" style="2" customWidth="1"/>
    <col min="7440" max="7440" width="11.42578125" style="2"/>
    <col min="7441" max="7441" width="11.5703125" style="2" customWidth="1"/>
    <col min="7442" max="7442" width="11.42578125" style="2"/>
    <col min="7443" max="7443" width="11.7109375" style="2" customWidth="1"/>
    <col min="7444" max="7680" width="11.42578125" style="2"/>
    <col min="7681" max="7681" width="20.28515625" style="2" customWidth="1"/>
    <col min="7682" max="7683" width="11.42578125" style="2"/>
    <col min="7684" max="7684" width="11.85546875" style="2" customWidth="1"/>
    <col min="7685" max="7689" width="11.42578125" style="2"/>
    <col min="7690" max="7690" width="11.7109375" style="2" customWidth="1"/>
    <col min="7691" max="7693" width="11.42578125" style="2"/>
    <col min="7694" max="7694" width="14" style="2" customWidth="1"/>
    <col min="7695" max="7695" width="4.5703125" style="2" customWidth="1"/>
    <col min="7696" max="7696" width="11.42578125" style="2"/>
    <col min="7697" max="7697" width="11.5703125" style="2" customWidth="1"/>
    <col min="7698" max="7698" width="11.42578125" style="2"/>
    <col min="7699" max="7699" width="11.7109375" style="2" customWidth="1"/>
    <col min="7700" max="7936" width="11.42578125" style="2"/>
    <col min="7937" max="7937" width="20.28515625" style="2" customWidth="1"/>
    <col min="7938" max="7939" width="11.42578125" style="2"/>
    <col min="7940" max="7940" width="11.85546875" style="2" customWidth="1"/>
    <col min="7941" max="7945" width="11.42578125" style="2"/>
    <col min="7946" max="7946" width="11.7109375" style="2" customWidth="1"/>
    <col min="7947" max="7949" width="11.42578125" style="2"/>
    <col min="7950" max="7950" width="14" style="2" customWidth="1"/>
    <col min="7951" max="7951" width="4.5703125" style="2" customWidth="1"/>
    <col min="7952" max="7952" width="11.42578125" style="2"/>
    <col min="7953" max="7953" width="11.5703125" style="2" customWidth="1"/>
    <col min="7954" max="7954" width="11.42578125" style="2"/>
    <col min="7955" max="7955" width="11.7109375" style="2" customWidth="1"/>
    <col min="7956" max="8192" width="11.42578125" style="2"/>
    <col min="8193" max="8193" width="20.28515625" style="2" customWidth="1"/>
    <col min="8194" max="8195" width="11.42578125" style="2"/>
    <col min="8196" max="8196" width="11.85546875" style="2" customWidth="1"/>
    <col min="8197" max="8201" width="11.42578125" style="2"/>
    <col min="8202" max="8202" width="11.7109375" style="2" customWidth="1"/>
    <col min="8203" max="8205" width="11.42578125" style="2"/>
    <col min="8206" max="8206" width="14" style="2" customWidth="1"/>
    <col min="8207" max="8207" width="4.5703125" style="2" customWidth="1"/>
    <col min="8208" max="8208" width="11.42578125" style="2"/>
    <col min="8209" max="8209" width="11.5703125" style="2" customWidth="1"/>
    <col min="8210" max="8210" width="11.42578125" style="2"/>
    <col min="8211" max="8211" width="11.7109375" style="2" customWidth="1"/>
    <col min="8212" max="8448" width="11.42578125" style="2"/>
    <col min="8449" max="8449" width="20.28515625" style="2" customWidth="1"/>
    <col min="8450" max="8451" width="11.42578125" style="2"/>
    <col min="8452" max="8452" width="11.85546875" style="2" customWidth="1"/>
    <col min="8453" max="8457" width="11.42578125" style="2"/>
    <col min="8458" max="8458" width="11.7109375" style="2" customWidth="1"/>
    <col min="8459" max="8461" width="11.42578125" style="2"/>
    <col min="8462" max="8462" width="14" style="2" customWidth="1"/>
    <col min="8463" max="8463" width="4.5703125" style="2" customWidth="1"/>
    <col min="8464" max="8464" width="11.42578125" style="2"/>
    <col min="8465" max="8465" width="11.5703125" style="2" customWidth="1"/>
    <col min="8466" max="8466" width="11.42578125" style="2"/>
    <col min="8467" max="8467" width="11.7109375" style="2" customWidth="1"/>
    <col min="8468" max="8704" width="11.42578125" style="2"/>
    <col min="8705" max="8705" width="20.28515625" style="2" customWidth="1"/>
    <col min="8706" max="8707" width="11.42578125" style="2"/>
    <col min="8708" max="8708" width="11.85546875" style="2" customWidth="1"/>
    <col min="8709" max="8713" width="11.42578125" style="2"/>
    <col min="8714" max="8714" width="11.7109375" style="2" customWidth="1"/>
    <col min="8715" max="8717" width="11.42578125" style="2"/>
    <col min="8718" max="8718" width="14" style="2" customWidth="1"/>
    <col min="8719" max="8719" width="4.5703125" style="2" customWidth="1"/>
    <col min="8720" max="8720" width="11.42578125" style="2"/>
    <col min="8721" max="8721" width="11.5703125" style="2" customWidth="1"/>
    <col min="8722" max="8722" width="11.42578125" style="2"/>
    <col min="8723" max="8723" width="11.7109375" style="2" customWidth="1"/>
    <col min="8724" max="8960" width="11.42578125" style="2"/>
    <col min="8961" max="8961" width="20.28515625" style="2" customWidth="1"/>
    <col min="8962" max="8963" width="11.42578125" style="2"/>
    <col min="8964" max="8964" width="11.85546875" style="2" customWidth="1"/>
    <col min="8965" max="8969" width="11.42578125" style="2"/>
    <col min="8970" max="8970" width="11.7109375" style="2" customWidth="1"/>
    <col min="8971" max="8973" width="11.42578125" style="2"/>
    <col min="8974" max="8974" width="14" style="2" customWidth="1"/>
    <col min="8975" max="8975" width="4.5703125" style="2" customWidth="1"/>
    <col min="8976" max="8976" width="11.42578125" style="2"/>
    <col min="8977" max="8977" width="11.5703125" style="2" customWidth="1"/>
    <col min="8978" max="8978" width="11.42578125" style="2"/>
    <col min="8979" max="8979" width="11.7109375" style="2" customWidth="1"/>
    <col min="8980" max="9216" width="11.42578125" style="2"/>
    <col min="9217" max="9217" width="20.28515625" style="2" customWidth="1"/>
    <col min="9218" max="9219" width="11.42578125" style="2"/>
    <col min="9220" max="9220" width="11.85546875" style="2" customWidth="1"/>
    <col min="9221" max="9225" width="11.42578125" style="2"/>
    <col min="9226" max="9226" width="11.7109375" style="2" customWidth="1"/>
    <col min="9227" max="9229" width="11.42578125" style="2"/>
    <col min="9230" max="9230" width="14" style="2" customWidth="1"/>
    <col min="9231" max="9231" width="4.5703125" style="2" customWidth="1"/>
    <col min="9232" max="9232" width="11.42578125" style="2"/>
    <col min="9233" max="9233" width="11.5703125" style="2" customWidth="1"/>
    <col min="9234" max="9234" width="11.42578125" style="2"/>
    <col min="9235" max="9235" width="11.7109375" style="2" customWidth="1"/>
    <col min="9236" max="9472" width="11.42578125" style="2"/>
    <col min="9473" max="9473" width="20.28515625" style="2" customWidth="1"/>
    <col min="9474" max="9475" width="11.42578125" style="2"/>
    <col min="9476" max="9476" width="11.85546875" style="2" customWidth="1"/>
    <col min="9477" max="9481" width="11.42578125" style="2"/>
    <col min="9482" max="9482" width="11.7109375" style="2" customWidth="1"/>
    <col min="9483" max="9485" width="11.42578125" style="2"/>
    <col min="9486" max="9486" width="14" style="2" customWidth="1"/>
    <col min="9487" max="9487" width="4.5703125" style="2" customWidth="1"/>
    <col min="9488" max="9488" width="11.42578125" style="2"/>
    <col min="9489" max="9489" width="11.5703125" style="2" customWidth="1"/>
    <col min="9490" max="9490" width="11.42578125" style="2"/>
    <col min="9491" max="9491" width="11.7109375" style="2" customWidth="1"/>
    <col min="9492" max="9728" width="11.42578125" style="2"/>
    <col min="9729" max="9729" width="20.28515625" style="2" customWidth="1"/>
    <col min="9730" max="9731" width="11.42578125" style="2"/>
    <col min="9732" max="9732" width="11.85546875" style="2" customWidth="1"/>
    <col min="9733" max="9737" width="11.42578125" style="2"/>
    <col min="9738" max="9738" width="11.7109375" style="2" customWidth="1"/>
    <col min="9739" max="9741" width="11.42578125" style="2"/>
    <col min="9742" max="9742" width="14" style="2" customWidth="1"/>
    <col min="9743" max="9743" width="4.5703125" style="2" customWidth="1"/>
    <col min="9744" max="9744" width="11.42578125" style="2"/>
    <col min="9745" max="9745" width="11.5703125" style="2" customWidth="1"/>
    <col min="9746" max="9746" width="11.42578125" style="2"/>
    <col min="9747" max="9747" width="11.7109375" style="2" customWidth="1"/>
    <col min="9748" max="9984" width="11.42578125" style="2"/>
    <col min="9985" max="9985" width="20.28515625" style="2" customWidth="1"/>
    <col min="9986" max="9987" width="11.42578125" style="2"/>
    <col min="9988" max="9988" width="11.85546875" style="2" customWidth="1"/>
    <col min="9989" max="9993" width="11.42578125" style="2"/>
    <col min="9994" max="9994" width="11.7109375" style="2" customWidth="1"/>
    <col min="9995" max="9997" width="11.42578125" style="2"/>
    <col min="9998" max="9998" width="14" style="2" customWidth="1"/>
    <col min="9999" max="9999" width="4.5703125" style="2" customWidth="1"/>
    <col min="10000" max="10000" width="11.42578125" style="2"/>
    <col min="10001" max="10001" width="11.5703125" style="2" customWidth="1"/>
    <col min="10002" max="10002" width="11.42578125" style="2"/>
    <col min="10003" max="10003" width="11.7109375" style="2" customWidth="1"/>
    <col min="10004" max="10240" width="11.42578125" style="2"/>
    <col min="10241" max="10241" width="20.28515625" style="2" customWidth="1"/>
    <col min="10242" max="10243" width="11.42578125" style="2"/>
    <col min="10244" max="10244" width="11.85546875" style="2" customWidth="1"/>
    <col min="10245" max="10249" width="11.42578125" style="2"/>
    <col min="10250" max="10250" width="11.7109375" style="2" customWidth="1"/>
    <col min="10251" max="10253" width="11.42578125" style="2"/>
    <col min="10254" max="10254" width="14" style="2" customWidth="1"/>
    <col min="10255" max="10255" width="4.5703125" style="2" customWidth="1"/>
    <col min="10256" max="10256" width="11.42578125" style="2"/>
    <col min="10257" max="10257" width="11.5703125" style="2" customWidth="1"/>
    <col min="10258" max="10258" width="11.42578125" style="2"/>
    <col min="10259" max="10259" width="11.7109375" style="2" customWidth="1"/>
    <col min="10260" max="10496" width="11.42578125" style="2"/>
    <col min="10497" max="10497" width="20.28515625" style="2" customWidth="1"/>
    <col min="10498" max="10499" width="11.42578125" style="2"/>
    <col min="10500" max="10500" width="11.85546875" style="2" customWidth="1"/>
    <col min="10501" max="10505" width="11.42578125" style="2"/>
    <col min="10506" max="10506" width="11.7109375" style="2" customWidth="1"/>
    <col min="10507" max="10509" width="11.42578125" style="2"/>
    <col min="10510" max="10510" width="14" style="2" customWidth="1"/>
    <col min="10511" max="10511" width="4.5703125" style="2" customWidth="1"/>
    <col min="10512" max="10512" width="11.42578125" style="2"/>
    <col min="10513" max="10513" width="11.5703125" style="2" customWidth="1"/>
    <col min="10514" max="10514" width="11.42578125" style="2"/>
    <col min="10515" max="10515" width="11.7109375" style="2" customWidth="1"/>
    <col min="10516" max="10752" width="11.42578125" style="2"/>
    <col min="10753" max="10753" width="20.28515625" style="2" customWidth="1"/>
    <col min="10754" max="10755" width="11.42578125" style="2"/>
    <col min="10756" max="10756" width="11.85546875" style="2" customWidth="1"/>
    <col min="10757" max="10761" width="11.42578125" style="2"/>
    <col min="10762" max="10762" width="11.7109375" style="2" customWidth="1"/>
    <col min="10763" max="10765" width="11.42578125" style="2"/>
    <col min="10766" max="10766" width="14" style="2" customWidth="1"/>
    <col min="10767" max="10767" width="4.5703125" style="2" customWidth="1"/>
    <col min="10768" max="10768" width="11.42578125" style="2"/>
    <col min="10769" max="10769" width="11.5703125" style="2" customWidth="1"/>
    <col min="10770" max="10770" width="11.42578125" style="2"/>
    <col min="10771" max="10771" width="11.7109375" style="2" customWidth="1"/>
    <col min="10772" max="11008" width="11.42578125" style="2"/>
    <col min="11009" max="11009" width="20.28515625" style="2" customWidth="1"/>
    <col min="11010" max="11011" width="11.42578125" style="2"/>
    <col min="11012" max="11012" width="11.85546875" style="2" customWidth="1"/>
    <col min="11013" max="11017" width="11.42578125" style="2"/>
    <col min="11018" max="11018" width="11.7109375" style="2" customWidth="1"/>
    <col min="11019" max="11021" width="11.42578125" style="2"/>
    <col min="11022" max="11022" width="14" style="2" customWidth="1"/>
    <col min="11023" max="11023" width="4.5703125" style="2" customWidth="1"/>
    <col min="11024" max="11024" width="11.42578125" style="2"/>
    <col min="11025" max="11025" width="11.5703125" style="2" customWidth="1"/>
    <col min="11026" max="11026" width="11.42578125" style="2"/>
    <col min="11027" max="11027" width="11.7109375" style="2" customWidth="1"/>
    <col min="11028" max="11264" width="11.42578125" style="2"/>
    <col min="11265" max="11265" width="20.28515625" style="2" customWidth="1"/>
    <col min="11266" max="11267" width="11.42578125" style="2"/>
    <col min="11268" max="11268" width="11.85546875" style="2" customWidth="1"/>
    <col min="11269" max="11273" width="11.42578125" style="2"/>
    <col min="11274" max="11274" width="11.7109375" style="2" customWidth="1"/>
    <col min="11275" max="11277" width="11.42578125" style="2"/>
    <col min="11278" max="11278" width="14" style="2" customWidth="1"/>
    <col min="11279" max="11279" width="4.5703125" style="2" customWidth="1"/>
    <col min="11280" max="11280" width="11.42578125" style="2"/>
    <col min="11281" max="11281" width="11.5703125" style="2" customWidth="1"/>
    <col min="11282" max="11282" width="11.42578125" style="2"/>
    <col min="11283" max="11283" width="11.7109375" style="2" customWidth="1"/>
    <col min="11284" max="11520" width="11.42578125" style="2"/>
    <col min="11521" max="11521" width="20.28515625" style="2" customWidth="1"/>
    <col min="11522" max="11523" width="11.42578125" style="2"/>
    <col min="11524" max="11524" width="11.85546875" style="2" customWidth="1"/>
    <col min="11525" max="11529" width="11.42578125" style="2"/>
    <col min="11530" max="11530" width="11.7109375" style="2" customWidth="1"/>
    <col min="11531" max="11533" width="11.42578125" style="2"/>
    <col min="11534" max="11534" width="14" style="2" customWidth="1"/>
    <col min="11535" max="11535" width="4.5703125" style="2" customWidth="1"/>
    <col min="11536" max="11536" width="11.42578125" style="2"/>
    <col min="11537" max="11537" width="11.5703125" style="2" customWidth="1"/>
    <col min="11538" max="11538" width="11.42578125" style="2"/>
    <col min="11539" max="11539" width="11.7109375" style="2" customWidth="1"/>
    <col min="11540" max="11776" width="11.42578125" style="2"/>
    <col min="11777" max="11777" width="20.28515625" style="2" customWidth="1"/>
    <col min="11778" max="11779" width="11.42578125" style="2"/>
    <col min="11780" max="11780" width="11.85546875" style="2" customWidth="1"/>
    <col min="11781" max="11785" width="11.42578125" style="2"/>
    <col min="11786" max="11786" width="11.7109375" style="2" customWidth="1"/>
    <col min="11787" max="11789" width="11.42578125" style="2"/>
    <col min="11790" max="11790" width="14" style="2" customWidth="1"/>
    <col min="11791" max="11791" width="4.5703125" style="2" customWidth="1"/>
    <col min="11792" max="11792" width="11.42578125" style="2"/>
    <col min="11793" max="11793" width="11.5703125" style="2" customWidth="1"/>
    <col min="11794" max="11794" width="11.42578125" style="2"/>
    <col min="11795" max="11795" width="11.7109375" style="2" customWidth="1"/>
    <col min="11796" max="12032" width="11.42578125" style="2"/>
    <col min="12033" max="12033" width="20.28515625" style="2" customWidth="1"/>
    <col min="12034" max="12035" width="11.42578125" style="2"/>
    <col min="12036" max="12036" width="11.85546875" style="2" customWidth="1"/>
    <col min="12037" max="12041" width="11.42578125" style="2"/>
    <col min="12042" max="12042" width="11.7109375" style="2" customWidth="1"/>
    <col min="12043" max="12045" width="11.42578125" style="2"/>
    <col min="12046" max="12046" width="14" style="2" customWidth="1"/>
    <col min="12047" max="12047" width="4.5703125" style="2" customWidth="1"/>
    <col min="12048" max="12048" width="11.42578125" style="2"/>
    <col min="12049" max="12049" width="11.5703125" style="2" customWidth="1"/>
    <col min="12050" max="12050" width="11.42578125" style="2"/>
    <col min="12051" max="12051" width="11.7109375" style="2" customWidth="1"/>
    <col min="12052" max="12288" width="11.42578125" style="2"/>
    <col min="12289" max="12289" width="20.28515625" style="2" customWidth="1"/>
    <col min="12290" max="12291" width="11.42578125" style="2"/>
    <col min="12292" max="12292" width="11.85546875" style="2" customWidth="1"/>
    <col min="12293" max="12297" width="11.42578125" style="2"/>
    <col min="12298" max="12298" width="11.7109375" style="2" customWidth="1"/>
    <col min="12299" max="12301" width="11.42578125" style="2"/>
    <col min="12302" max="12302" width="14" style="2" customWidth="1"/>
    <col min="12303" max="12303" width="4.5703125" style="2" customWidth="1"/>
    <col min="12304" max="12304" width="11.42578125" style="2"/>
    <col min="12305" max="12305" width="11.5703125" style="2" customWidth="1"/>
    <col min="12306" max="12306" width="11.42578125" style="2"/>
    <col min="12307" max="12307" width="11.7109375" style="2" customWidth="1"/>
    <col min="12308" max="12544" width="11.42578125" style="2"/>
    <col min="12545" max="12545" width="20.28515625" style="2" customWidth="1"/>
    <col min="12546" max="12547" width="11.42578125" style="2"/>
    <col min="12548" max="12548" width="11.85546875" style="2" customWidth="1"/>
    <col min="12549" max="12553" width="11.42578125" style="2"/>
    <col min="12554" max="12554" width="11.7109375" style="2" customWidth="1"/>
    <col min="12555" max="12557" width="11.42578125" style="2"/>
    <col min="12558" max="12558" width="14" style="2" customWidth="1"/>
    <col min="12559" max="12559" width="4.5703125" style="2" customWidth="1"/>
    <col min="12560" max="12560" width="11.42578125" style="2"/>
    <col min="12561" max="12561" width="11.5703125" style="2" customWidth="1"/>
    <col min="12562" max="12562" width="11.42578125" style="2"/>
    <col min="12563" max="12563" width="11.7109375" style="2" customWidth="1"/>
    <col min="12564" max="12800" width="11.42578125" style="2"/>
    <col min="12801" max="12801" width="20.28515625" style="2" customWidth="1"/>
    <col min="12802" max="12803" width="11.42578125" style="2"/>
    <col min="12804" max="12804" width="11.85546875" style="2" customWidth="1"/>
    <col min="12805" max="12809" width="11.42578125" style="2"/>
    <col min="12810" max="12810" width="11.7109375" style="2" customWidth="1"/>
    <col min="12811" max="12813" width="11.42578125" style="2"/>
    <col min="12814" max="12814" width="14" style="2" customWidth="1"/>
    <col min="12815" max="12815" width="4.5703125" style="2" customWidth="1"/>
    <col min="12816" max="12816" width="11.42578125" style="2"/>
    <col min="12817" max="12817" width="11.5703125" style="2" customWidth="1"/>
    <col min="12818" max="12818" width="11.42578125" style="2"/>
    <col min="12819" max="12819" width="11.7109375" style="2" customWidth="1"/>
    <col min="12820" max="13056" width="11.42578125" style="2"/>
    <col min="13057" max="13057" width="20.28515625" style="2" customWidth="1"/>
    <col min="13058" max="13059" width="11.42578125" style="2"/>
    <col min="13060" max="13060" width="11.85546875" style="2" customWidth="1"/>
    <col min="13061" max="13065" width="11.42578125" style="2"/>
    <col min="13066" max="13066" width="11.7109375" style="2" customWidth="1"/>
    <col min="13067" max="13069" width="11.42578125" style="2"/>
    <col min="13070" max="13070" width="14" style="2" customWidth="1"/>
    <col min="13071" max="13071" width="4.5703125" style="2" customWidth="1"/>
    <col min="13072" max="13072" width="11.42578125" style="2"/>
    <col min="13073" max="13073" width="11.5703125" style="2" customWidth="1"/>
    <col min="13074" max="13074" width="11.42578125" style="2"/>
    <col min="13075" max="13075" width="11.7109375" style="2" customWidth="1"/>
    <col min="13076" max="13312" width="11.42578125" style="2"/>
    <col min="13313" max="13313" width="20.28515625" style="2" customWidth="1"/>
    <col min="13314" max="13315" width="11.42578125" style="2"/>
    <col min="13316" max="13316" width="11.85546875" style="2" customWidth="1"/>
    <col min="13317" max="13321" width="11.42578125" style="2"/>
    <col min="13322" max="13322" width="11.7109375" style="2" customWidth="1"/>
    <col min="13323" max="13325" width="11.42578125" style="2"/>
    <col min="13326" max="13326" width="14" style="2" customWidth="1"/>
    <col min="13327" max="13327" width="4.5703125" style="2" customWidth="1"/>
    <col min="13328" max="13328" width="11.42578125" style="2"/>
    <col min="13329" max="13329" width="11.5703125" style="2" customWidth="1"/>
    <col min="13330" max="13330" width="11.42578125" style="2"/>
    <col min="13331" max="13331" width="11.7109375" style="2" customWidth="1"/>
    <col min="13332" max="13568" width="11.42578125" style="2"/>
    <col min="13569" max="13569" width="20.28515625" style="2" customWidth="1"/>
    <col min="13570" max="13571" width="11.42578125" style="2"/>
    <col min="13572" max="13572" width="11.85546875" style="2" customWidth="1"/>
    <col min="13573" max="13577" width="11.42578125" style="2"/>
    <col min="13578" max="13578" width="11.7109375" style="2" customWidth="1"/>
    <col min="13579" max="13581" width="11.42578125" style="2"/>
    <col min="13582" max="13582" width="14" style="2" customWidth="1"/>
    <col min="13583" max="13583" width="4.5703125" style="2" customWidth="1"/>
    <col min="13584" max="13584" width="11.42578125" style="2"/>
    <col min="13585" max="13585" width="11.5703125" style="2" customWidth="1"/>
    <col min="13586" max="13586" width="11.42578125" style="2"/>
    <col min="13587" max="13587" width="11.7109375" style="2" customWidth="1"/>
    <col min="13588" max="13824" width="11.42578125" style="2"/>
    <col min="13825" max="13825" width="20.28515625" style="2" customWidth="1"/>
    <col min="13826" max="13827" width="11.42578125" style="2"/>
    <col min="13828" max="13828" width="11.85546875" style="2" customWidth="1"/>
    <col min="13829" max="13833" width="11.42578125" style="2"/>
    <col min="13834" max="13834" width="11.7109375" style="2" customWidth="1"/>
    <col min="13835" max="13837" width="11.42578125" style="2"/>
    <col min="13838" max="13838" width="14" style="2" customWidth="1"/>
    <col min="13839" max="13839" width="4.5703125" style="2" customWidth="1"/>
    <col min="13840" max="13840" width="11.42578125" style="2"/>
    <col min="13841" max="13841" width="11.5703125" style="2" customWidth="1"/>
    <col min="13842" max="13842" width="11.42578125" style="2"/>
    <col min="13843" max="13843" width="11.7109375" style="2" customWidth="1"/>
    <col min="13844" max="14080" width="11.42578125" style="2"/>
    <col min="14081" max="14081" width="20.28515625" style="2" customWidth="1"/>
    <col min="14082" max="14083" width="11.42578125" style="2"/>
    <col min="14084" max="14084" width="11.85546875" style="2" customWidth="1"/>
    <col min="14085" max="14089" width="11.42578125" style="2"/>
    <col min="14090" max="14090" width="11.7109375" style="2" customWidth="1"/>
    <col min="14091" max="14093" width="11.42578125" style="2"/>
    <col min="14094" max="14094" width="14" style="2" customWidth="1"/>
    <col min="14095" max="14095" width="4.5703125" style="2" customWidth="1"/>
    <col min="14096" max="14096" width="11.42578125" style="2"/>
    <col min="14097" max="14097" width="11.5703125" style="2" customWidth="1"/>
    <col min="14098" max="14098" width="11.42578125" style="2"/>
    <col min="14099" max="14099" width="11.7109375" style="2" customWidth="1"/>
    <col min="14100" max="14336" width="11.42578125" style="2"/>
    <col min="14337" max="14337" width="20.28515625" style="2" customWidth="1"/>
    <col min="14338" max="14339" width="11.42578125" style="2"/>
    <col min="14340" max="14340" width="11.85546875" style="2" customWidth="1"/>
    <col min="14341" max="14345" width="11.42578125" style="2"/>
    <col min="14346" max="14346" width="11.7109375" style="2" customWidth="1"/>
    <col min="14347" max="14349" width="11.42578125" style="2"/>
    <col min="14350" max="14350" width="14" style="2" customWidth="1"/>
    <col min="14351" max="14351" width="4.5703125" style="2" customWidth="1"/>
    <col min="14352" max="14352" width="11.42578125" style="2"/>
    <col min="14353" max="14353" width="11.5703125" style="2" customWidth="1"/>
    <col min="14354" max="14354" width="11.42578125" style="2"/>
    <col min="14355" max="14355" width="11.7109375" style="2" customWidth="1"/>
    <col min="14356" max="14592" width="11.42578125" style="2"/>
    <col min="14593" max="14593" width="20.28515625" style="2" customWidth="1"/>
    <col min="14594" max="14595" width="11.42578125" style="2"/>
    <col min="14596" max="14596" width="11.85546875" style="2" customWidth="1"/>
    <col min="14597" max="14601" width="11.42578125" style="2"/>
    <col min="14602" max="14602" width="11.7109375" style="2" customWidth="1"/>
    <col min="14603" max="14605" width="11.42578125" style="2"/>
    <col min="14606" max="14606" width="14" style="2" customWidth="1"/>
    <col min="14607" max="14607" width="4.5703125" style="2" customWidth="1"/>
    <col min="14608" max="14608" width="11.42578125" style="2"/>
    <col min="14609" max="14609" width="11.5703125" style="2" customWidth="1"/>
    <col min="14610" max="14610" width="11.42578125" style="2"/>
    <col min="14611" max="14611" width="11.7109375" style="2" customWidth="1"/>
    <col min="14612" max="14848" width="11.42578125" style="2"/>
    <col min="14849" max="14849" width="20.28515625" style="2" customWidth="1"/>
    <col min="14850" max="14851" width="11.42578125" style="2"/>
    <col min="14852" max="14852" width="11.85546875" style="2" customWidth="1"/>
    <col min="14853" max="14857" width="11.42578125" style="2"/>
    <col min="14858" max="14858" width="11.7109375" style="2" customWidth="1"/>
    <col min="14859" max="14861" width="11.42578125" style="2"/>
    <col min="14862" max="14862" width="14" style="2" customWidth="1"/>
    <col min="14863" max="14863" width="4.5703125" style="2" customWidth="1"/>
    <col min="14864" max="14864" width="11.42578125" style="2"/>
    <col min="14865" max="14865" width="11.5703125" style="2" customWidth="1"/>
    <col min="14866" max="14866" width="11.42578125" style="2"/>
    <col min="14867" max="14867" width="11.7109375" style="2" customWidth="1"/>
    <col min="14868" max="15104" width="11.42578125" style="2"/>
    <col min="15105" max="15105" width="20.28515625" style="2" customWidth="1"/>
    <col min="15106" max="15107" width="11.42578125" style="2"/>
    <col min="15108" max="15108" width="11.85546875" style="2" customWidth="1"/>
    <col min="15109" max="15113" width="11.42578125" style="2"/>
    <col min="15114" max="15114" width="11.7109375" style="2" customWidth="1"/>
    <col min="15115" max="15117" width="11.42578125" style="2"/>
    <col min="15118" max="15118" width="14" style="2" customWidth="1"/>
    <col min="15119" max="15119" width="4.5703125" style="2" customWidth="1"/>
    <col min="15120" max="15120" width="11.42578125" style="2"/>
    <col min="15121" max="15121" width="11.5703125" style="2" customWidth="1"/>
    <col min="15122" max="15122" width="11.42578125" style="2"/>
    <col min="15123" max="15123" width="11.7109375" style="2" customWidth="1"/>
    <col min="15124" max="15360" width="11.42578125" style="2"/>
    <col min="15361" max="15361" width="20.28515625" style="2" customWidth="1"/>
    <col min="15362" max="15363" width="11.42578125" style="2"/>
    <col min="15364" max="15364" width="11.85546875" style="2" customWidth="1"/>
    <col min="15365" max="15369" width="11.42578125" style="2"/>
    <col min="15370" max="15370" width="11.7109375" style="2" customWidth="1"/>
    <col min="15371" max="15373" width="11.42578125" style="2"/>
    <col min="15374" max="15374" width="14" style="2" customWidth="1"/>
    <col min="15375" max="15375" width="4.5703125" style="2" customWidth="1"/>
    <col min="15376" max="15376" width="11.42578125" style="2"/>
    <col min="15377" max="15377" width="11.5703125" style="2" customWidth="1"/>
    <col min="15378" max="15378" width="11.42578125" style="2"/>
    <col min="15379" max="15379" width="11.7109375" style="2" customWidth="1"/>
    <col min="15380" max="15616" width="11.42578125" style="2"/>
    <col min="15617" max="15617" width="20.28515625" style="2" customWidth="1"/>
    <col min="15618" max="15619" width="11.42578125" style="2"/>
    <col min="15620" max="15620" width="11.85546875" style="2" customWidth="1"/>
    <col min="15621" max="15625" width="11.42578125" style="2"/>
    <col min="15626" max="15626" width="11.7109375" style="2" customWidth="1"/>
    <col min="15627" max="15629" width="11.42578125" style="2"/>
    <col min="15630" max="15630" width="14" style="2" customWidth="1"/>
    <col min="15631" max="15631" width="4.5703125" style="2" customWidth="1"/>
    <col min="15632" max="15632" width="11.42578125" style="2"/>
    <col min="15633" max="15633" width="11.5703125" style="2" customWidth="1"/>
    <col min="15634" max="15634" width="11.42578125" style="2"/>
    <col min="15635" max="15635" width="11.7109375" style="2" customWidth="1"/>
    <col min="15636" max="15872" width="11.42578125" style="2"/>
    <col min="15873" max="15873" width="20.28515625" style="2" customWidth="1"/>
    <col min="15874" max="15875" width="11.42578125" style="2"/>
    <col min="15876" max="15876" width="11.85546875" style="2" customWidth="1"/>
    <col min="15877" max="15881" width="11.42578125" style="2"/>
    <col min="15882" max="15882" width="11.7109375" style="2" customWidth="1"/>
    <col min="15883" max="15885" width="11.42578125" style="2"/>
    <col min="15886" max="15886" width="14" style="2" customWidth="1"/>
    <col min="15887" max="15887" width="4.5703125" style="2" customWidth="1"/>
    <col min="15888" max="15888" width="11.42578125" style="2"/>
    <col min="15889" max="15889" width="11.5703125" style="2" customWidth="1"/>
    <col min="15890" max="15890" width="11.42578125" style="2"/>
    <col min="15891" max="15891" width="11.7109375" style="2" customWidth="1"/>
    <col min="15892" max="16128" width="11.42578125" style="2"/>
    <col min="16129" max="16129" width="20.28515625" style="2" customWidth="1"/>
    <col min="16130" max="16131" width="11.42578125" style="2"/>
    <col min="16132" max="16132" width="11.85546875" style="2" customWidth="1"/>
    <col min="16133" max="16137" width="11.42578125" style="2"/>
    <col min="16138" max="16138" width="11.7109375" style="2" customWidth="1"/>
    <col min="16139" max="16141" width="11.42578125" style="2"/>
    <col min="16142" max="16142" width="14" style="2" customWidth="1"/>
    <col min="16143" max="16143" width="4.5703125" style="2" customWidth="1"/>
    <col min="16144" max="16144" width="11.42578125" style="2"/>
    <col min="16145" max="16145" width="11.5703125" style="2" customWidth="1"/>
    <col min="16146" max="16146" width="11.42578125" style="2"/>
    <col min="16147" max="16147" width="11.7109375" style="2" customWidth="1"/>
    <col min="16148" max="16384" width="11.42578125" style="2"/>
  </cols>
  <sheetData>
    <row r="1" spans="1:26" ht="18.75">
      <c r="A1" s="1" t="s">
        <v>80</v>
      </c>
    </row>
    <row r="2" spans="1:26">
      <c r="A2" s="5"/>
      <c r="M2" s="4"/>
    </row>
    <row r="3" spans="1:26">
      <c r="M3" s="4"/>
    </row>
    <row r="4" spans="1:26">
      <c r="A4" s="16" t="s">
        <v>13</v>
      </c>
      <c r="B4" s="17">
        <f>J48/L48</f>
        <v>5.1547609995551398E-4</v>
      </c>
      <c r="D4" s="94"/>
      <c r="E4" s="95"/>
      <c r="F4" s="93" t="str">
        <f>F9</f>
        <v>X = PAS alcanzada tras seguim</v>
      </c>
      <c r="G4" s="95"/>
      <c r="H4" s="15"/>
      <c r="I4" s="96" t="str">
        <f>G9</f>
        <v>Y = Mort /año</v>
      </c>
      <c r="M4" s="4"/>
    </row>
    <row r="5" spans="1:26">
      <c r="A5" s="22" t="s">
        <v>14</v>
      </c>
      <c r="B5" s="23">
        <f>B7*G49/F49</f>
        <v>5.154760999555142E-4</v>
      </c>
      <c r="D5" s="97" t="s">
        <v>37</v>
      </c>
      <c r="E5" s="128">
        <v>-1</v>
      </c>
      <c r="F5" s="93" t="s">
        <v>33</v>
      </c>
      <c r="G5" s="15" t="s">
        <v>36</v>
      </c>
      <c r="H5" s="15"/>
      <c r="I5" s="96" t="s">
        <v>166</v>
      </c>
      <c r="J5" s="126">
        <f>E5*B5</f>
        <v>-5.154760999555142E-4</v>
      </c>
      <c r="K5" s="6" t="s">
        <v>35</v>
      </c>
      <c r="L5" s="126">
        <f>E5*G58</f>
        <v>-4.4834666625730851E-5</v>
      </c>
      <c r="M5" s="6" t="s">
        <v>34</v>
      </c>
      <c r="N5" s="126">
        <f>E5*I58</f>
        <v>-9.8611753328529755E-4</v>
      </c>
    </row>
    <row r="6" spans="1:26">
      <c r="A6" s="16" t="s">
        <v>15</v>
      </c>
      <c r="B6" s="17">
        <f>G48-(F48*B4)</f>
        <v>-5.6294874470803682E-2</v>
      </c>
      <c r="M6" s="4"/>
    </row>
    <row r="7" spans="1:26">
      <c r="A7" s="25" t="s">
        <v>31</v>
      </c>
      <c r="B7" s="24">
        <f>J48/SQRT(N48)</f>
        <v>0.35662864836301489</v>
      </c>
      <c r="M7" s="4"/>
    </row>
    <row r="8" spans="1:26" ht="26.25" customHeight="1" thickBot="1">
      <c r="A8" s="108" t="s">
        <v>32</v>
      </c>
      <c r="B8" s="109">
        <f>B7^2</f>
        <v>0.12718399283323092</v>
      </c>
      <c r="C8" s="110">
        <f>1-B8</f>
        <v>0.8728160071667691</v>
      </c>
      <c r="F8" s="7"/>
      <c r="G8" s="8"/>
      <c r="H8" s="269" t="s">
        <v>1</v>
      </c>
      <c r="I8" s="270"/>
      <c r="J8" s="9" t="s">
        <v>2</v>
      </c>
      <c r="K8" s="10"/>
      <c r="L8" s="9" t="s">
        <v>3</v>
      </c>
      <c r="M8" s="9" t="s">
        <v>4</v>
      </c>
      <c r="N8" s="9" t="s">
        <v>5</v>
      </c>
      <c r="Q8" s="41"/>
      <c r="R8" s="41"/>
      <c r="S8" s="41"/>
      <c r="T8" s="41"/>
      <c r="U8" s="43"/>
      <c r="V8" s="68"/>
      <c r="W8" s="68"/>
      <c r="X8" s="41"/>
      <c r="Y8" s="41"/>
      <c r="Z8" s="69"/>
    </row>
    <row r="9" spans="1:26" ht="37.5" customHeight="1" thickBot="1">
      <c r="A9" s="113" t="s">
        <v>41</v>
      </c>
      <c r="C9" s="11" t="s">
        <v>174</v>
      </c>
      <c r="D9" s="12" t="s">
        <v>6</v>
      </c>
      <c r="E9" s="12" t="s">
        <v>39</v>
      </c>
      <c r="F9" s="44" t="s">
        <v>190</v>
      </c>
      <c r="G9" s="45" t="s">
        <v>182</v>
      </c>
      <c r="H9" s="13" t="s">
        <v>7</v>
      </c>
      <c r="I9" s="14" t="s">
        <v>8</v>
      </c>
      <c r="J9" s="14" t="s">
        <v>9</v>
      </c>
      <c r="L9" s="14" t="s">
        <v>10</v>
      </c>
      <c r="M9" s="14" t="s">
        <v>11</v>
      </c>
      <c r="N9" s="14" t="s">
        <v>12</v>
      </c>
      <c r="Q9" s="41"/>
      <c r="R9" s="41"/>
      <c r="S9" s="70"/>
      <c r="T9" s="71"/>
      <c r="U9" s="41"/>
      <c r="V9" s="106"/>
      <c r="W9" s="106"/>
      <c r="X9" s="73"/>
      <c r="Y9" s="74"/>
      <c r="Z9" s="106"/>
    </row>
    <row r="10" spans="1:26">
      <c r="A10" s="112" t="s">
        <v>61</v>
      </c>
      <c r="C10" s="268">
        <f>B6+(B5*F10)</f>
        <v>1.2263446823279706E-2</v>
      </c>
      <c r="D10" s="340">
        <f>C10-G10</f>
        <v>5.3621355741423696E-3</v>
      </c>
      <c r="E10" s="6">
        <v>1</v>
      </c>
      <c r="F10" s="46">
        <v>133</v>
      </c>
      <c r="G10" s="61">
        <v>6.901311249137336E-3</v>
      </c>
      <c r="H10" s="19">
        <f>F10-F48</f>
        <v>-1.0805555555555486</v>
      </c>
      <c r="I10" s="63">
        <f>G10-G48</f>
        <v>-5.9191361377053768E-3</v>
      </c>
      <c r="J10" s="19">
        <f>H10*I10</f>
        <v>6.3959554376871574E-3</v>
      </c>
      <c r="K10" s="20"/>
      <c r="L10" s="20">
        <f>H10^2</f>
        <v>1.1676003086419604</v>
      </c>
      <c r="M10" s="38">
        <f t="shared" ref="M10:M45" si="0">I10^2</f>
        <v>3.5036172616689729E-5</v>
      </c>
      <c r="N10" s="21"/>
      <c r="Q10" s="75"/>
      <c r="R10" s="76"/>
      <c r="S10" s="41"/>
      <c r="T10" s="41"/>
      <c r="U10" s="41"/>
      <c r="V10" s="58"/>
      <c r="W10" s="58"/>
      <c r="X10" s="77"/>
      <c r="Y10" s="74"/>
      <c r="Z10" s="58"/>
    </row>
    <row r="11" spans="1:26">
      <c r="A11" s="112" t="s">
        <v>62</v>
      </c>
      <c r="C11" s="268">
        <f>B6+(B5*F11)</f>
        <v>1.5717136692981651E-2</v>
      </c>
      <c r="D11" s="340">
        <f t="shared" ref="D11:D45" si="1">C11-G11</f>
        <v>7.0600740427437907E-3</v>
      </c>
      <c r="E11" s="6">
        <v>2</v>
      </c>
      <c r="F11" s="46">
        <v>139.69999999999999</v>
      </c>
      <c r="G11" s="61">
        <v>8.6570626502378602E-3</v>
      </c>
      <c r="H11" s="19">
        <f>F11-F48</f>
        <v>5.61944444444444</v>
      </c>
      <c r="I11" s="63">
        <f>G11-G48</f>
        <v>-4.1633847366048526E-3</v>
      </c>
      <c r="J11" s="19">
        <f t="shared" ref="J11:J45" si="2">H11*I11</f>
        <v>-2.3395909228198918E-2</v>
      </c>
      <c r="K11" s="20"/>
      <c r="L11" s="20">
        <f t="shared" ref="L11:L45" si="3">H11^2</f>
        <v>31.57815586419748</v>
      </c>
      <c r="M11" s="38">
        <f t="shared" si="0"/>
        <v>1.7333772464994257E-5</v>
      </c>
      <c r="N11" s="21"/>
      <c r="Q11" s="75"/>
      <c r="R11" s="76"/>
      <c r="S11" s="41"/>
      <c r="T11" s="41"/>
      <c r="U11" s="41"/>
      <c r="V11" s="58"/>
      <c r="W11" s="58"/>
      <c r="X11" s="77"/>
      <c r="Y11" s="74"/>
      <c r="Z11" s="58"/>
    </row>
    <row r="12" spans="1:26">
      <c r="A12" s="112" t="s">
        <v>63</v>
      </c>
      <c r="C12" s="268">
        <f>B6+(B5*F12)</f>
        <v>1.7933683922790364E-2</v>
      </c>
      <c r="D12" s="340">
        <f t="shared" si="1"/>
        <v>-3.1116735341765941E-3</v>
      </c>
      <c r="E12" s="6">
        <v>3</v>
      </c>
      <c r="F12" s="46">
        <v>144</v>
      </c>
      <c r="G12" s="61">
        <v>2.1045357456966958E-2</v>
      </c>
      <c r="H12" s="19">
        <f>F12-F48</f>
        <v>9.9194444444444514</v>
      </c>
      <c r="I12" s="63">
        <f>G12-G48</f>
        <v>8.2249100701242452E-3</v>
      </c>
      <c r="J12" s="19">
        <f t="shared" si="2"/>
        <v>8.1586538501149164E-2</v>
      </c>
      <c r="K12" s="20"/>
      <c r="L12" s="20">
        <f t="shared" si="3"/>
        <v>98.395378086419896</v>
      </c>
      <c r="M12" s="38">
        <f t="shared" si="0"/>
        <v>6.764914566163121E-5</v>
      </c>
      <c r="N12" s="21"/>
      <c r="Q12" s="75"/>
      <c r="R12" s="76"/>
      <c r="S12" s="41"/>
      <c r="T12" s="41"/>
      <c r="U12" s="41"/>
      <c r="V12" s="58"/>
      <c r="W12" s="58"/>
      <c r="X12" s="77"/>
      <c r="Y12" s="74"/>
      <c r="Z12" s="58"/>
    </row>
    <row r="13" spans="1:26">
      <c r="A13" s="112" t="s">
        <v>64</v>
      </c>
      <c r="C13" s="268">
        <f>B6+(B5*F13)</f>
        <v>1.1747970723324189E-2</v>
      </c>
      <c r="D13" s="340">
        <f t="shared" si="1"/>
        <v>7.77506588303091E-4</v>
      </c>
      <c r="E13" s="6">
        <v>4</v>
      </c>
      <c r="F13" s="46">
        <v>132</v>
      </c>
      <c r="G13" s="61">
        <v>1.0970464135021098E-2</v>
      </c>
      <c r="H13" s="19">
        <f>F13-F48</f>
        <v>-2.0805555555555486</v>
      </c>
      <c r="I13" s="63">
        <f>G13-G48</f>
        <v>-1.8499832518216151E-3</v>
      </c>
      <c r="J13" s="19">
        <f t="shared" si="2"/>
        <v>3.8489929322621809E-3</v>
      </c>
      <c r="K13" s="20"/>
      <c r="L13" s="20">
        <f t="shared" si="3"/>
        <v>4.3287114197530574</v>
      </c>
      <c r="M13" s="38">
        <f t="shared" si="0"/>
        <v>3.4224380320204774E-6</v>
      </c>
      <c r="N13" s="21"/>
      <c r="Q13" s="75"/>
      <c r="R13" s="76"/>
      <c r="S13" s="41"/>
      <c r="T13" s="41"/>
      <c r="U13" s="41"/>
      <c r="V13" s="58"/>
      <c r="W13" s="58"/>
      <c r="X13" s="77"/>
      <c r="Y13" s="74"/>
      <c r="Z13" s="58"/>
    </row>
    <row r="14" spans="1:26">
      <c r="A14" s="129" t="s">
        <v>65</v>
      </c>
      <c r="C14" s="268">
        <f>B6+(B5*F14)</f>
        <v>9.6860663235021349E-3</v>
      </c>
      <c r="D14" s="340">
        <f t="shared" si="1"/>
        <v>-5.5038070942193835E-3</v>
      </c>
      <c r="E14" s="6">
        <v>5</v>
      </c>
      <c r="F14" s="46">
        <v>128</v>
      </c>
      <c r="G14" s="61">
        <v>1.5189873417721518E-2</v>
      </c>
      <c r="H14" s="19">
        <f>F14-F48</f>
        <v>-6.0805555555555486</v>
      </c>
      <c r="I14" s="63">
        <f>G14-G48</f>
        <v>2.3694260308788056E-3</v>
      </c>
      <c r="J14" s="19">
        <f t="shared" si="2"/>
        <v>-1.4407426615538054E-2</v>
      </c>
      <c r="K14" s="20"/>
      <c r="L14" s="20">
        <f t="shared" si="3"/>
        <v>36.973155864197444</v>
      </c>
      <c r="M14" s="38">
        <f t="shared" si="0"/>
        <v>5.6141797158060905E-6</v>
      </c>
      <c r="N14" s="21"/>
      <c r="Q14" s="75"/>
      <c r="R14" s="76"/>
      <c r="S14" s="41"/>
      <c r="T14" s="41"/>
      <c r="U14" s="41"/>
      <c r="V14" s="58"/>
      <c r="W14" s="58"/>
      <c r="X14" s="77"/>
      <c r="Y14" s="74"/>
      <c r="Z14" s="58"/>
    </row>
    <row r="15" spans="1:26">
      <c r="A15" s="112" t="s">
        <v>66</v>
      </c>
      <c r="C15" s="268">
        <f>B6+(B5*F15)</f>
        <v>8.6551141235911011E-3</v>
      </c>
      <c r="D15" s="340">
        <f t="shared" si="1"/>
        <v>-7.7726039170301631E-3</v>
      </c>
      <c r="E15" s="6">
        <v>6</v>
      </c>
      <c r="F15" s="46">
        <v>126</v>
      </c>
      <c r="G15" s="61">
        <v>1.6427718040621264E-2</v>
      </c>
      <c r="H15" s="19">
        <f>F15-F48</f>
        <v>-8.0805555555555486</v>
      </c>
      <c r="I15" s="63">
        <f>G15-G48</f>
        <v>3.6072706537785514E-3</v>
      </c>
      <c r="J15" s="19">
        <f t="shared" si="2"/>
        <v>-2.9148750921782769E-2</v>
      </c>
      <c r="K15" s="20"/>
      <c r="L15" s="20">
        <f t="shared" si="3"/>
        <v>65.295378086419646</v>
      </c>
      <c r="M15" s="38">
        <f t="shared" si="0"/>
        <v>1.3012401569611937E-5</v>
      </c>
      <c r="N15" s="21"/>
      <c r="Q15" s="75"/>
      <c r="R15" s="76"/>
      <c r="S15" s="41"/>
      <c r="T15" s="41"/>
      <c r="U15" s="41"/>
      <c r="V15" s="58"/>
      <c r="W15" s="58"/>
      <c r="X15" s="77"/>
      <c r="Y15" s="74"/>
      <c r="Z15" s="58"/>
    </row>
    <row r="16" spans="1:26">
      <c r="A16" s="112" t="s">
        <v>67</v>
      </c>
      <c r="C16" s="268">
        <f>B6+(B5*F16)</f>
        <v>1.0717018523413169E-2</v>
      </c>
      <c r="D16" s="340">
        <f t="shared" si="1"/>
        <v>3.2319885832934082E-3</v>
      </c>
      <c r="E16" s="6">
        <v>7</v>
      </c>
      <c r="F16" s="46">
        <v>130</v>
      </c>
      <c r="G16" s="61">
        <v>7.4850299401197605E-3</v>
      </c>
      <c r="H16" s="19">
        <f>F16-F48</f>
        <v>-4.0805555555555486</v>
      </c>
      <c r="I16" s="63">
        <f>G16-G48</f>
        <v>-5.3354174467229523E-3</v>
      </c>
      <c r="J16" s="19">
        <f t="shared" si="2"/>
        <v>2.1771467303433344E-2</v>
      </c>
      <c r="K16" s="20"/>
      <c r="L16" s="20">
        <f t="shared" si="3"/>
        <v>16.650933641975254</v>
      </c>
      <c r="M16" s="38">
        <f t="shared" si="0"/>
        <v>2.8466679330795669E-5</v>
      </c>
      <c r="N16" s="21"/>
      <c r="Q16" s="75"/>
      <c r="R16" s="76"/>
      <c r="S16" s="41"/>
      <c r="T16" s="41"/>
      <c r="U16" s="41"/>
      <c r="V16" s="58"/>
      <c r="W16" s="58"/>
      <c r="X16" s="77"/>
      <c r="Y16" s="74"/>
      <c r="Z16" s="58"/>
    </row>
    <row r="17" spans="1:26">
      <c r="A17" s="112" t="s">
        <v>68</v>
      </c>
      <c r="C17" s="268">
        <f>B6+(B5*F17)</f>
        <v>4.5313053239469936E-3</v>
      </c>
      <c r="D17" s="340">
        <f t="shared" si="1"/>
        <v>-3.4431763347451926E-3</v>
      </c>
      <c r="E17" s="6">
        <v>8</v>
      </c>
      <c r="F17" s="46">
        <v>118</v>
      </c>
      <c r="G17" s="61">
        <v>7.9744816586921861E-3</v>
      </c>
      <c r="H17" s="19">
        <f>F17-F48</f>
        <v>-16.080555555555549</v>
      </c>
      <c r="I17" s="63">
        <f>G17-G48</f>
        <v>-4.8459657281505267E-3</v>
      </c>
      <c r="J17" s="19">
        <f t="shared" si="2"/>
        <v>7.7925821111842736E-2</v>
      </c>
      <c r="K17" s="20"/>
      <c r="L17" s="20">
        <f t="shared" si="3"/>
        <v>258.58426697530842</v>
      </c>
      <c r="M17" s="38">
        <f t="shared" si="0"/>
        <v>2.3483383838409464E-5</v>
      </c>
      <c r="N17" s="21"/>
      <c r="Q17" s="75"/>
      <c r="R17" s="76"/>
      <c r="S17" s="41"/>
      <c r="T17" s="41"/>
      <c r="U17" s="41"/>
      <c r="V17" s="58"/>
      <c r="W17" s="58"/>
      <c r="X17" s="77"/>
      <c r="Y17" s="74"/>
      <c r="Z17" s="58"/>
    </row>
    <row r="18" spans="1:26">
      <c r="A18" s="112" t="s">
        <v>69</v>
      </c>
      <c r="C18" s="268">
        <f>B6+(B5*F18)</f>
        <v>1.3758327513150703E-2</v>
      </c>
      <c r="D18" s="340">
        <f t="shared" si="1"/>
        <v>1.1733124992898677E-2</v>
      </c>
      <c r="E18" s="6">
        <v>9</v>
      </c>
      <c r="F18" s="46">
        <v>135.9</v>
      </c>
      <c r="G18" s="61">
        <v>2.0252025202520253E-3</v>
      </c>
      <c r="H18" s="19">
        <f>F18-F48</f>
        <v>1.8194444444444571</v>
      </c>
      <c r="I18" s="63">
        <f>G18-G48</f>
        <v>-1.0795244866590687E-2</v>
      </c>
      <c r="J18" s="19">
        <f t="shared" si="2"/>
        <v>-1.9641348298935969E-2</v>
      </c>
      <c r="K18" s="20"/>
      <c r="L18" s="20">
        <f t="shared" si="3"/>
        <v>3.3103780864197989</v>
      </c>
      <c r="M18" s="38">
        <f t="shared" si="0"/>
        <v>1.1653731172965257E-4</v>
      </c>
      <c r="N18" s="21"/>
      <c r="Q18" s="75"/>
      <c r="R18" s="76"/>
      <c r="S18" s="41"/>
      <c r="T18" s="41"/>
      <c r="U18" s="41"/>
      <c r="V18" s="58"/>
      <c r="W18" s="58"/>
      <c r="X18" s="77"/>
      <c r="Y18" s="74"/>
      <c r="Z18" s="58"/>
    </row>
    <row r="19" spans="1:26">
      <c r="A19" s="112" t="s">
        <v>70</v>
      </c>
      <c r="C19" s="268">
        <f>B6+(B5*F19)</f>
        <v>1.3809875123146242E-2</v>
      </c>
      <c r="D19" s="340">
        <f t="shared" si="1"/>
        <v>1.0219210850255758E-2</v>
      </c>
      <c r="E19" s="6">
        <v>10</v>
      </c>
      <c r="F19" s="46">
        <v>136</v>
      </c>
      <c r="G19" s="61">
        <v>3.5906642728904849E-3</v>
      </c>
      <c r="H19" s="19">
        <f>F19-F48</f>
        <v>1.9194444444444514</v>
      </c>
      <c r="I19" s="63">
        <f>G19-G48</f>
        <v>-9.2297831139522279E-3</v>
      </c>
      <c r="J19" s="19">
        <f t="shared" si="2"/>
        <v>-1.7716055921502813E-2</v>
      </c>
      <c r="K19" s="20"/>
      <c r="L19" s="20">
        <f t="shared" si="3"/>
        <v>3.6842669753086685</v>
      </c>
      <c r="M19" s="38">
        <f t="shared" si="0"/>
        <v>8.5188896330597687E-5</v>
      </c>
      <c r="N19" s="21"/>
      <c r="Q19" s="75"/>
      <c r="R19" s="76"/>
      <c r="S19" s="41"/>
      <c r="T19" s="41"/>
      <c r="U19" s="41"/>
      <c r="V19" s="58"/>
      <c r="W19" s="58"/>
      <c r="X19" s="77"/>
      <c r="Y19" s="74"/>
      <c r="Z19" s="58"/>
    </row>
    <row r="20" spans="1:26">
      <c r="A20" s="112" t="s">
        <v>71</v>
      </c>
      <c r="C20" s="268">
        <f>B6+(B5*F20)</f>
        <v>5.8199955738357789E-3</v>
      </c>
      <c r="D20" s="340">
        <f t="shared" si="1"/>
        <v>-7.6918137475110778E-3</v>
      </c>
      <c r="E20" s="6">
        <v>11</v>
      </c>
      <c r="F20" s="46">
        <v>120.5</v>
      </c>
      <c r="G20" s="61">
        <v>1.3511809321346857E-2</v>
      </c>
      <c r="H20" s="19">
        <f>F20-F48</f>
        <v>-13.580555555555549</v>
      </c>
      <c r="I20" s="63">
        <f>G20-G48</f>
        <v>6.9136193450414392E-4</v>
      </c>
      <c r="J20" s="19">
        <f t="shared" si="2"/>
        <v>-9.3890791605298826E-3</v>
      </c>
      <c r="K20" s="20"/>
      <c r="L20" s="20">
        <f t="shared" si="3"/>
        <v>184.43148919753068</v>
      </c>
      <c r="M20" s="38">
        <f t="shared" si="0"/>
        <v>4.7798132448131221E-7</v>
      </c>
      <c r="N20" s="21"/>
      <c r="Q20" s="75"/>
      <c r="R20" s="76"/>
      <c r="S20" s="41"/>
      <c r="T20" s="41"/>
      <c r="U20" s="41"/>
      <c r="V20" s="58"/>
      <c r="W20" s="58"/>
      <c r="X20" s="77"/>
      <c r="Y20" s="74"/>
      <c r="Z20" s="58"/>
    </row>
    <row r="21" spans="1:26">
      <c r="A21" s="112" t="s">
        <v>72</v>
      </c>
      <c r="C21" s="268">
        <f>B6+(B5*F21)</f>
        <v>1.4119160783119561E-2</v>
      </c>
      <c r="D21" s="340">
        <f t="shared" si="1"/>
        <v>9.0592322546100244E-3</v>
      </c>
      <c r="E21" s="6">
        <v>12</v>
      </c>
      <c r="F21" s="46">
        <v>136.6</v>
      </c>
      <c r="G21" s="61">
        <v>5.0599285285095356E-3</v>
      </c>
      <c r="H21" s="19">
        <f>F21-F48</f>
        <v>2.5194444444444457</v>
      </c>
      <c r="I21" s="63">
        <f>G21-G48</f>
        <v>-7.7605188583331772E-3</v>
      </c>
      <c r="J21" s="19">
        <f t="shared" si="2"/>
        <v>-1.9552196123633875E-2</v>
      </c>
      <c r="K21" s="20"/>
      <c r="L21" s="20">
        <f t="shared" si="3"/>
        <v>6.3476003086419821</v>
      </c>
      <c r="M21" s="38">
        <f t="shared" si="0"/>
        <v>6.0225652950544883E-5</v>
      </c>
      <c r="N21" s="21"/>
      <c r="Q21" s="75"/>
      <c r="R21" s="76"/>
      <c r="S21" s="41"/>
      <c r="T21" s="41"/>
      <c r="U21" s="41"/>
      <c r="V21" s="58"/>
      <c r="W21" s="58"/>
      <c r="X21" s="77"/>
      <c r="Y21" s="74"/>
      <c r="Z21" s="58"/>
    </row>
    <row r="22" spans="1:26">
      <c r="A22" s="112" t="s">
        <v>73</v>
      </c>
      <c r="C22" s="268">
        <f>B6+(B5*F22)</f>
        <v>1.0717018523413169E-2</v>
      </c>
      <c r="D22" s="340">
        <f t="shared" si="1"/>
        <v>-1.2739771600043623E-2</v>
      </c>
      <c r="E22" s="6">
        <v>13</v>
      </c>
      <c r="F22" s="46">
        <v>130</v>
      </c>
      <c r="G22" s="61">
        <v>2.3456790123456792E-2</v>
      </c>
      <c r="H22" s="19">
        <f>F22-F48</f>
        <v>-4.0805555555555486</v>
      </c>
      <c r="I22" s="63">
        <f>G22-G48</f>
        <v>1.0636342736614079E-2</v>
      </c>
      <c r="J22" s="19">
        <f t="shared" si="2"/>
        <v>-4.3402187444683486E-2</v>
      </c>
      <c r="K22" s="20"/>
      <c r="L22" s="20">
        <f t="shared" si="3"/>
        <v>16.650933641975254</v>
      </c>
      <c r="M22" s="38">
        <f t="shared" si="0"/>
        <v>1.1313178681072307E-4</v>
      </c>
      <c r="N22" s="21"/>
      <c r="Q22" s="75"/>
      <c r="R22" s="76"/>
      <c r="S22" s="41"/>
      <c r="T22" s="41"/>
      <c r="U22" s="41"/>
      <c r="V22" s="58"/>
      <c r="W22" s="58"/>
      <c r="X22" s="77"/>
      <c r="Y22" s="74"/>
      <c r="Z22" s="58"/>
    </row>
    <row r="23" spans="1:26">
      <c r="A23" s="112" t="s">
        <v>74</v>
      </c>
      <c r="C23" s="268">
        <f>B6+(B5*F23)</f>
        <v>1.0046899593470993E-2</v>
      </c>
      <c r="D23" s="340">
        <f t="shared" si="1"/>
        <v>6.9143219461528273E-3</v>
      </c>
      <c r="E23" s="6">
        <v>14</v>
      </c>
      <c r="F23" s="46">
        <v>128.69999999999999</v>
      </c>
      <c r="G23" s="61">
        <v>3.1325776473181653E-3</v>
      </c>
      <c r="H23" s="19">
        <f>F23-F48</f>
        <v>-5.38055555555556</v>
      </c>
      <c r="I23" s="63">
        <f>G23-G48</f>
        <v>-9.6878697395245475E-3</v>
      </c>
      <c r="J23" s="19">
        <f t="shared" si="2"/>
        <v>5.2126121348497402E-2</v>
      </c>
      <c r="K23" s="20"/>
      <c r="L23" s="20">
        <f t="shared" si="3"/>
        <v>28.9503780864198</v>
      </c>
      <c r="M23" s="38">
        <f t="shared" si="0"/>
        <v>9.3854820089995424E-5</v>
      </c>
      <c r="N23" s="21"/>
      <c r="Q23" s="75"/>
      <c r="R23" s="76"/>
      <c r="S23" s="41"/>
      <c r="T23" s="41"/>
      <c r="U23" s="41"/>
      <c r="V23" s="58"/>
      <c r="W23" s="58"/>
      <c r="X23" s="77"/>
      <c r="Y23" s="74"/>
      <c r="Z23" s="58"/>
    </row>
    <row r="24" spans="1:26">
      <c r="A24" s="112" t="s">
        <v>75</v>
      </c>
      <c r="C24" s="268">
        <f>B6+(B5*F24)</f>
        <v>1.3655232293159583E-2</v>
      </c>
      <c r="D24" s="340">
        <f t="shared" si="1"/>
        <v>-2.1468734648989178E-2</v>
      </c>
      <c r="E24" s="6">
        <v>15</v>
      </c>
      <c r="F24" s="46">
        <v>135.69999999999999</v>
      </c>
      <c r="G24" s="61">
        <v>3.5123966942148761E-2</v>
      </c>
      <c r="H24" s="19">
        <f>F24-F48</f>
        <v>1.61944444444444</v>
      </c>
      <c r="I24" s="63">
        <f>G24-G48</f>
        <v>2.2303519555306048E-2</v>
      </c>
      <c r="J24" s="19">
        <f t="shared" si="2"/>
        <v>3.6119310835398308E-2</v>
      </c>
      <c r="K24" s="20"/>
      <c r="L24" s="20">
        <f t="shared" si="3"/>
        <v>2.6226003086419611</v>
      </c>
      <c r="M24" s="38">
        <f t="shared" si="0"/>
        <v>4.9744698455391932E-4</v>
      </c>
      <c r="N24" s="21"/>
      <c r="Q24" s="75"/>
      <c r="R24" s="76"/>
      <c r="S24" s="41"/>
      <c r="T24" s="41"/>
      <c r="U24" s="41"/>
      <c r="V24" s="58"/>
      <c r="W24" s="58"/>
      <c r="X24" s="77"/>
      <c r="Y24" s="74"/>
      <c r="Z24" s="58"/>
    </row>
    <row r="25" spans="1:26">
      <c r="A25" s="112" t="s">
        <v>76</v>
      </c>
      <c r="C25" s="268">
        <f>B6+(B5*F25)</f>
        <v>7.1086858237245643E-3</v>
      </c>
      <c r="D25" s="340">
        <f t="shared" si="1"/>
        <v>-1.197768902547507E-2</v>
      </c>
      <c r="E25" s="6">
        <v>16</v>
      </c>
      <c r="F25" s="46">
        <v>123</v>
      </c>
      <c r="G25" s="61">
        <v>1.9086374849199634E-2</v>
      </c>
      <c r="H25" s="19">
        <f>F25-F48</f>
        <v>-11.080555555555549</v>
      </c>
      <c r="I25" s="63">
        <f>G25-G48</f>
        <v>6.2659274623569211E-3</v>
      </c>
      <c r="J25" s="19">
        <f t="shared" si="2"/>
        <v>-6.9429957353727062E-2</v>
      </c>
      <c r="K25" s="20"/>
      <c r="L25" s="20">
        <f t="shared" si="3"/>
        <v>122.77871141975294</v>
      </c>
      <c r="M25" s="38">
        <f t="shared" si="0"/>
        <v>3.9261846963518643E-5</v>
      </c>
      <c r="N25" s="21"/>
      <c r="Q25" s="75"/>
      <c r="R25" s="76"/>
      <c r="S25" s="41"/>
      <c r="T25" s="41"/>
      <c r="U25" s="41"/>
      <c r="V25" s="58"/>
      <c r="W25" s="58"/>
      <c r="X25" s="77"/>
      <c r="Y25" s="74"/>
      <c r="Z25" s="58"/>
    </row>
    <row r="26" spans="1:26" ht="14.25" customHeight="1">
      <c r="A26" s="112" t="s">
        <v>77</v>
      </c>
      <c r="C26" s="268">
        <f>B6+(B5*F26)</f>
        <v>6.3354716737912958E-3</v>
      </c>
      <c r="D26" s="340">
        <f t="shared" si="1"/>
        <v>-3.8282761393636112E-3</v>
      </c>
      <c r="E26" s="6">
        <v>17</v>
      </c>
      <c r="F26" s="46">
        <v>121.5</v>
      </c>
      <c r="G26" s="61">
        <v>1.0163747813154907E-2</v>
      </c>
      <c r="H26" s="19">
        <f>F26-F48</f>
        <v>-12.580555555555549</v>
      </c>
      <c r="I26" s="63">
        <f>G26-G48</f>
        <v>-2.6566995736878058E-3</v>
      </c>
      <c r="J26" s="19">
        <f t="shared" si="2"/>
        <v>3.3422756581200183E-2</v>
      </c>
      <c r="K26" s="20"/>
      <c r="L26" s="20">
        <f t="shared" si="3"/>
        <v>158.27037808641958</v>
      </c>
      <c r="M26" s="38">
        <f t="shared" si="0"/>
        <v>7.0580526248329691E-6</v>
      </c>
      <c r="N26" s="21"/>
      <c r="P26" s="271" t="s">
        <v>48</v>
      </c>
      <c r="Q26" s="272"/>
      <c r="R26" s="272"/>
      <c r="S26" s="272"/>
      <c r="T26" s="272"/>
      <c r="U26" s="272"/>
      <c r="V26" s="272"/>
      <c r="W26" s="272"/>
      <c r="X26" s="273"/>
      <c r="Y26" s="74"/>
      <c r="Z26" s="58"/>
    </row>
    <row r="27" spans="1:26">
      <c r="A27" s="112" t="s">
        <v>78</v>
      </c>
      <c r="C27" s="268">
        <f>B6+(B5*F27)</f>
        <v>9.1190426135510788E-3</v>
      </c>
      <c r="D27" s="340">
        <f t="shared" si="1"/>
        <v>1.6002456210698762E-3</v>
      </c>
      <c r="E27" s="6">
        <v>18</v>
      </c>
      <c r="F27" s="46">
        <v>126.9</v>
      </c>
      <c r="G27" s="61">
        <v>7.5187969924812026E-3</v>
      </c>
      <c r="H27" s="19">
        <f>F27-F48</f>
        <v>-7.1805555555555429</v>
      </c>
      <c r="I27" s="63">
        <f>G27-G48</f>
        <v>-5.3016503943615102E-3</v>
      </c>
      <c r="J27" s="19">
        <f t="shared" si="2"/>
        <v>3.8068795192845777E-2</v>
      </c>
      <c r="K27" s="20"/>
      <c r="L27" s="20">
        <f t="shared" si="3"/>
        <v>51.560378086419568</v>
      </c>
      <c r="M27" s="38">
        <f t="shared" si="0"/>
        <v>2.8107496904033556E-5</v>
      </c>
      <c r="N27" s="21"/>
      <c r="P27" s="274"/>
      <c r="Q27" s="275"/>
      <c r="R27" s="275"/>
      <c r="S27" s="275"/>
      <c r="T27" s="275"/>
      <c r="U27" s="275"/>
      <c r="V27" s="275"/>
      <c r="W27" s="275"/>
      <c r="X27" s="276"/>
      <c r="Y27" s="74"/>
      <c r="Z27" s="58"/>
    </row>
    <row r="28" spans="1:26">
      <c r="A28" s="112" t="s">
        <v>61</v>
      </c>
      <c r="C28" s="268">
        <f>B6+(B5*F28)</f>
        <v>1.4840827323057276E-2</v>
      </c>
      <c r="D28" s="340">
        <f t="shared" si="1"/>
        <v>1.4840827323057276E-2</v>
      </c>
      <c r="E28" s="6">
        <v>19</v>
      </c>
      <c r="F28" s="46">
        <v>138</v>
      </c>
      <c r="G28" s="61">
        <v>0</v>
      </c>
      <c r="H28" s="19">
        <f>F28-F48</f>
        <v>3.9194444444444514</v>
      </c>
      <c r="I28" s="63">
        <f>G28-G48</f>
        <v>-1.2820447386842713E-2</v>
      </c>
      <c r="J28" s="19">
        <f t="shared" si="2"/>
        <v>-5.0249031285653056E-2</v>
      </c>
      <c r="K28" s="20"/>
      <c r="L28" s="20">
        <f t="shared" si="3"/>
        <v>15.362044753086474</v>
      </c>
      <c r="M28" s="38">
        <f t="shared" si="0"/>
        <v>1.6436387119880214E-4</v>
      </c>
      <c r="N28" s="21"/>
      <c r="P28" s="274"/>
      <c r="Q28" s="275"/>
      <c r="R28" s="275"/>
      <c r="S28" s="275"/>
      <c r="T28" s="275"/>
      <c r="U28" s="275"/>
      <c r="V28" s="275"/>
      <c r="W28" s="275"/>
      <c r="X28" s="276"/>
      <c r="Y28" s="74"/>
      <c r="Z28" s="58"/>
    </row>
    <row r="29" spans="1:26">
      <c r="A29" s="112" t="s">
        <v>62</v>
      </c>
      <c r="C29" s="268">
        <f>B6+(B5*F29)</f>
        <v>1.7212017382852635E-2</v>
      </c>
      <c r="D29" s="340">
        <f t="shared" si="1"/>
        <v>9.1668805945216529E-3</v>
      </c>
      <c r="E29" s="6">
        <v>20</v>
      </c>
      <c r="F29" s="47">
        <v>142.6</v>
      </c>
      <c r="G29" s="62">
        <v>8.0451367883309817E-3</v>
      </c>
      <c r="H29" s="19">
        <f>F29-F48</f>
        <v>8.5194444444444457</v>
      </c>
      <c r="I29" s="63">
        <f>G29-G48</f>
        <v>-4.7753105985117311E-3</v>
      </c>
      <c r="J29" s="19">
        <f t="shared" si="2"/>
        <v>-4.0682993348987451E-2</v>
      </c>
      <c r="K29" s="20"/>
      <c r="L29" s="20">
        <f t="shared" si="3"/>
        <v>72.580933641975335</v>
      </c>
      <c r="M29" s="38">
        <f t="shared" si="0"/>
        <v>2.2803591312258467E-5</v>
      </c>
      <c r="N29" s="21"/>
      <c r="P29" s="277"/>
      <c r="Q29" s="278"/>
      <c r="R29" s="278"/>
      <c r="S29" s="278"/>
      <c r="T29" s="278"/>
      <c r="U29" s="278"/>
      <c r="V29" s="278"/>
      <c r="W29" s="278"/>
      <c r="X29" s="279"/>
      <c r="Y29" s="74"/>
      <c r="Z29" s="58"/>
    </row>
    <row r="30" spans="1:26">
      <c r="A30" s="112" t="s">
        <v>63</v>
      </c>
      <c r="C30" s="268">
        <f>B6+(B5*F30)</f>
        <v>2.3088444922345505E-2</v>
      </c>
      <c r="D30" s="340">
        <f t="shared" si="1"/>
        <v>-2.2473304134298308E-3</v>
      </c>
      <c r="E30" s="6">
        <v>21</v>
      </c>
      <c r="F30" s="47">
        <v>154</v>
      </c>
      <c r="G30" s="62">
        <v>2.5335775335775336E-2</v>
      </c>
      <c r="H30" s="19">
        <f>F30-F48</f>
        <v>19.919444444444451</v>
      </c>
      <c r="I30" s="63">
        <f>G30-G48</f>
        <v>1.2515327948932623E-2</v>
      </c>
      <c r="J30" s="19">
        <f t="shared" si="2"/>
        <v>0.24929837978276631</v>
      </c>
      <c r="K30" s="20"/>
      <c r="L30" s="20">
        <f t="shared" si="3"/>
        <v>396.78426697530892</v>
      </c>
      <c r="M30" s="38">
        <f t="shared" si="0"/>
        <v>1.5663343366933405E-4</v>
      </c>
      <c r="N30" s="21"/>
      <c r="Q30" s="41"/>
      <c r="R30" s="57"/>
      <c r="S30" s="78"/>
      <c r="T30" s="79"/>
      <c r="U30" s="41"/>
      <c r="V30" s="58"/>
      <c r="W30" s="58"/>
      <c r="X30" s="77"/>
      <c r="Y30" s="74"/>
      <c r="Z30" s="58"/>
    </row>
    <row r="31" spans="1:26">
      <c r="A31" s="112" t="s">
        <v>64</v>
      </c>
      <c r="C31" s="268">
        <f>B6+(B5*F31)</f>
        <v>1.4840827323057276E-2</v>
      </c>
      <c r="D31" s="340">
        <f t="shared" si="1"/>
        <v>-6.6184001447538825E-3</v>
      </c>
      <c r="E31" s="6">
        <v>22</v>
      </c>
      <c r="F31" s="47">
        <v>138</v>
      </c>
      <c r="G31" s="62">
        <v>2.1459227467811159E-2</v>
      </c>
      <c r="H31" s="19">
        <f>F31-F48</f>
        <v>3.9194444444444514</v>
      </c>
      <c r="I31" s="63">
        <f>G31-G48</f>
        <v>8.6387800809684459E-3</v>
      </c>
      <c r="J31" s="19">
        <f t="shared" si="2"/>
        <v>3.3859218595129165E-2</v>
      </c>
      <c r="K31" s="20"/>
      <c r="L31" s="20">
        <f t="shared" si="3"/>
        <v>15.362044753086474</v>
      </c>
      <c r="M31" s="38">
        <f t="shared" si="0"/>
        <v>7.4628521287337194E-5</v>
      </c>
      <c r="N31" s="21"/>
      <c r="Q31" s="41"/>
      <c r="R31" s="80"/>
      <c r="S31" s="41"/>
      <c r="T31" s="41"/>
      <c r="U31" s="41"/>
      <c r="V31" s="58"/>
      <c r="W31" s="58"/>
      <c r="X31" s="77"/>
      <c r="Y31" s="74"/>
      <c r="Z31" s="58"/>
    </row>
    <row r="32" spans="1:26">
      <c r="A32" s="129" t="s">
        <v>65</v>
      </c>
      <c r="C32" s="268">
        <f>B6+(B5*F32)</f>
        <v>1.4325351223101759E-2</v>
      </c>
      <c r="D32" s="340">
        <f t="shared" si="1"/>
        <v>-2.1355541266924807E-3</v>
      </c>
      <c r="E32" s="6">
        <v>23</v>
      </c>
      <c r="F32" s="47">
        <v>137</v>
      </c>
      <c r="G32" s="62">
        <v>1.646090534979424E-2</v>
      </c>
      <c r="H32" s="19">
        <f>F32-F48</f>
        <v>2.9194444444444514</v>
      </c>
      <c r="I32" s="63">
        <f>G32-G48</f>
        <v>3.6404579629515273E-3</v>
      </c>
      <c r="J32" s="19">
        <f t="shared" si="2"/>
        <v>1.0628114775172401E-2</v>
      </c>
      <c r="K32" s="20"/>
      <c r="L32" s="20">
        <f t="shared" si="3"/>
        <v>8.5231558641975713</v>
      </c>
      <c r="M32" s="38">
        <f t="shared" si="0"/>
        <v>1.3252934180017184E-5</v>
      </c>
      <c r="N32" s="21"/>
      <c r="Q32" s="41"/>
      <c r="R32" s="80"/>
      <c r="S32" s="41"/>
      <c r="T32" s="41"/>
      <c r="U32" s="41"/>
      <c r="V32" s="58"/>
      <c r="W32" s="58"/>
      <c r="X32" s="77"/>
      <c r="Y32" s="74"/>
      <c r="Z32" s="58"/>
    </row>
    <row r="33" spans="1:26">
      <c r="A33" s="112" t="s">
        <v>66</v>
      </c>
      <c r="C33" s="268">
        <f>B6+(B5*F33)</f>
        <v>1.2263446823279706E-2</v>
      </c>
      <c r="D33" s="340">
        <f t="shared" si="1"/>
        <v>1.9851419529444744E-3</v>
      </c>
      <c r="E33" s="6">
        <v>24</v>
      </c>
      <c r="F33" s="47">
        <v>133</v>
      </c>
      <c r="G33" s="62">
        <v>1.0278304870335231E-2</v>
      </c>
      <c r="H33" s="19">
        <f>F33-F48</f>
        <v>-1.0805555555555486</v>
      </c>
      <c r="I33" s="63">
        <f>G33-G48</f>
        <v>-2.5421425165074816E-3</v>
      </c>
      <c r="J33" s="19">
        <f t="shared" si="2"/>
        <v>2.7469262192261223E-3</v>
      </c>
      <c r="K33" s="20"/>
      <c r="L33" s="20">
        <f t="shared" si="3"/>
        <v>1.1676003086419604</v>
      </c>
      <c r="M33" s="38">
        <f t="shared" si="0"/>
        <v>6.4624885742349913E-6</v>
      </c>
      <c r="N33" s="21"/>
      <c r="Q33" s="41"/>
      <c r="R33" s="80"/>
      <c r="S33" s="41"/>
      <c r="T33" s="41"/>
      <c r="U33" s="41"/>
      <c r="V33" s="58"/>
      <c r="W33" s="58"/>
      <c r="X33" s="77"/>
      <c r="Y33" s="74"/>
      <c r="Z33" s="58"/>
    </row>
    <row r="34" spans="1:26">
      <c r="A34" s="112" t="s">
        <v>67</v>
      </c>
      <c r="C34" s="268">
        <f>B6+(B5*F34)</f>
        <v>1.2778922923235222E-2</v>
      </c>
      <c r="D34" s="340">
        <f t="shared" si="1"/>
        <v>1.6182086375209365E-3</v>
      </c>
      <c r="E34" s="6">
        <v>25</v>
      </c>
      <c r="F34" s="47">
        <v>134</v>
      </c>
      <c r="G34" s="62">
        <v>1.1160714285714286E-2</v>
      </c>
      <c r="H34" s="19">
        <f>F34-F48</f>
        <v>-8.0555555555548608E-2</v>
      </c>
      <c r="I34" s="63">
        <f>G34-G48</f>
        <v>-1.6597331011284269E-3</v>
      </c>
      <c r="J34" s="19">
        <f t="shared" si="2"/>
        <v>1.3370072203533397E-4</v>
      </c>
      <c r="K34" s="20"/>
      <c r="L34" s="20">
        <f t="shared" si="3"/>
        <v>6.4891975308630778E-3</v>
      </c>
      <c r="M34" s="38">
        <f t="shared" si="0"/>
        <v>2.7547139669813848E-6</v>
      </c>
      <c r="N34" s="21"/>
      <c r="Q34" s="41"/>
      <c r="R34" s="41"/>
      <c r="S34" s="41"/>
      <c r="T34" s="41"/>
      <c r="U34" s="41"/>
      <c r="V34" s="58"/>
      <c r="W34" s="58"/>
      <c r="X34" s="77"/>
      <c r="Y34" s="74"/>
      <c r="Z34" s="58"/>
    </row>
    <row r="35" spans="1:26">
      <c r="A35" s="112" t="s">
        <v>68</v>
      </c>
      <c r="C35" s="268">
        <f>B6+(B5*F35)</f>
        <v>7.6241619236800812E-3</v>
      </c>
      <c r="D35" s="340">
        <f t="shared" si="1"/>
        <v>7.6241619236800812E-3</v>
      </c>
      <c r="E35" s="6">
        <v>26</v>
      </c>
      <c r="F35" s="47">
        <v>124</v>
      </c>
      <c r="G35" s="62">
        <v>0</v>
      </c>
      <c r="H35" s="19">
        <f>F35-F48</f>
        <v>-10.080555555555549</v>
      </c>
      <c r="I35" s="63">
        <f>G35-G48</f>
        <v>-1.2820447386842713E-2</v>
      </c>
      <c r="J35" s="19">
        <f t="shared" si="2"/>
        <v>0.12923723213014493</v>
      </c>
      <c r="K35" s="20"/>
      <c r="L35" s="20">
        <f t="shared" si="3"/>
        <v>101.61760030864184</v>
      </c>
      <c r="M35" s="38">
        <f t="shared" si="0"/>
        <v>1.6436387119880214E-4</v>
      </c>
      <c r="N35" s="21"/>
      <c r="Q35" s="41"/>
      <c r="R35" s="41"/>
      <c r="S35" s="41"/>
      <c r="T35" s="41"/>
      <c r="U35" s="41"/>
      <c r="V35" s="58"/>
      <c r="W35" s="58"/>
      <c r="X35" s="77"/>
      <c r="Y35" s="74"/>
      <c r="Z35" s="58"/>
    </row>
    <row r="36" spans="1:26">
      <c r="A36" s="112" t="s">
        <v>69</v>
      </c>
      <c r="C36" s="268">
        <f>B6+(B5*F36)</f>
        <v>1.8758445682719185E-2</v>
      </c>
      <c r="D36" s="340">
        <f t="shared" si="1"/>
        <v>1.6945209055339312E-2</v>
      </c>
      <c r="E36" s="6">
        <v>27</v>
      </c>
      <c r="F36" s="47">
        <v>145.6</v>
      </c>
      <c r="G36" s="62">
        <v>1.8132366273798731E-3</v>
      </c>
      <c r="H36" s="19">
        <f>F36-F48</f>
        <v>11.519444444444446</v>
      </c>
      <c r="I36" s="63">
        <f>G36-G48</f>
        <v>-1.100721075946284E-2</v>
      </c>
      <c r="J36" s="19">
        <f t="shared" si="2"/>
        <v>-0.12679695283192333</v>
      </c>
      <c r="K36" s="20"/>
      <c r="L36" s="20">
        <f t="shared" si="3"/>
        <v>132.697600308642</v>
      </c>
      <c r="M36" s="38">
        <f t="shared" si="0"/>
        <v>1.211586887032345E-4</v>
      </c>
      <c r="N36" s="21"/>
      <c r="Q36" s="41"/>
      <c r="R36" s="41"/>
      <c r="S36" s="41"/>
      <c r="T36" s="41"/>
      <c r="U36" s="41"/>
      <c r="V36" s="58"/>
      <c r="W36" s="58"/>
      <c r="X36" s="77"/>
      <c r="Y36" s="74"/>
      <c r="Z36" s="58"/>
    </row>
    <row r="37" spans="1:26">
      <c r="A37" s="112" t="s">
        <v>70</v>
      </c>
      <c r="C37" s="268">
        <f>B6+(B5*F37)</f>
        <v>1.4737732103066184E-2</v>
      </c>
      <c r="D37" s="340">
        <f t="shared" si="1"/>
        <v>1.0216936443030018E-2</v>
      </c>
      <c r="E37" s="6">
        <v>28</v>
      </c>
      <c r="F37" s="47">
        <v>137.80000000000001</v>
      </c>
      <c r="G37" s="62">
        <v>4.5207956600361665E-3</v>
      </c>
      <c r="H37" s="19">
        <f>F37-F48</f>
        <v>3.7194444444444628</v>
      </c>
      <c r="I37" s="63">
        <f>G37-G48</f>
        <v>-8.2996517268065471E-3</v>
      </c>
      <c r="J37" s="19">
        <f t="shared" si="2"/>
        <v>-3.0870093506094504E-2</v>
      </c>
      <c r="K37" s="20"/>
      <c r="L37" s="20">
        <f t="shared" si="3"/>
        <v>13.834266975308779</v>
      </c>
      <c r="M37" s="38">
        <f t="shared" si="0"/>
        <v>6.88842187862829E-5</v>
      </c>
      <c r="N37" s="21"/>
      <c r="Q37" s="41"/>
      <c r="R37" s="41"/>
      <c r="S37" s="41"/>
      <c r="T37" s="41"/>
      <c r="U37" s="41"/>
      <c r="V37" s="58"/>
      <c r="W37" s="58"/>
      <c r="X37" s="77"/>
      <c r="Y37" s="74"/>
      <c r="Z37" s="58"/>
    </row>
    <row r="38" spans="1:26">
      <c r="A38" s="112" t="s">
        <v>71</v>
      </c>
      <c r="C38" s="268">
        <f>B6+(B5*F38)</f>
        <v>1.2521184873257457E-2</v>
      </c>
      <c r="D38" s="340">
        <f t="shared" si="1"/>
        <v>-4.0091460896119445E-4</v>
      </c>
      <c r="E38" s="6">
        <v>29</v>
      </c>
      <c r="F38" s="47">
        <v>133.5</v>
      </c>
      <c r="G38" s="62">
        <v>1.2922099482218652E-2</v>
      </c>
      <c r="H38" s="19">
        <f>F38-F48</f>
        <v>-0.58055555555554861</v>
      </c>
      <c r="I38" s="63">
        <f>G38-G48</f>
        <v>1.0165209537593874E-4</v>
      </c>
      <c r="J38" s="19">
        <f t="shared" si="2"/>
        <v>-5.9014688704363728E-5</v>
      </c>
      <c r="K38" s="20"/>
      <c r="L38" s="20">
        <f t="shared" si="3"/>
        <v>0.33704475308641169</v>
      </c>
      <c r="M38" s="38">
        <f t="shared" si="0"/>
        <v>1.0333148494318945E-8</v>
      </c>
      <c r="N38" s="21"/>
      <c r="Q38" s="41"/>
      <c r="R38" s="41"/>
      <c r="S38" s="41"/>
      <c r="T38" s="41"/>
      <c r="U38" s="41"/>
      <c r="V38" s="58"/>
      <c r="W38" s="58"/>
      <c r="X38" s="77"/>
      <c r="Y38" s="74"/>
      <c r="Z38" s="58"/>
    </row>
    <row r="39" spans="1:26">
      <c r="A39" s="112" t="s">
        <v>72</v>
      </c>
      <c r="C39" s="268">
        <f>B6+(B5*F39)</f>
        <v>1.690273172287933E-2</v>
      </c>
      <c r="D39" s="340">
        <f t="shared" si="1"/>
        <v>1.053246642256379E-2</v>
      </c>
      <c r="E39" s="6">
        <v>30</v>
      </c>
      <c r="F39" s="47">
        <v>142</v>
      </c>
      <c r="G39" s="62">
        <v>6.3702653003155406E-3</v>
      </c>
      <c r="H39" s="19">
        <f>F39-F48</f>
        <v>7.9194444444444514</v>
      </c>
      <c r="I39" s="63">
        <f>G39-G48</f>
        <v>-6.4501820865271722E-3</v>
      </c>
      <c r="J39" s="19">
        <f t="shared" si="2"/>
        <v>-5.1081858690802735E-2</v>
      </c>
      <c r="K39" s="20"/>
      <c r="L39" s="20">
        <f t="shared" si="3"/>
        <v>62.717600308642083</v>
      </c>
      <c r="M39" s="38">
        <f t="shared" si="0"/>
        <v>4.1604848949356028E-5</v>
      </c>
      <c r="N39" s="21"/>
      <c r="Q39" s="41"/>
      <c r="R39" s="41"/>
      <c r="S39" s="41"/>
      <c r="T39" s="41"/>
      <c r="U39" s="41"/>
      <c r="V39" s="58"/>
      <c r="W39" s="58"/>
      <c r="X39" s="77"/>
      <c r="Y39" s="74"/>
      <c r="Z39" s="58"/>
    </row>
    <row r="40" spans="1:26">
      <c r="A40" s="112" t="s">
        <v>73</v>
      </c>
      <c r="C40" s="268">
        <f>B6+(B5*F40)</f>
        <v>1.6387255622923813E-2</v>
      </c>
      <c r="D40" s="340">
        <f t="shared" si="1"/>
        <v>-1.0086871934236234E-2</v>
      </c>
      <c r="E40" s="6">
        <v>31</v>
      </c>
      <c r="F40" s="47">
        <v>141</v>
      </c>
      <c r="G40" s="62">
        <v>2.6474127557160047E-2</v>
      </c>
      <c r="H40" s="19">
        <f>F40-F48</f>
        <v>6.9194444444444514</v>
      </c>
      <c r="I40" s="63">
        <f>G40-G48</f>
        <v>1.3653680170317335E-2</v>
      </c>
      <c r="J40" s="19">
        <f t="shared" si="2"/>
        <v>9.4475881400723646E-2</v>
      </c>
      <c r="K40" s="20"/>
      <c r="L40" s="20">
        <f t="shared" si="3"/>
        <v>47.878711419753181</v>
      </c>
      <c r="M40" s="38">
        <f t="shared" si="0"/>
        <v>1.864229821933168E-4</v>
      </c>
      <c r="N40" s="21"/>
      <c r="Q40" s="41"/>
      <c r="R40" s="41"/>
      <c r="S40" s="41"/>
      <c r="T40" s="41"/>
      <c r="U40" s="41"/>
      <c r="V40" s="58"/>
      <c r="W40" s="58"/>
      <c r="X40" s="77"/>
      <c r="Y40" s="74"/>
      <c r="Z40" s="58"/>
    </row>
    <row r="41" spans="1:26">
      <c r="A41" s="112" t="s">
        <v>74</v>
      </c>
      <c r="C41" s="268">
        <f>B6+(B5*F41)</f>
        <v>1.0923208963395367E-2</v>
      </c>
      <c r="D41" s="340">
        <f t="shared" si="1"/>
        <v>7.3265457386967325E-3</v>
      </c>
      <c r="E41" s="6">
        <v>32</v>
      </c>
      <c r="F41" s="47">
        <v>130.4</v>
      </c>
      <c r="G41" s="62">
        <v>3.5966632246986342E-3</v>
      </c>
      <c r="H41" s="19">
        <f>F41-F48</f>
        <v>-3.6805555555555429</v>
      </c>
      <c r="I41" s="63">
        <f>G41-G48</f>
        <v>-9.2237841621440782E-3</v>
      </c>
      <c r="J41" s="19">
        <f t="shared" si="2"/>
        <v>3.3948650041224618E-2</v>
      </c>
      <c r="K41" s="20"/>
      <c r="L41" s="20">
        <f t="shared" si="3"/>
        <v>13.546489197530772</v>
      </c>
      <c r="M41" s="38">
        <f t="shared" si="0"/>
        <v>8.5078194269819931E-5</v>
      </c>
      <c r="N41" s="21"/>
      <c r="Q41" s="41"/>
      <c r="R41" s="41"/>
      <c r="S41" s="41"/>
      <c r="T41" s="41"/>
      <c r="U41" s="41"/>
      <c r="V41" s="58"/>
      <c r="W41" s="58"/>
      <c r="X41" s="77"/>
      <c r="Y41" s="74"/>
      <c r="Z41" s="58"/>
    </row>
    <row r="42" spans="1:26">
      <c r="A42" s="112" t="s">
        <v>75</v>
      </c>
      <c r="C42" s="268">
        <f>B6+(B5*F42)</f>
        <v>2.0871897692536792E-2</v>
      </c>
      <c r="D42" s="340">
        <f t="shared" si="1"/>
        <v>-3.9377409786687585E-2</v>
      </c>
      <c r="E42" s="6">
        <v>33</v>
      </c>
      <c r="F42" s="47">
        <v>149.69999999999999</v>
      </c>
      <c r="G42" s="62">
        <v>6.0249307479224377E-2</v>
      </c>
      <c r="H42" s="19">
        <f>F42-F48</f>
        <v>15.61944444444444</v>
      </c>
      <c r="I42" s="63">
        <f>G42-G48</f>
        <v>4.7428860092381661E-2</v>
      </c>
      <c r="J42" s="19">
        <f t="shared" si="2"/>
        <v>0.74081244527628332</v>
      </c>
      <c r="K42" s="20"/>
      <c r="L42" s="20">
        <f t="shared" si="3"/>
        <v>243.96704475308627</v>
      </c>
      <c r="M42" s="38">
        <f t="shared" si="0"/>
        <v>2.2494967696627139E-3</v>
      </c>
      <c r="N42" s="21"/>
      <c r="Q42" s="41"/>
      <c r="R42" s="41"/>
      <c r="S42" s="41"/>
      <c r="T42" s="41"/>
      <c r="U42" s="41"/>
      <c r="V42" s="58"/>
      <c r="W42" s="58"/>
      <c r="X42" s="77"/>
      <c r="Y42" s="74"/>
      <c r="Z42" s="58"/>
    </row>
    <row r="43" spans="1:26">
      <c r="A43" s="112" t="s">
        <v>76</v>
      </c>
      <c r="C43" s="268">
        <f>B6+(B5*F43)</f>
        <v>1.4325351223101759E-2</v>
      </c>
      <c r="D43" s="340">
        <f t="shared" si="1"/>
        <v>-3.6452197428609098E-3</v>
      </c>
      <c r="E43" s="6">
        <v>34</v>
      </c>
      <c r="F43" s="47">
        <v>137</v>
      </c>
      <c r="G43" s="62">
        <v>1.7970570965962669E-2</v>
      </c>
      <c r="H43" s="19">
        <f>F43-F48</f>
        <v>2.9194444444444514</v>
      </c>
      <c r="I43" s="63">
        <f>G43-G48</f>
        <v>5.1501235791199564E-3</v>
      </c>
      <c r="J43" s="19">
        <f t="shared" si="2"/>
        <v>1.503549967126413E-2</v>
      </c>
      <c r="K43" s="20"/>
      <c r="L43" s="20">
        <f t="shared" si="3"/>
        <v>8.5231558641975713</v>
      </c>
      <c r="M43" s="38">
        <f t="shared" si="0"/>
        <v>2.652377288020735E-5</v>
      </c>
      <c r="N43" s="21"/>
      <c r="Q43" s="26"/>
      <c r="R43" s="80"/>
      <c r="S43" s="41"/>
      <c r="T43" s="41"/>
      <c r="U43" s="41"/>
      <c r="V43" s="58"/>
      <c r="W43" s="58"/>
      <c r="X43" s="77"/>
      <c r="Y43" s="74"/>
      <c r="Z43" s="58"/>
    </row>
    <row r="44" spans="1:26">
      <c r="A44" s="112" t="s">
        <v>77</v>
      </c>
      <c r="C44" s="268">
        <f>B6+(B5*F44)</f>
        <v>1.3088208583208527E-2</v>
      </c>
      <c r="D44" s="340">
        <f t="shared" si="1"/>
        <v>-6.6732802027437595E-4</v>
      </c>
      <c r="E44" s="6">
        <v>35</v>
      </c>
      <c r="F44" s="47">
        <v>134.6</v>
      </c>
      <c r="G44" s="62">
        <v>1.3755536603482903E-2</v>
      </c>
      <c r="H44" s="19">
        <f>F44-F48</f>
        <v>0.51944444444444571</v>
      </c>
      <c r="I44" s="63">
        <f>G44-G48</f>
        <v>9.3508921664019022E-4</v>
      </c>
      <c r="J44" s="19">
        <f t="shared" si="2"/>
        <v>4.8572689864365555E-4</v>
      </c>
      <c r="K44" s="20"/>
      <c r="L44" s="20">
        <f t="shared" si="3"/>
        <v>0.26982253086419883</v>
      </c>
      <c r="M44" s="38">
        <f t="shared" si="0"/>
        <v>8.7439184307676458E-7</v>
      </c>
      <c r="N44" s="21"/>
      <c r="Q44" s="41"/>
      <c r="R44" s="80"/>
      <c r="S44" s="41"/>
      <c r="T44" s="41"/>
      <c r="U44" s="41"/>
      <c r="V44" s="58"/>
      <c r="W44" s="58"/>
      <c r="X44" s="77"/>
      <c r="Y44" s="74"/>
      <c r="Z44" s="58"/>
    </row>
    <row r="45" spans="1:26">
      <c r="A45" s="112" t="s">
        <v>78</v>
      </c>
      <c r="C45" s="268">
        <f>B6+(B5*F45)</f>
        <v>1.0304637643448744E-2</v>
      </c>
      <c r="D45" s="340">
        <f t="shared" si="1"/>
        <v>6.5023562746274518E-3</v>
      </c>
      <c r="E45" s="6">
        <v>36</v>
      </c>
      <c r="F45" s="47">
        <v>129.19999999999999</v>
      </c>
      <c r="G45" s="62">
        <v>3.8022813688212928E-3</v>
      </c>
      <c r="H45" s="19">
        <f>F45-F48</f>
        <v>-4.88055555555556</v>
      </c>
      <c r="I45" s="63">
        <f>G45-G48</f>
        <v>-9.0181660180214205E-3</v>
      </c>
      <c r="J45" s="19">
        <f t="shared" si="2"/>
        <v>4.4013660260176807E-2</v>
      </c>
      <c r="K45" s="20"/>
      <c r="L45" s="20">
        <f t="shared" si="3"/>
        <v>23.81982253086424</v>
      </c>
      <c r="M45" s="38">
        <f t="shared" si="0"/>
        <v>8.1327318328596327E-5</v>
      </c>
      <c r="N45" s="21"/>
      <c r="Q45" s="41"/>
      <c r="R45" s="81"/>
      <c r="S45" s="41"/>
      <c r="T45" s="82"/>
      <c r="U45" s="41"/>
      <c r="V45" s="58"/>
      <c r="W45" s="58"/>
      <c r="X45" s="77"/>
      <c r="Y45" s="74"/>
      <c r="Z45" s="58"/>
    </row>
    <row r="46" spans="1:26" ht="12.75">
      <c r="C46" s="340"/>
      <c r="D46" s="340"/>
      <c r="E46" s="6"/>
      <c r="F46" s="91"/>
      <c r="G46" s="92"/>
      <c r="H46" s="65"/>
      <c r="J46" s="60"/>
      <c r="K46" s="6"/>
      <c r="L46" s="6"/>
      <c r="M46" s="18"/>
      <c r="N46" s="6"/>
      <c r="Q46" s="41"/>
      <c r="R46" s="83"/>
      <c r="S46" s="41"/>
      <c r="T46" s="41"/>
      <c r="U46" s="41"/>
      <c r="V46" s="58"/>
      <c r="W46" s="58"/>
      <c r="X46" s="77"/>
      <c r="Y46" s="74"/>
      <c r="Z46" s="58"/>
    </row>
    <row r="47" spans="1:26" ht="13.5" thickBot="1">
      <c r="B47" s="2" t="s">
        <v>16</v>
      </c>
      <c r="C47" s="340"/>
      <c r="D47" s="340"/>
      <c r="M47" s="18"/>
      <c r="N47" s="6"/>
      <c r="Q47" s="41"/>
      <c r="R47" s="41"/>
      <c r="S47" s="41"/>
      <c r="T47" s="41"/>
      <c r="U47" s="41"/>
      <c r="V47" s="58"/>
      <c r="W47" s="58"/>
      <c r="X47" s="77"/>
      <c r="Y47" s="74"/>
      <c r="Z47" s="58"/>
    </row>
    <row r="48" spans="1:26" ht="13.5" thickBot="1">
      <c r="B48" s="2" t="s">
        <v>0</v>
      </c>
      <c r="C48" s="340">
        <f>AVERAGE(C10:C45)</f>
        <v>1.2820447386842744E-2</v>
      </c>
      <c r="D48" s="340">
        <f>AVERAGE(D10:D45)</f>
        <v>3.2285131358457242E-17</v>
      </c>
      <c r="F48" s="18">
        <f>AVERAGE(F10:F45)</f>
        <v>134.08055555555555</v>
      </c>
      <c r="G48" s="64">
        <f>AVERAGE(G10:G45)</f>
        <v>1.2820447386842713E-2</v>
      </c>
      <c r="H48" s="19">
        <f t="shared" ref="H48:I48" si="4">AVERAGE(H10:H45)</f>
        <v>5.5264435003563349E-15</v>
      </c>
      <c r="I48" s="19">
        <f t="shared" si="4"/>
        <v>1.7347234759768071E-18</v>
      </c>
      <c r="J48" s="59">
        <f>SUM(J10:J45)</f>
        <v>1.1601183395964083</v>
      </c>
      <c r="K48" s="27" t="s">
        <v>16</v>
      </c>
      <c r="L48" s="28">
        <f>SUM(L10:L45)</f>
        <v>2250.5763888888882</v>
      </c>
      <c r="M48" s="28">
        <f>SUM(M10:M45)</f>
        <v>4.7019539476651252E-3</v>
      </c>
      <c r="N48" s="28">
        <f>M48*L48</f>
        <v>10.58210653625803</v>
      </c>
      <c r="Q48" s="41"/>
      <c r="R48" s="41"/>
      <c r="S48" s="41"/>
      <c r="T48" s="82"/>
      <c r="U48" s="84"/>
      <c r="V48" s="85"/>
      <c r="W48" s="86"/>
      <c r="X48" s="77"/>
      <c r="Y48" s="74"/>
      <c r="Z48" s="87"/>
    </row>
    <row r="49" spans="1:26" ht="15" thickBot="1">
      <c r="B49" s="15" t="s">
        <v>17</v>
      </c>
      <c r="C49" s="29">
        <f>STDEVA(C10:C45)</f>
        <v>4.1335328272280782E-3</v>
      </c>
      <c r="D49" s="29">
        <f>STDEVA(D10:D45)</f>
        <v>1.0828455463642476E-2</v>
      </c>
      <c r="E49" s="15"/>
      <c r="F49" s="30">
        <f>STDEVA(F10:F45)</f>
        <v>8.0188641676787693</v>
      </c>
      <c r="G49" s="29">
        <f>STDEVA(G10:G45)</f>
        <v>1.1590579854427508E-2</v>
      </c>
      <c r="H49" s="30">
        <f>STDEVA(H10:H45)</f>
        <v>8.0188641676787693</v>
      </c>
      <c r="I49" s="30">
        <f>STDEVA(I10:I45)</f>
        <v>1.1590579854427505E-2</v>
      </c>
      <c r="J49" s="31" t="s">
        <v>16</v>
      </c>
      <c r="K49" s="32"/>
      <c r="L49" s="33"/>
      <c r="M49" s="33"/>
      <c r="N49" s="34"/>
      <c r="Q49" s="41"/>
      <c r="R49" s="41"/>
      <c r="S49" s="41"/>
      <c r="T49" s="41"/>
      <c r="U49" s="84"/>
      <c r="V49" s="85"/>
      <c r="W49" s="85"/>
      <c r="X49" s="88"/>
      <c r="Y49" s="89"/>
      <c r="Z49" s="41"/>
    </row>
    <row r="50" spans="1:26" ht="15.75">
      <c r="B50" s="15" t="s">
        <v>18</v>
      </c>
      <c r="C50" s="35">
        <f>C49^2</f>
        <v>1.7086093633772148E-5</v>
      </c>
      <c r="D50" s="35">
        <f>D49^2</f>
        <v>1.1725544772808859E-4</v>
      </c>
      <c r="E50" s="15"/>
      <c r="F50" s="30">
        <f>F49^2</f>
        <v>64.302182539682519</v>
      </c>
      <c r="G50" s="35">
        <f>G49^2</f>
        <v>1.3434154136186078E-4</v>
      </c>
      <c r="H50" s="30">
        <f>H49^2</f>
        <v>64.302182539682519</v>
      </c>
      <c r="I50" s="30">
        <f>I49^2</f>
        <v>1.343415413618607E-4</v>
      </c>
      <c r="J50" s="33"/>
      <c r="K50" s="27"/>
      <c r="L50" s="33"/>
      <c r="M50" s="33"/>
      <c r="N50" s="34"/>
      <c r="Q50" s="41"/>
      <c r="R50" s="41"/>
      <c r="S50" s="41"/>
      <c r="T50" s="41"/>
      <c r="U50" s="84"/>
      <c r="V50" s="85"/>
      <c r="W50" s="85"/>
      <c r="X50" s="41"/>
      <c r="Y50" s="41"/>
      <c r="Z50" s="41"/>
    </row>
    <row r="51" spans="1:26">
      <c r="B51" s="2" t="s">
        <v>19</v>
      </c>
      <c r="C51" s="30">
        <f>COUNT(C10:C45)</f>
        <v>36</v>
      </c>
      <c r="D51" s="30">
        <f>COUNT(D10:D45)</f>
        <v>36</v>
      </c>
      <c r="F51" s="30">
        <f>COUNT(F10:F45)</f>
        <v>36</v>
      </c>
      <c r="G51" s="30">
        <f>COUNT(G10:G45)</f>
        <v>36</v>
      </c>
      <c r="I51" s="27"/>
      <c r="J51" s="33"/>
      <c r="K51" s="27"/>
      <c r="L51" s="33"/>
      <c r="M51" s="33"/>
      <c r="N51" s="34"/>
      <c r="Q51" s="41"/>
      <c r="R51" s="41"/>
      <c r="S51" s="41"/>
      <c r="T51" s="41"/>
      <c r="U51" s="41"/>
      <c r="V51" s="41"/>
      <c r="W51" s="41"/>
      <c r="X51" s="41"/>
      <c r="Y51" s="41"/>
      <c r="Z51" s="41"/>
    </row>
    <row r="52" spans="1:26">
      <c r="B52" s="36" t="s">
        <v>20</v>
      </c>
      <c r="C52" s="37">
        <f>C48/C49</f>
        <v>3.1015714457117443</v>
      </c>
      <c r="D52" s="115">
        <f>D48/D49</f>
        <v>2.9815084401332683E-15</v>
      </c>
      <c r="E52" s="36"/>
      <c r="F52" s="37">
        <f>F48/F49</f>
        <v>16.720641820569462</v>
      </c>
      <c r="G52" s="37">
        <f>G48/G49</f>
        <v>1.1061092324855004</v>
      </c>
      <c r="I52" s="27"/>
      <c r="J52" s="36"/>
      <c r="Q52" s="41"/>
      <c r="R52" s="41"/>
      <c r="S52" s="41"/>
      <c r="T52" s="41"/>
      <c r="U52" s="41"/>
      <c r="V52" s="41"/>
      <c r="W52" s="41"/>
      <c r="X52" s="41"/>
      <c r="Y52" s="41"/>
      <c r="Z52" s="41"/>
    </row>
    <row r="53" spans="1:26">
      <c r="B53" s="36"/>
      <c r="C53" s="37"/>
      <c r="D53" s="36"/>
      <c r="E53" s="36"/>
      <c r="F53" s="37"/>
      <c r="G53" s="37"/>
      <c r="I53" s="27"/>
      <c r="J53" s="36"/>
      <c r="Q53" s="41"/>
      <c r="R53" s="41"/>
      <c r="S53" s="41"/>
      <c r="T53" s="41"/>
      <c r="U53" s="41"/>
      <c r="V53" s="41"/>
      <c r="W53" s="41"/>
      <c r="X53" s="41"/>
      <c r="Y53" s="41"/>
      <c r="Z53" s="41"/>
    </row>
    <row r="54" spans="1:26">
      <c r="B54" s="36"/>
      <c r="C54" s="37"/>
      <c r="D54" s="36"/>
      <c r="E54" s="36"/>
      <c r="F54" s="37"/>
      <c r="G54" s="48" t="s">
        <v>21</v>
      </c>
      <c r="I54" s="49" t="s">
        <v>22</v>
      </c>
      <c r="J54" s="36"/>
    </row>
    <row r="55" spans="1:26" ht="15.75">
      <c r="A55" s="2" t="s">
        <v>23</v>
      </c>
      <c r="C55" s="37"/>
      <c r="D55" s="36"/>
      <c r="E55" s="36"/>
      <c r="G55" s="24">
        <f>B7*(SQRT((C51-2)/(1-B8)))</f>
        <v>2.2258420097175331</v>
      </c>
      <c r="H55" s="40"/>
      <c r="I55" s="42">
        <f>TDIST(ABS(G55),8,2)</f>
        <v>5.6663354837621367E-2</v>
      </c>
      <c r="J55" s="50" t="s">
        <v>57</v>
      </c>
      <c r="N55" s="2"/>
      <c r="O55" s="41"/>
      <c r="P55" s="43"/>
    </row>
    <row r="56" spans="1:26" ht="15.75">
      <c r="A56" s="2" t="s">
        <v>24</v>
      </c>
      <c r="C56" s="37"/>
      <c r="D56" s="36"/>
      <c r="E56" s="36"/>
      <c r="G56" s="24">
        <f>B5/((G49/F49)*SQRT((1-B8)/(G51-2)))</f>
        <v>2.2258420097175331</v>
      </c>
      <c r="H56" s="36"/>
      <c r="I56" s="42">
        <f>TDIST(ABS(G56),8,2)</f>
        <v>5.6663354837621367E-2</v>
      </c>
      <c r="J56" s="36"/>
      <c r="K56" s="36"/>
      <c r="N56" s="2"/>
      <c r="O56" s="36"/>
      <c r="P56" s="43"/>
    </row>
    <row r="57" spans="1:26" ht="12.75">
      <c r="C57" s="37"/>
      <c r="D57" s="36"/>
      <c r="E57" s="36"/>
      <c r="J57" s="36"/>
      <c r="K57" s="36"/>
      <c r="N57" s="2"/>
      <c r="O57" s="36"/>
      <c r="P57" s="43"/>
    </row>
    <row r="58" spans="1:26" ht="15.75">
      <c r="A58" s="2" t="s">
        <v>25</v>
      </c>
      <c r="B58" s="37"/>
      <c r="D58" s="38"/>
      <c r="E58" s="56">
        <f>Q58*((G49/F49)*SQRT((1-B7^2)/(G51-2)))</f>
        <v>4.7064143332978335E-4</v>
      </c>
      <c r="F58" s="51" t="s">
        <v>26</v>
      </c>
      <c r="G58" s="98">
        <f>B5-E58</f>
        <v>4.4834666625730851E-5</v>
      </c>
      <c r="H58" s="51" t="s">
        <v>27</v>
      </c>
      <c r="I58" s="98">
        <f>B5+E58</f>
        <v>9.8611753328529755E-4</v>
      </c>
      <c r="K58" s="51" t="s">
        <v>28</v>
      </c>
      <c r="L58" s="52">
        <v>0.95</v>
      </c>
      <c r="M58" s="51" t="s">
        <v>29</v>
      </c>
      <c r="N58" s="53">
        <f>C51-2</f>
        <v>34</v>
      </c>
      <c r="P58" s="54" t="s">
        <v>30</v>
      </c>
      <c r="Q58" s="55">
        <f>TINV((1-L58),N58)</f>
        <v>2.0322445093177191</v>
      </c>
    </row>
    <row r="59" spans="1:26" ht="12.75">
      <c r="B59" s="37"/>
      <c r="E59" s="38"/>
      <c r="G59" s="36"/>
      <c r="J59" s="36"/>
      <c r="K59" s="36"/>
      <c r="L59" s="36"/>
      <c r="M59" s="36"/>
      <c r="N59" s="36"/>
      <c r="O59" s="36"/>
      <c r="P59" s="43"/>
    </row>
    <row r="60" spans="1:26" ht="15">
      <c r="A60" s="177" t="s">
        <v>138</v>
      </c>
      <c r="B60" s="37"/>
      <c r="E60" s="38"/>
      <c r="G60" s="36"/>
      <c r="J60" s="36"/>
      <c r="K60" s="36"/>
      <c r="L60" s="36"/>
      <c r="M60" s="36"/>
      <c r="N60" s="36"/>
      <c r="O60" s="36"/>
      <c r="P60" s="43"/>
    </row>
    <row r="61" spans="1:26" ht="12.75">
      <c r="A61" s="176" t="s">
        <v>139</v>
      </c>
      <c r="B61" s="37"/>
      <c r="E61" s="38"/>
      <c r="G61" s="36"/>
      <c r="J61" s="36"/>
      <c r="K61" s="36"/>
      <c r="L61" s="36"/>
      <c r="M61" s="36"/>
      <c r="N61" s="36"/>
      <c r="O61" s="36"/>
      <c r="P61" s="43"/>
    </row>
    <row r="62" spans="1:26" ht="15.75" thickBot="1">
      <c r="A62" s="307" t="s">
        <v>100</v>
      </c>
      <c r="B62" s="307"/>
      <c r="C62" s="307"/>
      <c r="D62" s="307"/>
      <c r="E62" s="307"/>
      <c r="F62" s="307"/>
      <c r="G62" s="307"/>
      <c r="H62" s="307"/>
      <c r="I62" s="307"/>
      <c r="J62" s="307"/>
      <c r="K62" s="307"/>
      <c r="M62" s="15"/>
      <c r="N62" s="118"/>
      <c r="O62" s="15"/>
      <c r="P62" s="116"/>
    </row>
    <row r="63" spans="1:26" ht="15.75" thickTop="1">
      <c r="A63" s="308" t="s">
        <v>85</v>
      </c>
      <c r="B63" s="310" t="s">
        <v>86</v>
      </c>
      <c r="C63" s="312" t="s">
        <v>87</v>
      </c>
      <c r="D63" s="312" t="s">
        <v>88</v>
      </c>
      <c r="E63" s="312" t="s">
        <v>89</v>
      </c>
      <c r="F63" s="312" t="s">
        <v>90</v>
      </c>
      <c r="G63" s="312"/>
      <c r="H63" s="312"/>
      <c r="I63" s="312"/>
      <c r="J63" s="312"/>
      <c r="K63" s="314" t="s">
        <v>91</v>
      </c>
      <c r="M63" s="15"/>
      <c r="N63" s="118"/>
      <c r="O63" s="15"/>
      <c r="P63" s="116"/>
    </row>
    <row r="64" spans="1:26" ht="37.5" thickBot="1">
      <c r="A64" s="309"/>
      <c r="B64" s="311"/>
      <c r="C64" s="313"/>
      <c r="D64" s="313"/>
      <c r="E64" s="313"/>
      <c r="F64" s="132" t="s">
        <v>92</v>
      </c>
      <c r="G64" s="132" t="s">
        <v>93</v>
      </c>
      <c r="H64" s="132" t="s">
        <v>94</v>
      </c>
      <c r="I64" s="132" t="s">
        <v>95</v>
      </c>
      <c r="J64" s="132" t="s">
        <v>96</v>
      </c>
      <c r="K64" s="315"/>
    </row>
    <row r="65" spans="1:11" ht="15.75" thickTop="1" thickBot="1">
      <c r="A65" s="133" t="s">
        <v>97</v>
      </c>
      <c r="B65" s="134" t="s">
        <v>101</v>
      </c>
      <c r="C65" s="135">
        <v>0.1376573830682033</v>
      </c>
      <c r="D65" s="135">
        <v>0.10685943246349627</v>
      </c>
      <c r="E65" s="136">
        <v>1.1561897559063575E-2</v>
      </c>
      <c r="F65" s="135">
        <v>0.1376573830682033</v>
      </c>
      <c r="G65" s="137">
        <v>4.4696929622052304</v>
      </c>
      <c r="H65" s="138">
        <v>1</v>
      </c>
      <c r="I65" s="138">
        <v>28</v>
      </c>
      <c r="J65" s="135">
        <v>4.3537527583254222E-2</v>
      </c>
      <c r="K65" s="139">
        <v>1.9487711684305755</v>
      </c>
    </row>
    <row r="66" spans="1:11" ht="15" thickTop="1">
      <c r="A66" s="304" t="s">
        <v>98</v>
      </c>
      <c r="B66" s="304"/>
      <c r="C66" s="304"/>
      <c r="D66" s="304"/>
      <c r="E66" s="304"/>
      <c r="F66" s="304"/>
      <c r="G66" s="304"/>
      <c r="H66" s="304"/>
      <c r="I66" s="304"/>
      <c r="J66" s="304"/>
      <c r="K66" s="304"/>
    </row>
    <row r="67" spans="1:11">
      <c r="A67" s="304" t="s">
        <v>99</v>
      </c>
      <c r="B67" s="304"/>
      <c r="C67" s="304"/>
      <c r="D67" s="304"/>
      <c r="E67" s="304"/>
      <c r="F67" s="304"/>
      <c r="G67" s="304"/>
      <c r="H67" s="304"/>
      <c r="I67" s="304"/>
      <c r="J67" s="304"/>
      <c r="K67" s="304"/>
    </row>
    <row r="69" spans="1:11" ht="15" thickBot="1">
      <c r="A69" s="307" t="s">
        <v>112</v>
      </c>
      <c r="B69" s="307"/>
      <c r="C69" s="307"/>
      <c r="D69" s="307"/>
      <c r="E69" s="307"/>
      <c r="F69" s="307"/>
      <c r="G69" s="307"/>
    </row>
    <row r="70" spans="1:11" ht="26.25" thickTop="1" thickBot="1">
      <c r="A70" s="316" t="s">
        <v>85</v>
      </c>
      <c r="B70" s="317"/>
      <c r="C70" s="140" t="s">
        <v>102</v>
      </c>
      <c r="D70" s="141" t="s">
        <v>103</v>
      </c>
      <c r="E70" s="141" t="s">
        <v>104</v>
      </c>
      <c r="F70" s="141" t="s">
        <v>105</v>
      </c>
      <c r="G70" s="142" t="s">
        <v>106</v>
      </c>
    </row>
    <row r="71" spans="1:11" ht="15" thickTop="1">
      <c r="A71" s="318" t="s">
        <v>97</v>
      </c>
      <c r="B71" s="143" t="s">
        <v>107</v>
      </c>
      <c r="C71" s="144">
        <v>5.9749726995608725</v>
      </c>
      <c r="D71" s="145">
        <v>1</v>
      </c>
      <c r="E71" s="146">
        <v>5.9749726995608725</v>
      </c>
      <c r="F71" s="146">
        <v>4.4696929622052304</v>
      </c>
      <c r="G71" s="147" t="s">
        <v>113</v>
      </c>
    </row>
    <row r="72" spans="1:11">
      <c r="A72" s="319"/>
      <c r="B72" s="148" t="s">
        <v>108</v>
      </c>
      <c r="C72" s="149">
        <v>37.429693046558462</v>
      </c>
      <c r="D72" s="150">
        <v>28</v>
      </c>
      <c r="E72" s="151">
        <v>1.3367747516628021</v>
      </c>
      <c r="F72" s="152"/>
      <c r="G72" s="153"/>
    </row>
    <row r="73" spans="1:11" ht="15" thickBot="1">
      <c r="A73" s="320"/>
      <c r="B73" s="154" t="s">
        <v>109</v>
      </c>
      <c r="C73" s="155">
        <v>43.404665746119335</v>
      </c>
      <c r="D73" s="156">
        <v>29</v>
      </c>
      <c r="E73" s="157"/>
      <c r="F73" s="157"/>
      <c r="G73" s="158"/>
    </row>
    <row r="74" spans="1:11" ht="15" thickTop="1">
      <c r="A74" s="304" t="s">
        <v>110</v>
      </c>
      <c r="B74" s="304"/>
      <c r="C74" s="304"/>
      <c r="D74" s="304"/>
      <c r="E74" s="304"/>
      <c r="F74" s="304"/>
      <c r="G74" s="304"/>
    </row>
    <row r="75" spans="1:11">
      <c r="A75" s="304" t="s">
        <v>111</v>
      </c>
      <c r="B75" s="304"/>
      <c r="C75" s="304"/>
      <c r="D75" s="304"/>
      <c r="E75" s="304"/>
      <c r="F75" s="304"/>
      <c r="G75" s="304"/>
    </row>
    <row r="77" spans="1:11" ht="15" thickBot="1">
      <c r="A77" s="307" t="s">
        <v>125</v>
      </c>
      <c r="B77" s="307"/>
      <c r="C77" s="307"/>
      <c r="D77" s="307"/>
      <c r="E77" s="307"/>
      <c r="F77" s="307"/>
      <c r="G77" s="307"/>
      <c r="H77" s="307"/>
      <c r="I77" s="307"/>
    </row>
    <row r="78" spans="1:11" ht="37.5" thickTop="1">
      <c r="A78" s="321" t="s">
        <v>85</v>
      </c>
      <c r="B78" s="322"/>
      <c r="C78" s="310" t="s">
        <v>114</v>
      </c>
      <c r="D78" s="312"/>
      <c r="E78" s="159" t="s">
        <v>115</v>
      </c>
      <c r="F78" s="312" t="s">
        <v>116</v>
      </c>
      <c r="G78" s="312" t="s">
        <v>106</v>
      </c>
      <c r="H78" s="312" t="s">
        <v>117</v>
      </c>
      <c r="I78" s="314"/>
    </row>
    <row r="79" spans="1:11" ht="25.5" thickBot="1">
      <c r="A79" s="323"/>
      <c r="B79" s="324"/>
      <c r="C79" s="160" t="s">
        <v>118</v>
      </c>
      <c r="D79" s="132" t="s">
        <v>119</v>
      </c>
      <c r="E79" s="132" t="s">
        <v>120</v>
      </c>
      <c r="F79" s="313"/>
      <c r="G79" s="313"/>
      <c r="H79" s="132" t="s">
        <v>121</v>
      </c>
      <c r="I79" s="161" t="s">
        <v>122</v>
      </c>
    </row>
    <row r="80" spans="1:11" ht="15" thickTop="1">
      <c r="A80" s="318" t="s">
        <v>97</v>
      </c>
      <c r="B80" s="143" t="s">
        <v>123</v>
      </c>
      <c r="C80" s="144">
        <v>-5.9509976327853753</v>
      </c>
      <c r="D80" s="146">
        <v>3.3988429296999856</v>
      </c>
      <c r="E80" s="162"/>
      <c r="F80" s="146">
        <v>-1.7508892749305915</v>
      </c>
      <c r="G80" s="163">
        <v>9.0915439714001858E-2</v>
      </c>
      <c r="H80" s="146">
        <v>-12.913211763822458</v>
      </c>
      <c r="I80" s="164">
        <v>1.0112164982517076</v>
      </c>
    </row>
    <row r="81" spans="1:16" ht="36.75" thickBot="1">
      <c r="A81" s="320"/>
      <c r="B81" s="154" t="s">
        <v>124</v>
      </c>
      <c r="C81" s="165">
        <v>5.3350013909210341E-2</v>
      </c>
      <c r="D81" s="166">
        <v>2.5234557377210226E-2</v>
      </c>
      <c r="E81" s="166">
        <v>0.37102207894976191</v>
      </c>
      <c r="F81" s="167">
        <v>2.1141648379928264</v>
      </c>
      <c r="G81" s="166">
        <v>4.3537527583254146E-2</v>
      </c>
      <c r="H81" s="166">
        <v>1.659366357695792E-3</v>
      </c>
      <c r="I81" s="168">
        <v>0.10504066146072488</v>
      </c>
    </row>
    <row r="82" spans="1:16" ht="15" thickTop="1">
      <c r="A82" s="304" t="s">
        <v>110</v>
      </c>
      <c r="B82" s="304"/>
      <c r="C82" s="304"/>
      <c r="D82" s="304"/>
      <c r="E82" s="304"/>
      <c r="F82" s="304"/>
      <c r="G82" s="304"/>
      <c r="H82" s="304"/>
      <c r="I82" s="304"/>
    </row>
    <row r="84" spans="1:16" ht="15" thickBot="1">
      <c r="A84" s="307" t="s">
        <v>134</v>
      </c>
      <c r="B84" s="307"/>
      <c r="C84" s="307"/>
      <c r="D84" s="307"/>
      <c r="E84" s="307"/>
      <c r="F84" s="307"/>
      <c r="G84" s="307"/>
    </row>
    <row r="85" spans="1:16" ht="37.5" thickTop="1">
      <c r="A85" s="321" t="s">
        <v>85</v>
      </c>
      <c r="B85" s="322"/>
      <c r="C85" s="310" t="s">
        <v>126</v>
      </c>
      <c r="D85" s="312" t="s">
        <v>116</v>
      </c>
      <c r="E85" s="312" t="s">
        <v>106</v>
      </c>
      <c r="F85" s="312" t="s">
        <v>127</v>
      </c>
      <c r="G85" s="169" t="s">
        <v>128</v>
      </c>
    </row>
    <row r="86" spans="1:16" ht="15" thickBot="1">
      <c r="A86" s="323"/>
      <c r="B86" s="324"/>
      <c r="C86" s="311"/>
      <c r="D86" s="313"/>
      <c r="E86" s="313"/>
      <c r="F86" s="313"/>
      <c r="G86" s="161" t="s">
        <v>129</v>
      </c>
    </row>
    <row r="87" spans="1:16" ht="24.75" thickTop="1">
      <c r="A87" s="318" t="s">
        <v>97</v>
      </c>
      <c r="B87" s="143" t="s">
        <v>130</v>
      </c>
      <c r="C87" s="170" t="s">
        <v>135</v>
      </c>
      <c r="D87" s="146">
        <v>1.6342299906540565</v>
      </c>
      <c r="E87" s="163">
        <v>0.11381843123121081</v>
      </c>
      <c r="F87" s="163">
        <v>0.30001932105727058</v>
      </c>
      <c r="G87" s="171">
        <v>0.98169429107799044</v>
      </c>
    </row>
    <row r="88" spans="1:16">
      <c r="A88" s="319"/>
      <c r="B88" s="148" t="s">
        <v>131</v>
      </c>
      <c r="C88" s="172" t="s">
        <v>136</v>
      </c>
      <c r="D88" s="173">
        <v>0.67356857581055729</v>
      </c>
      <c r="E88" s="173">
        <v>0.50631119888122089</v>
      </c>
      <c r="F88" s="173">
        <v>0.12855276387827785</v>
      </c>
      <c r="G88" s="174">
        <v>0.96139001174376981</v>
      </c>
    </row>
    <row r="89" spans="1:16" ht="36.75" thickBot="1">
      <c r="A89" s="320"/>
      <c r="B89" s="154" t="s">
        <v>132</v>
      </c>
      <c r="C89" s="175" t="s">
        <v>137</v>
      </c>
      <c r="D89" s="166">
        <v>0.17137327562348167</v>
      </c>
      <c r="E89" s="166">
        <v>0.86520819118051706</v>
      </c>
      <c r="F89" s="166">
        <v>3.2962879732174516E-2</v>
      </c>
      <c r="G89" s="168">
        <v>0.92794611380203584</v>
      </c>
    </row>
    <row r="90" spans="1:16" ht="15" thickTop="1">
      <c r="A90" s="304" t="s">
        <v>110</v>
      </c>
      <c r="B90" s="304"/>
      <c r="C90" s="304"/>
      <c r="D90" s="304"/>
      <c r="E90" s="304"/>
      <c r="F90" s="304"/>
      <c r="G90" s="304"/>
    </row>
    <row r="91" spans="1:16">
      <c r="A91" s="304" t="s">
        <v>133</v>
      </c>
      <c r="B91" s="304"/>
      <c r="C91" s="304"/>
      <c r="D91" s="304"/>
      <c r="E91" s="304"/>
      <c r="F91" s="304"/>
      <c r="G91" s="304"/>
    </row>
    <row r="92" spans="1:16" ht="12.75">
      <c r="B92" s="37"/>
      <c r="E92" s="38"/>
      <c r="G92" s="36"/>
      <c r="J92" s="36"/>
      <c r="K92" s="36"/>
      <c r="L92" s="36"/>
      <c r="M92" s="36"/>
      <c r="N92" s="36"/>
      <c r="O92" s="36"/>
      <c r="P92" s="43"/>
    </row>
    <row r="93" spans="1:16" ht="12.75">
      <c r="B93" s="37"/>
      <c r="E93" s="38"/>
      <c r="G93" s="36"/>
      <c r="J93" s="36"/>
      <c r="K93" s="36"/>
      <c r="L93" s="36"/>
      <c r="M93" s="36"/>
      <c r="N93" s="36"/>
      <c r="O93" s="36"/>
      <c r="P93" s="43"/>
    </row>
    <row r="96" spans="1:16">
      <c r="A96" s="16" t="s">
        <v>13</v>
      </c>
      <c r="B96" s="17">
        <f>J130/L130</f>
        <v>1.2843517993495738E-4</v>
      </c>
      <c r="D96" s="94"/>
      <c r="E96" s="95"/>
      <c r="F96" s="93" t="str">
        <f>F101</f>
        <v>X = PAS alcanzada tras seguim</v>
      </c>
      <c r="G96" s="95"/>
      <c r="H96" s="15"/>
      <c r="I96" s="96" t="str">
        <f>G101</f>
        <v>Y = MortCV /año</v>
      </c>
      <c r="M96" s="4"/>
    </row>
    <row r="97" spans="1:26">
      <c r="A97" s="22" t="s">
        <v>14</v>
      </c>
      <c r="B97" s="23">
        <f>B99*G131/F131</f>
        <v>1.2843517993495744E-4</v>
      </c>
      <c r="D97" s="97" t="s">
        <v>37</v>
      </c>
      <c r="E97" s="128">
        <v>-1</v>
      </c>
      <c r="F97" s="93" t="s">
        <v>33</v>
      </c>
      <c r="G97" s="15" t="s">
        <v>36</v>
      </c>
      <c r="H97" s="15"/>
      <c r="I97" s="96" t="s">
        <v>166</v>
      </c>
      <c r="J97" s="126">
        <f>E97*B97</f>
        <v>-1.2843517993495744E-4</v>
      </c>
      <c r="K97" s="6" t="s">
        <v>35</v>
      </c>
      <c r="L97" s="126">
        <f>E97*G140</f>
        <v>6.625203100248182E-5</v>
      </c>
      <c r="M97" s="6" t="s">
        <v>34</v>
      </c>
      <c r="N97" s="126">
        <f>E97*I140</f>
        <v>-3.2312239087239669E-4</v>
      </c>
    </row>
    <row r="98" spans="1:26">
      <c r="A98" s="16" t="s">
        <v>15</v>
      </c>
      <c r="B98" s="17">
        <f>G130-(F130*B96)</f>
        <v>-1.2332117620540348E-2</v>
      </c>
      <c r="M98" s="4"/>
    </row>
    <row r="99" spans="1:26">
      <c r="A99" s="25" t="s">
        <v>31</v>
      </c>
      <c r="B99" s="24">
        <f>J130/SQRT(N130)</f>
        <v>0.26777651251517715</v>
      </c>
      <c r="M99" s="4"/>
    </row>
    <row r="100" spans="1:26" ht="26.25" customHeight="1" thickBot="1">
      <c r="A100" s="108" t="s">
        <v>32</v>
      </c>
      <c r="B100" s="109">
        <f>B99^2</f>
        <v>7.1704260654790825E-2</v>
      </c>
      <c r="C100" s="110">
        <f>1-B100</f>
        <v>0.92829573934520915</v>
      </c>
      <c r="F100" s="7"/>
      <c r="G100" s="8"/>
      <c r="H100" s="269" t="s">
        <v>1</v>
      </c>
      <c r="I100" s="270"/>
      <c r="J100" s="9" t="s">
        <v>2</v>
      </c>
      <c r="K100" s="10"/>
      <c r="L100" s="9" t="s">
        <v>3</v>
      </c>
      <c r="M100" s="9" t="s">
        <v>4</v>
      </c>
      <c r="N100" s="9" t="s">
        <v>5</v>
      </c>
      <c r="Q100" s="41"/>
      <c r="R100" s="41"/>
      <c r="S100" s="41"/>
      <c r="T100" s="41"/>
      <c r="U100" s="43"/>
      <c r="V100" s="68"/>
      <c r="W100" s="68"/>
      <c r="X100" s="41"/>
      <c r="Y100" s="41"/>
      <c r="Z100" s="69"/>
    </row>
    <row r="101" spans="1:26" ht="37.5" customHeight="1" thickBot="1">
      <c r="A101" s="114" t="s">
        <v>42</v>
      </c>
      <c r="C101" s="11" t="s">
        <v>174</v>
      </c>
      <c r="D101" s="12" t="s">
        <v>6</v>
      </c>
      <c r="E101" s="12" t="s">
        <v>39</v>
      </c>
      <c r="F101" s="44" t="s">
        <v>190</v>
      </c>
      <c r="G101" s="45" t="s">
        <v>183</v>
      </c>
      <c r="H101" s="13" t="s">
        <v>7</v>
      </c>
      <c r="I101" s="14" t="s">
        <v>8</v>
      </c>
      <c r="J101" s="14" t="s">
        <v>9</v>
      </c>
      <c r="L101" s="14" t="s">
        <v>10</v>
      </c>
      <c r="M101" s="14" t="s">
        <v>11</v>
      </c>
      <c r="N101" s="14" t="s">
        <v>12</v>
      </c>
      <c r="Q101" s="41"/>
      <c r="R101" s="41"/>
      <c r="S101" s="70"/>
      <c r="T101" s="71"/>
      <c r="U101" s="41"/>
      <c r="V101" s="106"/>
      <c r="W101" s="106"/>
      <c r="X101" s="73"/>
      <c r="Y101" s="74"/>
      <c r="Z101" s="106"/>
    </row>
    <row r="102" spans="1:26">
      <c r="A102" s="112" t="s">
        <v>61</v>
      </c>
      <c r="C102" s="268">
        <f>B98+(B97*F102)</f>
        <v>5.6102770163732052E-3</v>
      </c>
      <c r="D102" s="340">
        <f t="shared" ref="D102:D127" si="5">C102-G102</f>
        <v>1.5759177230584747E-3</v>
      </c>
      <c r="E102" s="6">
        <v>1</v>
      </c>
      <c r="F102" s="46">
        <v>139.69999999999999</v>
      </c>
      <c r="G102" s="61">
        <v>4.0343592933147305E-3</v>
      </c>
      <c r="H102" s="19">
        <f>F102-F130</f>
        <v>4.6576923076922867</v>
      </c>
      <c r="I102" s="63">
        <f>G102-G130</f>
        <v>-9.7770617343834014E-4</v>
      </c>
      <c r="J102" s="19">
        <f t="shared" ref="J102:J127" si="6">H102*I102</f>
        <v>-4.5538545232070172E-3</v>
      </c>
      <c r="K102" s="20"/>
      <c r="L102" s="20">
        <f t="shared" ref="L102:M127" si="7">H102^2</f>
        <v>21.6940976331359</v>
      </c>
      <c r="M102" s="38">
        <f t="shared" si="7"/>
        <v>9.5590936157944169E-7</v>
      </c>
      <c r="N102" s="21"/>
      <c r="Q102" s="75"/>
      <c r="R102" s="76"/>
      <c r="S102" s="41"/>
      <c r="T102" s="41"/>
      <c r="U102" s="41"/>
      <c r="V102" s="58"/>
      <c r="W102" s="58"/>
      <c r="X102" s="77"/>
      <c r="Y102" s="74"/>
      <c r="Z102" s="58"/>
    </row>
    <row r="103" spans="1:26">
      <c r="A103" s="112" t="s">
        <v>63</v>
      </c>
      <c r="C103" s="268">
        <f>B98+(B97*F103)</f>
        <v>6.1625482900935225E-3</v>
      </c>
      <c r="D103" s="340">
        <f t="shared" si="5"/>
        <v>-4.6742402511805066E-3</v>
      </c>
      <c r="E103" s="6">
        <v>2</v>
      </c>
      <c r="F103" s="46">
        <v>144</v>
      </c>
      <c r="G103" s="61">
        <v>1.0836788541274029E-2</v>
      </c>
      <c r="H103" s="19">
        <f>F103-F130</f>
        <v>8.9576923076922981</v>
      </c>
      <c r="I103" s="63">
        <f>G103-G130</f>
        <v>5.8247230745209584E-3</v>
      </c>
      <c r="J103" s="19">
        <f t="shared" si="6"/>
        <v>5.2176077079074221E-2</v>
      </c>
      <c r="K103" s="20"/>
      <c r="L103" s="20">
        <f t="shared" si="7"/>
        <v>80.240251479289768</v>
      </c>
      <c r="M103" s="38">
        <f t="shared" si="7"/>
        <v>3.3927398894856886E-5</v>
      </c>
      <c r="N103" s="21"/>
      <c r="Q103" s="75"/>
      <c r="R103" s="76"/>
      <c r="S103" s="41"/>
      <c r="T103" s="41"/>
      <c r="U103" s="41"/>
      <c r="V103" s="58"/>
      <c r="W103" s="58"/>
      <c r="X103" s="77"/>
      <c r="Y103" s="74"/>
      <c r="Z103" s="58"/>
    </row>
    <row r="104" spans="1:26">
      <c r="A104" s="129" t="s">
        <v>65</v>
      </c>
      <c r="C104" s="268">
        <f>B98+(B97*F104)</f>
        <v>4.1075854111342035E-3</v>
      </c>
      <c r="D104" s="340">
        <f t="shared" si="5"/>
        <v>-6.8628787238868942E-3</v>
      </c>
      <c r="E104" s="6">
        <v>3</v>
      </c>
      <c r="F104" s="46">
        <v>128</v>
      </c>
      <c r="G104" s="61">
        <v>1.0970464135021098E-2</v>
      </c>
      <c r="H104" s="19">
        <f>F104-F130</f>
        <v>-7.0423076923077019</v>
      </c>
      <c r="I104" s="63">
        <f>G104-G130</f>
        <v>5.958398668268027E-3</v>
      </c>
      <c r="J104" s="19">
        <f t="shared" si="6"/>
        <v>-4.1960876775379893E-2</v>
      </c>
      <c r="K104" s="20"/>
      <c r="L104" s="20">
        <f t="shared" si="7"/>
        <v>49.594097633136229</v>
      </c>
      <c r="M104" s="38">
        <f t="shared" si="7"/>
        <v>3.5502514690018198E-5</v>
      </c>
      <c r="N104" s="21"/>
      <c r="Q104" s="75"/>
      <c r="R104" s="76"/>
      <c r="S104" s="41"/>
      <c r="T104" s="41"/>
      <c r="U104" s="41"/>
      <c r="V104" s="58"/>
      <c r="W104" s="58"/>
      <c r="X104" s="77"/>
      <c r="Y104" s="74"/>
      <c r="Z104" s="58"/>
    </row>
    <row r="105" spans="1:26">
      <c r="A105" s="112" t="s">
        <v>67</v>
      </c>
      <c r="C105" s="268">
        <f>B98+(B97*F105)</f>
        <v>4.3644557710041179E-3</v>
      </c>
      <c r="D105" s="340">
        <f t="shared" si="5"/>
        <v>6.2194080094423766E-4</v>
      </c>
      <c r="E105" s="6">
        <v>4</v>
      </c>
      <c r="F105" s="46">
        <v>130</v>
      </c>
      <c r="G105" s="61">
        <v>3.7425149700598802E-3</v>
      </c>
      <c r="H105" s="19">
        <f>F105-F130</f>
        <v>-5.0423076923077019</v>
      </c>
      <c r="I105" s="63">
        <f>G105-G130</f>
        <v>-1.2695504966931904E-3</v>
      </c>
      <c r="J105" s="19">
        <f t="shared" si="6"/>
        <v>6.4014642352491378E-3</v>
      </c>
      <c r="K105" s="20"/>
      <c r="L105" s="20">
        <f t="shared" si="7"/>
        <v>25.424866863905422</v>
      </c>
      <c r="M105" s="38">
        <f t="shared" si="7"/>
        <v>1.6117584636539265E-6</v>
      </c>
      <c r="N105" s="21"/>
      <c r="Q105" s="75"/>
      <c r="R105" s="76"/>
      <c r="S105" s="41"/>
      <c r="T105" s="41"/>
      <c r="U105" s="41"/>
      <c r="V105" s="58"/>
      <c r="W105" s="58"/>
      <c r="X105" s="77"/>
      <c r="Y105" s="74"/>
      <c r="Z105" s="58"/>
    </row>
    <row r="106" spans="1:26">
      <c r="A106" s="112" t="s">
        <v>69</v>
      </c>
      <c r="C106" s="268">
        <f>B98+(B97*F106)</f>
        <v>5.1222233326203674E-3</v>
      </c>
      <c r="D106" s="340">
        <f t="shared" si="5"/>
        <v>3.0970208123683421E-3</v>
      </c>
      <c r="E106" s="6">
        <v>5</v>
      </c>
      <c r="F106" s="46">
        <v>135.9</v>
      </c>
      <c r="G106" s="61">
        <v>2.0252025202520253E-3</v>
      </c>
      <c r="H106" s="19">
        <f>F106-F130</f>
        <v>0.85769230769230376</v>
      </c>
      <c r="I106" s="63">
        <f>G106-G130</f>
        <v>-2.9868629465010454E-3</v>
      </c>
      <c r="J106" s="19">
        <f t="shared" si="6"/>
        <v>-2.5618093733451156E-3</v>
      </c>
      <c r="K106" s="20"/>
      <c r="L106" s="20">
        <f t="shared" si="7"/>
        <v>0.73563609467454949</v>
      </c>
      <c r="M106" s="38">
        <f t="shared" si="7"/>
        <v>8.9213502611809073E-6</v>
      </c>
      <c r="N106" s="21"/>
      <c r="Q106" s="75"/>
      <c r="R106" s="76"/>
      <c r="S106" s="41"/>
      <c r="T106" s="41"/>
      <c r="U106" s="41"/>
      <c r="V106" s="58"/>
      <c r="W106" s="58"/>
      <c r="X106" s="77"/>
      <c r="Y106" s="74"/>
      <c r="Z106" s="58"/>
    </row>
    <row r="107" spans="1:26">
      <c r="A107" s="112" t="s">
        <v>71</v>
      </c>
      <c r="C107" s="268">
        <f>B98+(B97*F107)</f>
        <v>3.1443215616220235E-3</v>
      </c>
      <c r="D107" s="340">
        <f t="shared" si="5"/>
        <v>-2.2604021669167199E-3</v>
      </c>
      <c r="E107" s="6">
        <v>6</v>
      </c>
      <c r="F107" s="46">
        <v>120.5</v>
      </c>
      <c r="G107" s="61">
        <v>5.4047237285387434E-3</v>
      </c>
      <c r="H107" s="19">
        <f>F107-F130</f>
        <v>-14.542307692307702</v>
      </c>
      <c r="I107" s="63">
        <f>G107-G130</f>
        <v>3.9265826178567272E-4</v>
      </c>
      <c r="J107" s="19">
        <f t="shared" si="6"/>
        <v>-5.7101572608139594E-3</v>
      </c>
      <c r="K107" s="20"/>
      <c r="L107" s="20">
        <f t="shared" si="7"/>
        <v>211.47871301775177</v>
      </c>
      <c r="M107" s="38">
        <f t="shared" si="7"/>
        <v>1.5418051054854589E-7</v>
      </c>
      <c r="N107" s="21"/>
      <c r="Q107" s="75"/>
      <c r="R107" s="76"/>
      <c r="S107" s="41"/>
      <c r="T107" s="41"/>
      <c r="U107" s="41"/>
      <c r="V107" s="58"/>
      <c r="W107" s="58"/>
      <c r="X107" s="77"/>
      <c r="Y107" s="74"/>
      <c r="Z107" s="58"/>
    </row>
    <row r="108" spans="1:26">
      <c r="A108" s="112" t="s">
        <v>72</v>
      </c>
      <c r="C108" s="268">
        <f>B98+(B97*F108)</f>
        <v>5.212127958574838E-3</v>
      </c>
      <c r="D108" s="340">
        <f t="shared" si="5"/>
        <v>2.8929940496746345E-3</v>
      </c>
      <c r="E108" s="6">
        <v>7</v>
      </c>
      <c r="F108" s="46">
        <v>136.6</v>
      </c>
      <c r="G108" s="61">
        <v>2.3191339089002035E-3</v>
      </c>
      <c r="H108" s="19">
        <f>F108-F130</f>
        <v>1.5576923076922924</v>
      </c>
      <c r="I108" s="63">
        <f>G108-G130</f>
        <v>-2.6929315578528672E-3</v>
      </c>
      <c r="J108" s="19">
        <f t="shared" si="6"/>
        <v>-4.1947587728092322E-3</v>
      </c>
      <c r="K108" s="20"/>
      <c r="L108" s="20">
        <f t="shared" si="7"/>
        <v>2.4264053254437394</v>
      </c>
      <c r="M108" s="38">
        <f t="shared" si="7"/>
        <v>7.2518803752798703E-6</v>
      </c>
      <c r="N108" s="21"/>
      <c r="Q108" s="75"/>
      <c r="R108" s="76"/>
      <c r="S108" s="41"/>
      <c r="T108" s="41"/>
      <c r="U108" s="41"/>
      <c r="V108" s="58"/>
      <c r="W108" s="58"/>
      <c r="X108" s="77"/>
      <c r="Y108" s="74"/>
      <c r="Z108" s="58"/>
    </row>
    <row r="109" spans="1:26">
      <c r="A109" s="112" t="s">
        <v>73</v>
      </c>
      <c r="C109" s="268">
        <f>B98+(B97*F109)</f>
        <v>4.3644557710041179E-3</v>
      </c>
      <c r="D109" s="340">
        <f t="shared" si="5"/>
        <v>-5.5120874388724251E-3</v>
      </c>
      <c r="E109" s="6">
        <v>8</v>
      </c>
      <c r="F109" s="46">
        <v>130</v>
      </c>
      <c r="G109" s="61">
        <v>9.876543209876543E-3</v>
      </c>
      <c r="H109" s="19">
        <f>F109-F130</f>
        <v>-5.0423076923077019</v>
      </c>
      <c r="I109" s="63">
        <f>G109-G130</f>
        <v>4.8644777431234723E-3</v>
      </c>
      <c r="J109" s="19">
        <f t="shared" si="6"/>
        <v>-2.4528193543211094E-2</v>
      </c>
      <c r="K109" s="20"/>
      <c r="L109" s="20">
        <f t="shared" si="7"/>
        <v>25.424866863905422</v>
      </c>
      <c r="M109" s="38">
        <f t="shared" si="7"/>
        <v>2.3663143713343631E-5</v>
      </c>
      <c r="N109" s="21"/>
      <c r="Q109" s="75"/>
      <c r="R109" s="76"/>
      <c r="S109" s="41"/>
      <c r="T109" s="41"/>
      <c r="U109" s="41"/>
      <c r="V109" s="58"/>
      <c r="W109" s="58"/>
      <c r="X109" s="77"/>
      <c r="Y109" s="74"/>
      <c r="Z109" s="58"/>
    </row>
    <row r="110" spans="1:26">
      <c r="A110" s="112" t="s">
        <v>74</v>
      </c>
      <c r="C110" s="268">
        <f>B98+(B97*F110)</f>
        <v>4.1974900370886706E-3</v>
      </c>
      <c r="D110" s="340">
        <f t="shared" si="5"/>
        <v>3.849425854053319E-3</v>
      </c>
      <c r="E110" s="6">
        <v>9</v>
      </c>
      <c r="F110" s="46">
        <v>128.69999999999999</v>
      </c>
      <c r="G110" s="61">
        <v>3.4806418303535172E-4</v>
      </c>
      <c r="H110" s="19">
        <f>F110-F130</f>
        <v>-6.3423076923077133</v>
      </c>
      <c r="I110" s="63">
        <f>G110-G130</f>
        <v>-4.6640012837177187E-3</v>
      </c>
      <c r="J110" s="19">
        <f t="shared" si="6"/>
        <v>2.9580531218655937E-2</v>
      </c>
      <c r="K110" s="20"/>
      <c r="L110" s="20">
        <f t="shared" si="7"/>
        <v>40.224866863905589</v>
      </c>
      <c r="M110" s="38">
        <f t="shared" si="7"/>
        <v>2.1752907974520529E-5</v>
      </c>
      <c r="N110" s="21"/>
      <c r="Q110" s="75"/>
      <c r="R110" s="76"/>
      <c r="S110" s="41"/>
      <c r="T110" s="41"/>
      <c r="U110" s="41"/>
      <c r="V110" s="58"/>
      <c r="W110" s="58"/>
      <c r="X110" s="77"/>
      <c r="Y110" s="74"/>
      <c r="Z110" s="58"/>
    </row>
    <row r="111" spans="1:26">
      <c r="A111" s="112" t="s">
        <v>75</v>
      </c>
      <c r="C111" s="268">
        <f>B98+(B97*F111)</f>
        <v>5.0965362966333728E-3</v>
      </c>
      <c r="D111" s="340">
        <f t="shared" si="5"/>
        <v>4.1962680166859482E-3</v>
      </c>
      <c r="E111" s="6">
        <v>10</v>
      </c>
      <c r="F111" s="46">
        <v>135.69999999999999</v>
      </c>
      <c r="G111" s="61">
        <v>9.0026827994742437E-4</v>
      </c>
      <c r="H111" s="19">
        <f>F111-F130</f>
        <v>0.6576923076922867</v>
      </c>
      <c r="I111" s="63">
        <f>G111-G130</f>
        <v>-4.111797186805646E-3</v>
      </c>
      <c r="J111" s="19">
        <f t="shared" si="6"/>
        <v>-2.7042973805528579E-3</v>
      </c>
      <c r="K111" s="20"/>
      <c r="L111" s="20">
        <f t="shared" si="7"/>
        <v>0.43255917159760554</v>
      </c>
      <c r="M111" s="38">
        <f t="shared" si="7"/>
        <v>1.6906876105422825E-5</v>
      </c>
      <c r="N111" s="21"/>
      <c r="Q111" s="75"/>
      <c r="R111" s="76"/>
      <c r="S111" s="41"/>
      <c r="T111" s="41"/>
      <c r="U111" s="41"/>
      <c r="V111" s="58"/>
      <c r="W111" s="58"/>
      <c r="X111" s="77"/>
      <c r="Y111" s="74"/>
      <c r="Z111" s="58"/>
    </row>
    <row r="112" spans="1:26">
      <c r="A112" s="112" t="s">
        <v>76</v>
      </c>
      <c r="C112" s="268">
        <f>B98+(B97*F112)</f>
        <v>3.4654095114594156E-3</v>
      </c>
      <c r="D112" s="340">
        <f t="shared" si="5"/>
        <v>-3.0167555316649884E-3</v>
      </c>
      <c r="E112" s="6">
        <v>11</v>
      </c>
      <c r="F112" s="46">
        <v>123</v>
      </c>
      <c r="G112" s="61">
        <v>6.482165043124404E-3</v>
      </c>
      <c r="H112" s="19">
        <f>F112-F130</f>
        <v>-12.042307692307702</v>
      </c>
      <c r="I112" s="63">
        <f>G112-G130</f>
        <v>1.4700995763713334E-3</v>
      </c>
      <c r="J112" s="19">
        <f t="shared" si="6"/>
        <v>-1.77033914369948E-2</v>
      </c>
      <c r="K112" s="20"/>
      <c r="L112" s="20">
        <f t="shared" si="7"/>
        <v>145.01717455621326</v>
      </c>
      <c r="M112" s="38">
        <f t="shared" si="7"/>
        <v>2.1611927644471739E-6</v>
      </c>
      <c r="N112" s="21"/>
      <c r="Q112" s="75"/>
      <c r="R112" s="76"/>
      <c r="S112" s="41"/>
      <c r="T112" s="41"/>
      <c r="U112" s="41"/>
      <c r="V112" s="58"/>
      <c r="W112" s="58"/>
      <c r="X112" s="77"/>
      <c r="Y112" s="74"/>
      <c r="Z112" s="58"/>
    </row>
    <row r="113" spans="1:26">
      <c r="A113" s="112" t="s">
        <v>77</v>
      </c>
      <c r="C113" s="268">
        <f>B98+(B97*F113)</f>
        <v>3.2727567415569807E-3</v>
      </c>
      <c r="D113" s="340">
        <f t="shared" si="5"/>
        <v>8.4657177970709962E-4</v>
      </c>
      <c r="E113" s="6">
        <v>12</v>
      </c>
      <c r="F113" s="46">
        <v>121.5</v>
      </c>
      <c r="G113" s="61">
        <v>2.4261849618498811E-3</v>
      </c>
      <c r="H113" s="19">
        <f>F113-F130</f>
        <v>-13.542307692307702</v>
      </c>
      <c r="I113" s="63">
        <f>G113-G130</f>
        <v>-2.5858805049031896E-3</v>
      </c>
      <c r="J113" s="19">
        <f t="shared" si="6"/>
        <v>3.5018789452938986E-2</v>
      </c>
      <c r="K113" s="20"/>
      <c r="L113" s="20">
        <f t="shared" si="7"/>
        <v>183.39409763313637</v>
      </c>
      <c r="M113" s="38">
        <f t="shared" si="7"/>
        <v>6.686777985638375E-6</v>
      </c>
      <c r="N113" s="21"/>
      <c r="Q113" s="75"/>
      <c r="R113" s="76"/>
      <c r="S113" s="41"/>
      <c r="T113" s="41"/>
      <c r="U113" s="41"/>
      <c r="V113" s="58"/>
      <c r="W113" s="58"/>
      <c r="X113" s="77"/>
      <c r="Y113" s="74"/>
      <c r="Z113" s="58"/>
    </row>
    <row r="114" spans="1:26">
      <c r="A114" s="112" t="s">
        <v>78</v>
      </c>
      <c r="C114" s="268">
        <f>B98+(B97*F114)</f>
        <v>3.9663067132057507E-3</v>
      </c>
      <c r="D114" s="340">
        <f t="shared" si="5"/>
        <v>3.9663067132057507E-3</v>
      </c>
      <c r="E114" s="6">
        <v>13</v>
      </c>
      <c r="F114" s="46">
        <v>126.9</v>
      </c>
      <c r="G114" s="61">
        <v>0</v>
      </c>
      <c r="H114" s="19">
        <f>F114-F130</f>
        <v>-8.1423076923076962</v>
      </c>
      <c r="I114" s="63">
        <f>G114-G130</f>
        <v>-5.0120654667530707E-3</v>
      </c>
      <c r="J114" s="19">
        <f t="shared" si="6"/>
        <v>4.0809779204293288E-2</v>
      </c>
      <c r="K114" s="20"/>
      <c r="L114" s="20">
        <f t="shared" si="7"/>
        <v>66.297174556213079</v>
      </c>
      <c r="M114" s="38">
        <f t="shared" si="7"/>
        <v>2.5120800243018677E-5</v>
      </c>
      <c r="N114" s="21"/>
      <c r="Q114" s="75"/>
      <c r="R114" s="76"/>
      <c r="S114" s="41"/>
      <c r="T114" s="41"/>
      <c r="U114" s="41"/>
      <c r="V114" s="58"/>
      <c r="W114" s="58"/>
      <c r="X114" s="77"/>
      <c r="Y114" s="74"/>
      <c r="Z114" s="58"/>
    </row>
    <row r="115" spans="1:26">
      <c r="A115" s="112" t="s">
        <v>61</v>
      </c>
      <c r="C115" s="268">
        <f>B98+(B97*F115)</f>
        <v>5.9827390381845813E-3</v>
      </c>
      <c r="D115" s="340">
        <f t="shared" si="5"/>
        <v>2.2647515407052503E-3</v>
      </c>
      <c r="E115" s="6">
        <v>14</v>
      </c>
      <c r="F115" s="47">
        <v>142.6</v>
      </c>
      <c r="G115" s="62">
        <v>3.717987497479331E-3</v>
      </c>
      <c r="H115" s="19">
        <f>F115-F130</f>
        <v>7.5576923076922924</v>
      </c>
      <c r="I115" s="63">
        <f>G115-G130</f>
        <v>-1.2940779692737396E-3</v>
      </c>
      <c r="J115" s="19">
        <f t="shared" si="6"/>
        <v>-9.780243113934205E-3</v>
      </c>
      <c r="K115" s="20"/>
      <c r="L115" s="20">
        <f t="shared" si="7"/>
        <v>57.118713017751247</v>
      </c>
      <c r="M115" s="38">
        <f t="shared" si="7"/>
        <v>1.6746377905596458E-6</v>
      </c>
      <c r="N115" s="21"/>
      <c r="Q115" s="41"/>
      <c r="R115" s="57"/>
      <c r="S115" s="78"/>
      <c r="T115" s="79"/>
      <c r="U115" s="41"/>
      <c r="V115" s="58"/>
      <c r="W115" s="58"/>
      <c r="X115" s="77"/>
      <c r="Y115" s="74"/>
      <c r="Z115" s="58"/>
    </row>
    <row r="116" spans="1:26">
      <c r="A116" s="112" t="s">
        <v>63</v>
      </c>
      <c r="C116" s="268">
        <f>B98+(B97*F116)</f>
        <v>7.4469000894430981E-3</v>
      </c>
      <c r="D116" s="340">
        <f t="shared" si="5"/>
        <v>-9.0366163940733858E-3</v>
      </c>
      <c r="E116" s="6">
        <v>15</v>
      </c>
      <c r="F116" s="47">
        <v>154</v>
      </c>
      <c r="G116" s="62">
        <v>1.6483516483516484E-2</v>
      </c>
      <c r="H116" s="19">
        <f>F116-F130</f>
        <v>18.957692307692298</v>
      </c>
      <c r="I116" s="63">
        <f>G116-G130</f>
        <v>1.1471451016763414E-2</v>
      </c>
      <c r="J116" s="19">
        <f t="shared" si="6"/>
        <v>0.21747223869856477</v>
      </c>
      <c r="K116" s="20"/>
      <c r="L116" s="20">
        <f t="shared" si="7"/>
        <v>359.39409763313574</v>
      </c>
      <c r="M116" s="38">
        <f t="shared" si="7"/>
        <v>1.3159418843000236E-4</v>
      </c>
      <c r="N116" s="21"/>
      <c r="Q116" s="41"/>
      <c r="R116" s="57"/>
      <c r="S116" s="78"/>
      <c r="T116" s="79"/>
      <c r="U116" s="41"/>
      <c r="V116" s="58"/>
      <c r="W116" s="58"/>
      <c r="X116" s="77"/>
      <c r="Y116" s="74"/>
      <c r="Z116" s="58"/>
    </row>
    <row r="117" spans="1:26">
      <c r="A117" s="129" t="s">
        <v>65</v>
      </c>
      <c r="C117" s="268">
        <f>B98+(B97*F117)</f>
        <v>5.2635020305488202E-3</v>
      </c>
      <c r="D117" s="340">
        <f t="shared" si="5"/>
        <v>-2.1439053768585875E-3</v>
      </c>
      <c r="E117" s="6">
        <v>16</v>
      </c>
      <c r="F117" s="47">
        <v>137</v>
      </c>
      <c r="G117" s="62">
        <v>7.4074074074074077E-3</v>
      </c>
      <c r="H117" s="19">
        <f>F117-F130</f>
        <v>1.9576923076922981</v>
      </c>
      <c r="I117" s="63">
        <f>G117-G130</f>
        <v>2.395341940654337E-3</v>
      </c>
      <c r="J117" s="19">
        <f t="shared" si="6"/>
        <v>4.6893424915117367E-3</v>
      </c>
      <c r="K117" s="20"/>
      <c r="L117" s="20">
        <f t="shared" si="7"/>
        <v>3.8325591715975955</v>
      </c>
      <c r="M117" s="38">
        <f t="shared" si="7"/>
        <v>5.7376630126576857E-6</v>
      </c>
      <c r="N117" s="21"/>
      <c r="Q117" s="41"/>
      <c r="R117" s="80"/>
      <c r="S117" s="41"/>
      <c r="T117" s="41"/>
      <c r="U117" s="41"/>
      <c r="V117" s="58"/>
      <c r="W117" s="58"/>
      <c r="X117" s="77"/>
      <c r="Y117" s="74"/>
      <c r="Z117" s="58"/>
    </row>
    <row r="118" spans="1:26">
      <c r="A118" s="112" t="s">
        <v>67</v>
      </c>
      <c r="C118" s="268">
        <f>B98+(B97*F118)</f>
        <v>4.8781964907439468E-3</v>
      </c>
      <c r="D118" s="340">
        <f t="shared" si="5"/>
        <v>-2.5622796997322433E-3</v>
      </c>
      <c r="E118" s="6">
        <v>17</v>
      </c>
      <c r="F118" s="47">
        <v>134</v>
      </c>
      <c r="G118" s="62">
        <v>7.4404761904761901E-3</v>
      </c>
      <c r="H118" s="19">
        <f>F118-F130</f>
        <v>-1.0423076923077019</v>
      </c>
      <c r="I118" s="63">
        <f>G118-G130</f>
        <v>2.4284107237231194E-3</v>
      </c>
      <c r="J118" s="19">
        <f t="shared" si="6"/>
        <v>-2.5311511774191208E-3</v>
      </c>
      <c r="K118" s="20"/>
      <c r="L118" s="20">
        <f t="shared" si="7"/>
        <v>1.0864053254438071</v>
      </c>
      <c r="M118" s="38">
        <f t="shared" si="7"/>
        <v>5.8971786430934444E-6</v>
      </c>
      <c r="N118" s="21"/>
      <c r="Q118" s="41"/>
      <c r="R118" s="41"/>
      <c r="S118" s="41"/>
      <c r="T118" s="41"/>
      <c r="U118" s="41"/>
      <c r="V118" s="58"/>
      <c r="W118" s="58"/>
      <c r="X118" s="77"/>
      <c r="Y118" s="74"/>
      <c r="Z118" s="58"/>
    </row>
    <row r="119" spans="1:26" ht="14.25" customHeight="1">
      <c r="A119" s="112" t="s">
        <v>69</v>
      </c>
      <c r="C119" s="268">
        <f>B98+(B97*F119)</f>
        <v>6.3680445779894547E-3</v>
      </c>
      <c r="D119" s="340">
        <f t="shared" si="5"/>
        <v>4.7814625290320658E-3</v>
      </c>
      <c r="E119" s="6">
        <v>18</v>
      </c>
      <c r="F119" s="47">
        <v>145.6</v>
      </c>
      <c r="G119" s="62">
        <v>1.5865820489573889E-3</v>
      </c>
      <c r="H119" s="19">
        <f>F119-F130</f>
        <v>10.557692307692292</v>
      </c>
      <c r="I119" s="63">
        <f>G119-G130</f>
        <v>-3.4254834177956817E-3</v>
      </c>
      <c r="J119" s="19">
        <f t="shared" si="6"/>
        <v>-3.616519993018897E-2</v>
      </c>
      <c r="K119" s="20"/>
      <c r="L119" s="20">
        <f t="shared" si="7"/>
        <v>111.464866863905</v>
      </c>
      <c r="M119" s="38">
        <f t="shared" si="7"/>
        <v>1.1733936645593184E-5</v>
      </c>
      <c r="N119" s="21"/>
      <c r="P119" s="271" t="s">
        <v>163</v>
      </c>
      <c r="Q119" s="272"/>
      <c r="R119" s="272"/>
      <c r="S119" s="272"/>
      <c r="T119" s="272"/>
      <c r="U119" s="272"/>
      <c r="V119" s="272"/>
      <c r="W119" s="272"/>
      <c r="X119" s="273"/>
      <c r="Y119" s="74"/>
      <c r="Z119" s="58"/>
    </row>
    <row r="120" spans="1:26">
      <c r="A120" s="112" t="s">
        <v>71</v>
      </c>
      <c r="C120" s="268">
        <f>B98+(B97*F120)</f>
        <v>4.8139789007764708E-3</v>
      </c>
      <c r="D120" s="340">
        <f t="shared" si="5"/>
        <v>-3.9075561289493056E-4</v>
      </c>
      <c r="E120" s="6">
        <v>19</v>
      </c>
      <c r="F120" s="47">
        <v>133.5</v>
      </c>
      <c r="G120" s="62">
        <v>5.2047345136714013E-3</v>
      </c>
      <c r="H120" s="19">
        <f>F120-F130</f>
        <v>-1.5423076923077019</v>
      </c>
      <c r="I120" s="63">
        <f>G120-G130</f>
        <v>1.9266904691833068E-4</v>
      </c>
      <c r="J120" s="19">
        <f t="shared" si="6"/>
        <v>-2.9715495313173494E-4</v>
      </c>
      <c r="K120" s="20"/>
      <c r="L120" s="20">
        <f t="shared" si="7"/>
        <v>2.378713017751509</v>
      </c>
      <c r="M120" s="38">
        <f t="shared" si="7"/>
        <v>3.7121361640417906E-8</v>
      </c>
      <c r="N120" s="21"/>
      <c r="P120" s="274"/>
      <c r="Q120" s="275"/>
      <c r="R120" s="275"/>
      <c r="S120" s="275"/>
      <c r="T120" s="275"/>
      <c r="U120" s="275"/>
      <c r="V120" s="275"/>
      <c r="W120" s="275"/>
      <c r="X120" s="276"/>
      <c r="Y120" s="74"/>
      <c r="Z120" s="58"/>
    </row>
    <row r="121" spans="1:26">
      <c r="A121" s="112" t="s">
        <v>72</v>
      </c>
      <c r="C121" s="268">
        <f>B98+(B97*F121)</f>
        <v>5.905677930223608E-3</v>
      </c>
      <c r="D121" s="340">
        <f t="shared" si="5"/>
        <v>3.5699139867745766E-3</v>
      </c>
      <c r="E121" s="6">
        <v>20</v>
      </c>
      <c r="F121" s="47">
        <v>142</v>
      </c>
      <c r="G121" s="62">
        <v>2.3357639434490314E-3</v>
      </c>
      <c r="H121" s="19">
        <f>F121-F130</f>
        <v>6.9576923076922981</v>
      </c>
      <c r="I121" s="63">
        <f>G121-G130</f>
        <v>-2.6763015233040393E-3</v>
      </c>
      <c r="J121" s="19">
        <f t="shared" si="6"/>
        <v>-1.8620882521757694E-2</v>
      </c>
      <c r="K121" s="20"/>
      <c r="L121" s="20">
        <f t="shared" si="7"/>
        <v>48.409482248520575</v>
      </c>
      <c r="M121" s="38">
        <f t="shared" si="7"/>
        <v>7.1625898436395212E-6</v>
      </c>
      <c r="N121" s="21"/>
      <c r="P121" s="274"/>
      <c r="Q121" s="275"/>
      <c r="R121" s="275"/>
      <c r="S121" s="275"/>
      <c r="T121" s="275"/>
      <c r="U121" s="275"/>
      <c r="V121" s="275"/>
      <c r="W121" s="275"/>
      <c r="X121" s="276"/>
      <c r="Y121" s="74"/>
      <c r="Z121" s="58"/>
    </row>
    <row r="122" spans="1:26">
      <c r="A122" s="112" t="s">
        <v>73</v>
      </c>
      <c r="C122" s="268">
        <f>B98+(B97*F122)</f>
        <v>5.7772427502886491E-3</v>
      </c>
      <c r="D122" s="340">
        <f t="shared" si="5"/>
        <v>-3.2480280078340945E-3</v>
      </c>
      <c r="E122" s="6">
        <v>21</v>
      </c>
      <c r="F122" s="47">
        <v>141</v>
      </c>
      <c r="G122" s="62">
        <v>9.0252707581227436E-3</v>
      </c>
      <c r="H122" s="19">
        <f>F122-F130</f>
        <v>5.9576923076922981</v>
      </c>
      <c r="I122" s="63">
        <f>G122-G130</f>
        <v>4.0132052913696729E-3</v>
      </c>
      <c r="J122" s="19">
        <f t="shared" si="6"/>
        <v>2.390944229358313E-2</v>
      </c>
      <c r="K122" s="20"/>
      <c r="L122" s="20">
        <f t="shared" si="7"/>
        <v>35.494097633135979</v>
      </c>
      <c r="M122" s="38">
        <f t="shared" si="7"/>
        <v>1.6105816710677541E-5</v>
      </c>
      <c r="N122" s="21"/>
      <c r="P122" s="277"/>
      <c r="Q122" s="278"/>
      <c r="R122" s="278"/>
      <c r="S122" s="278"/>
      <c r="T122" s="278"/>
      <c r="U122" s="278"/>
      <c r="V122" s="278"/>
      <c r="W122" s="278"/>
      <c r="X122" s="279"/>
      <c r="Y122" s="74"/>
      <c r="Z122" s="58"/>
    </row>
    <row r="123" spans="1:26" ht="14.25" customHeight="1">
      <c r="A123" s="112" t="s">
        <v>74</v>
      </c>
      <c r="C123" s="268">
        <f>B98+(B97*F123)</f>
        <v>4.4158298429781036E-3</v>
      </c>
      <c r="D123" s="340">
        <f t="shared" si="5"/>
        <v>3.8357228712525174E-3</v>
      </c>
      <c r="E123" s="6">
        <v>22</v>
      </c>
      <c r="F123" s="47">
        <v>130.4</v>
      </c>
      <c r="G123" s="62">
        <v>5.8010697172558622E-4</v>
      </c>
      <c r="H123" s="19">
        <f>F123-F130</f>
        <v>-4.6423076923076962</v>
      </c>
      <c r="I123" s="63">
        <f>G123-G130</f>
        <v>-4.431958495027484E-3</v>
      </c>
      <c r="J123" s="19">
        <f t="shared" si="6"/>
        <v>2.0574515013454531E-2</v>
      </c>
      <c r="K123" s="20"/>
      <c r="L123" s="20">
        <f t="shared" si="7"/>
        <v>21.551020710059209</v>
      </c>
      <c r="M123" s="38">
        <f t="shared" si="7"/>
        <v>1.9642256101646281E-5</v>
      </c>
      <c r="N123" s="21"/>
      <c r="Q123" s="104"/>
      <c r="R123" s="104"/>
      <c r="S123" s="104"/>
      <c r="T123" s="104"/>
      <c r="U123" s="104"/>
      <c r="V123" s="104"/>
      <c r="W123" s="104"/>
      <c r="X123" s="104"/>
      <c r="Y123" s="74"/>
      <c r="Z123" s="58"/>
    </row>
    <row r="124" spans="1:26">
      <c r="A124" s="112" t="s">
        <v>75</v>
      </c>
      <c r="C124" s="268">
        <f>B98+(B97*F124)</f>
        <v>6.8946288157227774E-3</v>
      </c>
      <c r="D124" s="340">
        <f t="shared" si="5"/>
        <v>5.0841169840279577E-3</v>
      </c>
      <c r="E124" s="6">
        <v>23</v>
      </c>
      <c r="F124" s="47">
        <v>149.69999999999999</v>
      </c>
      <c r="G124" s="62">
        <v>1.8105118316948201E-3</v>
      </c>
      <c r="H124" s="19">
        <f>F124-F130</f>
        <v>14.657692307692287</v>
      </c>
      <c r="I124" s="63">
        <f>G124-G130</f>
        <v>-3.2015536350582506E-3</v>
      </c>
      <c r="J124" s="19">
        <f t="shared" si="6"/>
        <v>-4.6927388089257595E-2</v>
      </c>
      <c r="K124" s="20"/>
      <c r="L124" s="20">
        <f t="shared" si="7"/>
        <v>214.84794378698163</v>
      </c>
      <c r="M124" s="38">
        <f t="shared" si="7"/>
        <v>1.0249945678154698E-5</v>
      </c>
      <c r="N124" s="21"/>
      <c r="P124" s="104"/>
      <c r="Q124" s="104"/>
      <c r="R124" s="104"/>
      <c r="S124" s="104"/>
      <c r="T124" s="104"/>
      <c r="U124" s="104"/>
      <c r="V124" s="104"/>
      <c r="W124" s="104"/>
      <c r="X124" s="104"/>
      <c r="Y124" s="74"/>
      <c r="Z124" s="58"/>
    </row>
    <row r="125" spans="1:26">
      <c r="A125" s="112" t="s">
        <v>76</v>
      </c>
      <c r="C125" s="268">
        <f>B98+(B97*F125)</f>
        <v>5.2635020305488202E-3</v>
      </c>
      <c r="D125" s="340">
        <f t="shared" si="5"/>
        <v>-2.0314822229607786E-3</v>
      </c>
      <c r="E125" s="6">
        <v>24</v>
      </c>
      <c r="F125" s="47">
        <v>137</v>
      </c>
      <c r="G125" s="62">
        <v>7.2949842535095987E-3</v>
      </c>
      <c r="H125" s="19">
        <f>F125-F130</f>
        <v>1.9576923076922981</v>
      </c>
      <c r="I125" s="63">
        <f>G125-G130</f>
        <v>2.2829187867565281E-3</v>
      </c>
      <c r="J125" s="19">
        <f t="shared" si="6"/>
        <v>4.4692525479194884E-3</v>
      </c>
      <c r="K125" s="20"/>
      <c r="L125" s="20">
        <f t="shared" si="7"/>
        <v>3.8325591715975955</v>
      </c>
      <c r="M125" s="38">
        <f t="shared" si="7"/>
        <v>5.2117181869258978E-6</v>
      </c>
      <c r="N125" s="21"/>
      <c r="P125" s="104"/>
      <c r="Q125" s="104"/>
      <c r="R125" s="104"/>
      <c r="S125" s="104"/>
      <c r="T125" s="104"/>
      <c r="U125" s="104"/>
      <c r="V125" s="104"/>
      <c r="W125" s="104"/>
      <c r="X125" s="104"/>
      <c r="Y125" s="74"/>
      <c r="Z125" s="58"/>
    </row>
    <row r="126" spans="1:26">
      <c r="A126" s="112" t="s">
        <v>77</v>
      </c>
      <c r="C126" s="268">
        <f>B98+(B97*F126)</f>
        <v>4.9552575987049235E-3</v>
      </c>
      <c r="D126" s="340">
        <f t="shared" si="5"/>
        <v>6.9759150715069124E-4</v>
      </c>
      <c r="E126" s="6">
        <v>25</v>
      </c>
      <c r="F126" s="47">
        <v>134.6</v>
      </c>
      <c r="G126" s="62">
        <v>4.2576660915542323E-3</v>
      </c>
      <c r="H126" s="19">
        <f>F126-F130</f>
        <v>-0.44230769230770761</v>
      </c>
      <c r="I126" s="63">
        <f>G126-G130</f>
        <v>-7.5439937519883836E-4</v>
      </c>
      <c r="J126" s="19">
        <f t="shared" si="6"/>
        <v>3.3367664672257467E-4</v>
      </c>
      <c r="K126" s="20"/>
      <c r="L126" s="20">
        <f t="shared" si="7"/>
        <v>0.19563609467456974</v>
      </c>
      <c r="M126" s="38">
        <f t="shared" si="7"/>
        <v>5.6911841730039767E-7</v>
      </c>
      <c r="N126" s="21"/>
      <c r="P126" s="104"/>
      <c r="Q126" s="104"/>
      <c r="R126" s="104"/>
      <c r="S126" s="104"/>
      <c r="T126" s="104"/>
      <c r="U126" s="104"/>
      <c r="V126" s="104"/>
      <c r="W126" s="104"/>
      <c r="X126" s="104"/>
      <c r="Y126" s="74"/>
      <c r="Z126" s="58"/>
    </row>
    <row r="127" spans="1:26">
      <c r="A127" s="112" t="s">
        <v>78</v>
      </c>
      <c r="C127" s="268">
        <f>B98+(B97*F127)</f>
        <v>4.2617076270561501E-3</v>
      </c>
      <c r="D127" s="340">
        <f t="shared" si="5"/>
        <v>4.594262582348573E-4</v>
      </c>
      <c r="E127" s="6">
        <v>26</v>
      </c>
      <c r="F127" s="47">
        <v>129.19999999999999</v>
      </c>
      <c r="G127" s="62">
        <v>3.8022813688212928E-3</v>
      </c>
      <c r="H127" s="19">
        <f>F127-F130</f>
        <v>-5.8423076923077133</v>
      </c>
      <c r="I127" s="63">
        <f>G127-G130</f>
        <v>-1.2097840979317779E-3</v>
      </c>
      <c r="J127" s="19">
        <f t="shared" si="6"/>
        <v>7.0679309413783737E-3</v>
      </c>
      <c r="K127" s="20"/>
      <c r="L127" s="20">
        <f t="shared" si="7"/>
        <v>34.132559171597876</v>
      </c>
      <c r="M127" s="38">
        <f t="shared" si="7"/>
        <v>1.4635775636086055E-6</v>
      </c>
      <c r="N127" s="21"/>
      <c r="P127" s="104"/>
      <c r="Q127" s="104"/>
      <c r="R127" s="104"/>
      <c r="S127" s="104"/>
      <c r="T127" s="104"/>
      <c r="U127" s="104"/>
      <c r="V127" s="104"/>
      <c r="W127" s="104"/>
      <c r="X127" s="104"/>
      <c r="Y127" s="74"/>
      <c r="Z127" s="58"/>
    </row>
    <row r="128" spans="1:26" ht="12.75">
      <c r="C128" s="340"/>
      <c r="D128" s="340"/>
      <c r="E128" s="6"/>
      <c r="F128" s="91"/>
      <c r="G128" s="92"/>
      <c r="H128" s="65"/>
      <c r="J128" s="60"/>
      <c r="K128" s="6"/>
      <c r="L128" s="6"/>
      <c r="M128" s="18"/>
      <c r="N128" s="6"/>
      <c r="Q128" s="41"/>
      <c r="R128" s="83"/>
      <c r="S128" s="41"/>
      <c r="T128" s="41"/>
      <c r="U128" s="41"/>
      <c r="V128" s="58"/>
      <c r="W128" s="58"/>
      <c r="X128" s="77"/>
      <c r="Y128" s="74"/>
      <c r="Z128" s="58"/>
    </row>
    <row r="129" spans="1:26" ht="13.5" thickBot="1">
      <c r="B129" s="2" t="s">
        <v>16</v>
      </c>
      <c r="C129" s="340"/>
      <c r="D129" s="340"/>
      <c r="M129" s="18"/>
      <c r="N129" s="6"/>
      <c r="Q129" s="41"/>
      <c r="R129" s="41"/>
      <c r="S129" s="41"/>
      <c r="T129" s="41"/>
      <c r="U129" s="41"/>
      <c r="V129" s="58"/>
      <c r="W129" s="58"/>
      <c r="X129" s="77"/>
      <c r="Y129" s="74"/>
      <c r="Z129" s="58"/>
    </row>
    <row r="130" spans="1:26" ht="13.5" thickBot="1">
      <c r="B130" s="2" t="s">
        <v>0</v>
      </c>
      <c r="C130" s="340">
        <f>AVERAGE(C102:C127)</f>
        <v>5.0120654667530767E-3</v>
      </c>
      <c r="D130" s="340">
        <f>AVERAGE(D102:D127)</f>
        <v>6.3884528009530488E-18</v>
      </c>
      <c r="F130" s="18">
        <f>AVERAGE(F102:F127)</f>
        <v>135.0423076923077</v>
      </c>
      <c r="G130" s="64">
        <f>AVERAGE(G102:G127)</f>
        <v>5.0120654667530707E-3</v>
      </c>
      <c r="H130" s="19">
        <f>AVERAGE(H102:H127)</f>
        <v>-1.2024569374401695E-14</v>
      </c>
      <c r="I130" s="19">
        <f>AVERAGE(I102:I127)</f>
        <v>-5.671211363770331E-19</v>
      </c>
      <c r="J130" s="59">
        <f>SUM(J102:J127)</f>
        <v>0.22426368097134292</v>
      </c>
      <c r="K130" s="27" t="s">
        <v>16</v>
      </c>
      <c r="L130" s="28">
        <f>SUM(L102:L127)</f>
        <v>1746.1234615384612</v>
      </c>
      <c r="M130" s="28">
        <f>SUM(M102:M127)</f>
        <v>4.0169643972900868E-4</v>
      </c>
      <c r="N130" s="28">
        <f>M130*L130</f>
        <v>0.70141157782729247</v>
      </c>
      <c r="Q130" s="41"/>
      <c r="R130" s="41"/>
      <c r="S130" s="41"/>
      <c r="T130" s="82"/>
      <c r="U130" s="84"/>
      <c r="V130" s="85"/>
      <c r="W130" s="86"/>
      <c r="X130" s="77"/>
      <c r="Y130" s="74"/>
      <c r="Z130" s="87"/>
    </row>
    <row r="131" spans="1:26" ht="15" thickBot="1">
      <c r="B131" s="15" t="s">
        <v>17</v>
      </c>
      <c r="C131" s="100">
        <f>STDEVA(C102:C127)</f>
        <v>1.0733749804878131E-3</v>
      </c>
      <c r="D131" s="119">
        <f>STDEVA(D102:D127)</f>
        <v>3.8620880026771966E-3</v>
      </c>
      <c r="E131" s="15"/>
      <c r="F131" s="30">
        <f>STDEVA(F102:F127)</f>
        <v>8.3573284284834983</v>
      </c>
      <c r="G131" s="101">
        <f>STDEVA(G102:G127)</f>
        <v>4.0084732242039933E-3</v>
      </c>
      <c r="H131" s="30">
        <f>STDEVA(H102:H127)</f>
        <v>8.3573284284834983</v>
      </c>
      <c r="I131" s="30">
        <f>STDEVA(I102:I127)</f>
        <v>4.0084732242039924E-3</v>
      </c>
      <c r="J131" s="31" t="s">
        <v>16</v>
      </c>
      <c r="K131" s="32"/>
      <c r="L131" s="33"/>
      <c r="M131" s="33"/>
      <c r="N131" s="34"/>
      <c r="Q131" s="41"/>
      <c r="R131" s="41"/>
      <c r="S131" s="41"/>
      <c r="T131" s="41"/>
      <c r="U131" s="84"/>
      <c r="V131" s="85"/>
      <c r="W131" s="85"/>
      <c r="X131" s="88"/>
      <c r="Y131" s="89"/>
      <c r="Z131" s="41"/>
    </row>
    <row r="132" spans="1:26" ht="15.75">
      <c r="B132" s="15" t="s">
        <v>18</v>
      </c>
      <c r="C132" s="102">
        <f>C131^2</f>
        <v>1.1521338487372131E-6</v>
      </c>
      <c r="D132" s="120">
        <f>D131^2</f>
        <v>1.4915723740423137E-5</v>
      </c>
      <c r="E132" s="15"/>
      <c r="F132" s="30">
        <f>F131^2</f>
        <v>69.844938461538462</v>
      </c>
      <c r="G132" s="99">
        <f>G131^2</f>
        <v>1.6067857589160358E-5</v>
      </c>
      <c r="H132" s="30">
        <f>H131^2</f>
        <v>69.844938461538462</v>
      </c>
      <c r="I132" s="30">
        <f>I131^2</f>
        <v>1.6067857589160351E-5</v>
      </c>
      <c r="J132" s="33"/>
      <c r="K132" s="27"/>
      <c r="L132" s="33"/>
      <c r="M132" s="33"/>
      <c r="N132" s="34"/>
      <c r="Q132" s="41"/>
      <c r="R132" s="41"/>
      <c r="S132" s="41"/>
      <c r="T132" s="41"/>
      <c r="U132" s="84"/>
      <c r="V132" s="85"/>
      <c r="W132" s="85"/>
      <c r="X132" s="41"/>
      <c r="Y132" s="41"/>
      <c r="Z132" s="41"/>
    </row>
    <row r="133" spans="1:26">
      <c r="B133" s="2" t="s">
        <v>19</v>
      </c>
      <c r="C133" s="30">
        <f>COUNT(C102:C127)</f>
        <v>26</v>
      </c>
      <c r="D133" s="30">
        <f>COUNT(D102:D127)</f>
        <v>26</v>
      </c>
      <c r="F133" s="30">
        <f>COUNT(F102:F127)</f>
        <v>26</v>
      </c>
      <c r="G133" s="30">
        <f>COUNT(G102:G127)</f>
        <v>26</v>
      </c>
      <c r="I133" s="27"/>
      <c r="J133" s="33"/>
      <c r="K133" s="27"/>
      <c r="L133" s="33"/>
      <c r="M133" s="33"/>
      <c r="N133" s="34"/>
      <c r="Q133" s="41"/>
      <c r="R133" s="41"/>
      <c r="S133" s="41"/>
      <c r="T133" s="41"/>
      <c r="U133" s="41"/>
      <c r="V133" s="41"/>
      <c r="W133" s="41"/>
      <c r="X133" s="41"/>
      <c r="Y133" s="41"/>
      <c r="Z133" s="41"/>
    </row>
    <row r="134" spans="1:26">
      <c r="B134" s="36" t="s">
        <v>20</v>
      </c>
      <c r="C134" s="37">
        <f>C130/C131</f>
        <v>4.6694450288707685</v>
      </c>
      <c r="D134" s="115">
        <f>D130/D131</f>
        <v>1.6541448036721531E-15</v>
      </c>
      <c r="E134" s="36"/>
      <c r="F134" s="37">
        <f>F130/F131</f>
        <v>16.158549810254634</v>
      </c>
      <c r="G134" s="37">
        <f>G130/G131</f>
        <v>1.2503677052123434</v>
      </c>
      <c r="I134" s="27"/>
      <c r="J134" s="36"/>
      <c r="Q134" s="41"/>
      <c r="R134" s="41"/>
      <c r="S134" s="41"/>
      <c r="T134" s="41"/>
      <c r="U134" s="41"/>
      <c r="V134" s="41"/>
      <c r="W134" s="41"/>
      <c r="X134" s="41"/>
      <c r="Y134" s="41"/>
      <c r="Z134" s="41"/>
    </row>
    <row r="135" spans="1:26">
      <c r="B135" s="36"/>
      <c r="C135" s="37"/>
      <c r="D135" s="36"/>
      <c r="E135" s="36"/>
      <c r="F135" s="37"/>
      <c r="G135" s="37"/>
      <c r="I135" s="27"/>
      <c r="J135" s="36"/>
      <c r="Q135" s="41"/>
      <c r="R135" s="41"/>
      <c r="S135" s="41"/>
      <c r="T135" s="41"/>
      <c r="U135" s="41"/>
      <c r="V135" s="41"/>
      <c r="W135" s="41"/>
      <c r="X135" s="41"/>
      <c r="Y135" s="41"/>
      <c r="Z135" s="41"/>
    </row>
    <row r="136" spans="1:26">
      <c r="B136" s="36"/>
      <c r="C136" s="37"/>
      <c r="D136" s="36"/>
      <c r="E136" s="36"/>
      <c r="F136" s="37"/>
      <c r="G136" s="48" t="s">
        <v>21</v>
      </c>
      <c r="I136" s="49" t="s">
        <v>22</v>
      </c>
      <c r="J136" s="36"/>
    </row>
    <row r="137" spans="1:26" ht="15.75">
      <c r="A137" s="2" t="s">
        <v>23</v>
      </c>
      <c r="C137" s="37"/>
      <c r="D137" s="36"/>
      <c r="E137" s="36"/>
      <c r="G137" s="24">
        <f>B99*(SQRT((C133-2)/(1-B100)))</f>
        <v>1.3615541660585764</v>
      </c>
      <c r="H137" s="40"/>
      <c r="I137" s="42">
        <f>TDIST(ABS(G137),8,2)</f>
        <v>0.21044345746246654</v>
      </c>
      <c r="J137" s="50" t="s">
        <v>57</v>
      </c>
      <c r="N137" s="2"/>
      <c r="O137" s="41"/>
      <c r="P137" s="43"/>
    </row>
    <row r="138" spans="1:26" ht="15.75">
      <c r="A138" s="2" t="s">
        <v>24</v>
      </c>
      <c r="C138" s="37"/>
      <c r="D138" s="36"/>
      <c r="E138" s="36"/>
      <c r="G138" s="24">
        <f>B97/((G131/F131)*SQRT((1-B100)/(G133-2)))</f>
        <v>1.3615541660585766</v>
      </c>
      <c r="H138" s="36"/>
      <c r="I138" s="42">
        <f>TDIST(ABS(G138),8,2)</f>
        <v>0.21044345746246659</v>
      </c>
      <c r="J138" s="36"/>
      <c r="K138" s="36"/>
      <c r="N138" s="2"/>
      <c r="O138" s="36"/>
      <c r="P138" s="43"/>
    </row>
    <row r="139" spans="1:26" ht="12.75">
      <c r="C139" s="37"/>
      <c r="D139" s="36"/>
      <c r="E139" s="36"/>
      <c r="J139" s="36"/>
      <c r="K139" s="36"/>
      <c r="N139" s="2"/>
      <c r="O139" s="36"/>
      <c r="P139" s="43"/>
    </row>
    <row r="140" spans="1:26" ht="15.75">
      <c r="A140" s="2" t="s">
        <v>25</v>
      </c>
      <c r="B140" s="37"/>
      <c r="D140" s="38"/>
      <c r="E140" s="56">
        <f>Q140*((G131/F131)*SQRT((1-B99^2)/(G133-2)))</f>
        <v>1.9468721093743926E-4</v>
      </c>
      <c r="F140" s="51" t="s">
        <v>26</v>
      </c>
      <c r="G140" s="98">
        <f>B97-E140</f>
        <v>-6.625203100248182E-5</v>
      </c>
      <c r="H140" s="51" t="s">
        <v>27</v>
      </c>
      <c r="I140" s="98">
        <f>B97+E140</f>
        <v>3.2312239087239669E-4</v>
      </c>
      <c r="K140" s="51" t="s">
        <v>28</v>
      </c>
      <c r="L140" s="52">
        <v>0.95</v>
      </c>
      <c r="M140" s="51" t="s">
        <v>29</v>
      </c>
      <c r="N140" s="53">
        <f>C133-2</f>
        <v>24</v>
      </c>
      <c r="P140" s="54" t="s">
        <v>30</v>
      </c>
      <c r="Q140" s="55">
        <f>TINV((1-L140),N140)</f>
        <v>2.0638985616280254</v>
      </c>
    </row>
    <row r="145" spans="1:26">
      <c r="A145" s="16" t="s">
        <v>13</v>
      </c>
      <c r="B145" s="17">
        <f>J179/L179</f>
        <v>2.7178474324759272E-4</v>
      </c>
      <c r="D145" s="94"/>
      <c r="E145" s="95"/>
      <c r="F145" s="93" t="str">
        <f>F150</f>
        <v>X = PAS alcanzada tras seguim</v>
      </c>
      <c r="G145" s="95"/>
      <c r="H145" s="15"/>
      <c r="I145" s="96" t="str">
        <f>G150</f>
        <v>Y = IAM /año</v>
      </c>
      <c r="M145" s="4"/>
    </row>
    <row r="146" spans="1:26">
      <c r="A146" s="22" t="s">
        <v>14</v>
      </c>
      <c r="B146" s="23">
        <f>B148*G180/F180</f>
        <v>2.7178474324759266E-4</v>
      </c>
      <c r="D146" s="97" t="s">
        <v>37</v>
      </c>
      <c r="E146" s="128">
        <v>-1</v>
      </c>
      <c r="F146" s="93" t="s">
        <v>33</v>
      </c>
      <c r="G146" s="15" t="s">
        <v>36</v>
      </c>
      <c r="H146" s="15"/>
      <c r="I146" s="96" t="s">
        <v>166</v>
      </c>
      <c r="J146" s="126">
        <f>E146*B146</f>
        <v>-2.7178474324759266E-4</v>
      </c>
      <c r="K146" s="6" t="s">
        <v>35</v>
      </c>
      <c r="L146" s="126">
        <f>E146*G189</f>
        <v>2.7593739383653443E-4</v>
      </c>
      <c r="M146" s="6" t="s">
        <v>34</v>
      </c>
      <c r="N146" s="126">
        <f>E146*I189</f>
        <v>-8.1950688033171975E-4</v>
      </c>
    </row>
    <row r="147" spans="1:26">
      <c r="A147" s="16" t="s">
        <v>15</v>
      </c>
      <c r="B147" s="17">
        <f>G179-(F179*B145)</f>
        <v>-2.7292338483792596E-2</v>
      </c>
      <c r="M147" s="4"/>
    </row>
    <row r="148" spans="1:26">
      <c r="A148" s="25" t="s">
        <v>31</v>
      </c>
      <c r="B148" s="24">
        <f>J179/SQRT(N179)</f>
        <v>0.2046253245802028</v>
      </c>
      <c r="M148" s="4"/>
    </row>
    <row r="149" spans="1:26" ht="26.25" customHeight="1" thickBot="1">
      <c r="A149" s="108" t="s">
        <v>32</v>
      </c>
      <c r="B149" s="109">
        <f>B148^2</f>
        <v>4.1871523459553348E-2</v>
      </c>
      <c r="C149" s="110">
        <f>1-B149</f>
        <v>0.95812847654044664</v>
      </c>
      <c r="F149" s="7"/>
      <c r="G149" s="8"/>
      <c r="H149" s="269" t="s">
        <v>1</v>
      </c>
      <c r="I149" s="270"/>
      <c r="J149" s="9" t="s">
        <v>2</v>
      </c>
      <c r="K149" s="10"/>
      <c r="L149" s="9" t="s">
        <v>3</v>
      </c>
      <c r="M149" s="9" t="s">
        <v>4</v>
      </c>
      <c r="N149" s="9" t="s">
        <v>5</v>
      </c>
      <c r="Q149" s="41"/>
      <c r="R149" s="41"/>
      <c r="S149" s="41"/>
      <c r="T149" s="41"/>
      <c r="U149" s="43"/>
      <c r="V149" s="68"/>
      <c r="W149" s="68"/>
      <c r="X149" s="41"/>
      <c r="Y149" s="41"/>
      <c r="Z149" s="69"/>
    </row>
    <row r="150" spans="1:26" ht="37.5" customHeight="1" thickBot="1">
      <c r="A150" s="113" t="s">
        <v>43</v>
      </c>
      <c r="C150" s="11" t="s">
        <v>174</v>
      </c>
      <c r="D150" s="12" t="s">
        <v>6</v>
      </c>
      <c r="E150" s="12" t="s">
        <v>39</v>
      </c>
      <c r="F150" s="44" t="s">
        <v>190</v>
      </c>
      <c r="G150" s="45" t="s">
        <v>184</v>
      </c>
      <c r="H150" s="13" t="s">
        <v>7</v>
      </c>
      <c r="I150" s="14" t="s">
        <v>8</v>
      </c>
      <c r="J150" s="14" t="s">
        <v>9</v>
      </c>
      <c r="L150" s="14" t="s">
        <v>10</v>
      </c>
      <c r="M150" s="14" t="s">
        <v>11</v>
      </c>
      <c r="N150" s="14" t="s">
        <v>12</v>
      </c>
      <c r="Q150" s="41"/>
      <c r="R150" s="41"/>
      <c r="S150" s="70"/>
      <c r="T150" s="71"/>
      <c r="U150" s="41"/>
      <c r="V150" s="106"/>
      <c r="W150" s="106"/>
      <c r="X150" s="73"/>
      <c r="Y150" s="74"/>
      <c r="Z150" s="106"/>
    </row>
    <row r="151" spans="1:26">
      <c r="A151" s="112" t="s">
        <v>62</v>
      </c>
      <c r="C151" s="268">
        <f>B147+(B146*F151)</f>
        <v>1.0675990147896094E-2</v>
      </c>
      <c r="D151" s="340">
        <f t="shared" ref="D151:D176" si="8">C151-G151</f>
        <v>6.515557126665278E-3</v>
      </c>
      <c r="E151" s="6">
        <v>1</v>
      </c>
      <c r="F151" s="46">
        <v>139.69999999999999</v>
      </c>
      <c r="G151" s="61">
        <v>4.1604330212308164E-3</v>
      </c>
      <c r="H151" s="19">
        <f>F151-F179</f>
        <v>4.3192307692307566</v>
      </c>
      <c r="I151" s="63">
        <f>G151-G179</f>
        <v>-5.341656101022804E-3</v>
      </c>
      <c r="J151" s="19">
        <f t="shared" ref="J151:J176" si="9">H151*I151</f>
        <v>-2.307184539018689E-2</v>
      </c>
      <c r="K151" s="20"/>
      <c r="L151" s="20">
        <f t="shared" ref="L151:M176" si="10">H151^2</f>
        <v>18.655754437869714</v>
      </c>
      <c r="M151" s="38">
        <f t="shared" si="10"/>
        <v>2.8533289901594144E-5</v>
      </c>
      <c r="N151" s="21"/>
      <c r="Q151" s="75"/>
      <c r="R151" s="76"/>
      <c r="S151" s="41"/>
      <c r="T151" s="41"/>
      <c r="U151" s="41"/>
      <c r="V151" s="58"/>
      <c r="W151" s="58"/>
      <c r="X151" s="77"/>
      <c r="Y151" s="74"/>
      <c r="Z151" s="58"/>
    </row>
    <row r="152" spans="1:26">
      <c r="A152" s="112" t="s">
        <v>63</v>
      </c>
      <c r="C152" s="268">
        <f>B147+(B146*F152)</f>
        <v>1.1844664543860746E-2</v>
      </c>
      <c r="D152" s="340">
        <f t="shared" si="8"/>
        <v>7.9644845035068725E-3</v>
      </c>
      <c r="E152" s="6">
        <v>2</v>
      </c>
      <c r="F152" s="46">
        <v>144</v>
      </c>
      <c r="G152" s="61">
        <v>3.8801800403538726E-3</v>
      </c>
      <c r="H152" s="19">
        <f>F152-F179</f>
        <v>8.6192307692307679</v>
      </c>
      <c r="I152" s="63">
        <f>G152-G179</f>
        <v>-5.6219090818997479E-3</v>
      </c>
      <c r="J152" s="19">
        <f t="shared" si="9"/>
        <v>-4.8456531740528205E-2</v>
      </c>
      <c r="K152" s="20"/>
      <c r="L152" s="20">
        <f t="shared" si="10"/>
        <v>74.291139053254412</v>
      </c>
      <c r="M152" s="38">
        <f t="shared" si="10"/>
        <v>3.1605861725146866E-5</v>
      </c>
      <c r="N152" s="21"/>
      <c r="Q152" s="75"/>
      <c r="R152" s="76"/>
      <c r="S152" s="41"/>
      <c r="T152" s="41"/>
      <c r="U152" s="41"/>
      <c r="V152" s="58"/>
      <c r="W152" s="58"/>
      <c r="X152" s="77"/>
      <c r="Y152" s="74"/>
      <c r="Z152" s="58"/>
    </row>
    <row r="153" spans="1:26">
      <c r="A153" s="112" t="s">
        <v>64</v>
      </c>
      <c r="C153" s="268">
        <f>B147+(B146*F153)</f>
        <v>8.5832476248896353E-3</v>
      </c>
      <c r="D153" s="340">
        <f t="shared" si="8"/>
        <v>-4.9188620797517152E-3</v>
      </c>
      <c r="E153" s="6">
        <v>3</v>
      </c>
      <c r="F153" s="46">
        <v>132</v>
      </c>
      <c r="G153" s="61">
        <v>1.350210970464135E-2</v>
      </c>
      <c r="H153" s="19">
        <f>F153-F179</f>
        <v>-3.3807692307692321</v>
      </c>
      <c r="I153" s="63">
        <f>G153-G179</f>
        <v>4.00002058238773E-3</v>
      </c>
      <c r="J153" s="19">
        <f t="shared" si="9"/>
        <v>-1.3523146507380061E-2</v>
      </c>
      <c r="K153" s="20"/>
      <c r="L153" s="20">
        <f t="shared" si="10"/>
        <v>11.429600591715985</v>
      </c>
      <c r="M153" s="38">
        <f t="shared" si="10"/>
        <v>1.6000164659525475E-5</v>
      </c>
      <c r="N153" s="21"/>
      <c r="Q153" s="75"/>
      <c r="R153" s="76"/>
      <c r="S153" s="41"/>
      <c r="T153" s="41"/>
      <c r="U153" s="41"/>
      <c r="V153" s="58"/>
      <c r="W153" s="58"/>
      <c r="X153" s="77"/>
      <c r="Y153" s="74"/>
      <c r="Z153" s="58"/>
    </row>
    <row r="154" spans="1:26">
      <c r="A154" s="129" t="s">
        <v>65</v>
      </c>
      <c r="C154" s="268">
        <f>B147+(B146*F154)</f>
        <v>7.4961086518992651E-3</v>
      </c>
      <c r="D154" s="340">
        <f t="shared" si="8"/>
        <v>-8.5376466223623382E-3</v>
      </c>
      <c r="E154" s="6">
        <v>4</v>
      </c>
      <c r="F154" s="46">
        <v>128</v>
      </c>
      <c r="G154" s="61">
        <v>1.6033755274261603E-2</v>
      </c>
      <c r="H154" s="19">
        <f>F154-F179</f>
        <v>-7.3807692307692321</v>
      </c>
      <c r="I154" s="63">
        <f>G154-G179</f>
        <v>6.5316661520079828E-3</v>
      </c>
      <c r="J154" s="19">
        <f t="shared" si="9"/>
        <v>-4.8208720560397392E-2</v>
      </c>
      <c r="K154" s="20"/>
      <c r="L154" s="20">
        <f t="shared" si="10"/>
        <v>54.475754437869838</v>
      </c>
      <c r="M154" s="38">
        <f t="shared" si="10"/>
        <v>4.2662662721286769E-5</v>
      </c>
      <c r="N154" s="21"/>
      <c r="Q154" s="75"/>
      <c r="R154" s="76"/>
      <c r="S154" s="41"/>
      <c r="T154" s="41"/>
      <c r="U154" s="41"/>
      <c r="V154" s="58"/>
      <c r="W154" s="58"/>
      <c r="X154" s="77"/>
      <c r="Y154" s="74"/>
      <c r="Z154" s="58"/>
    </row>
    <row r="155" spans="1:26">
      <c r="A155" s="112" t="s">
        <v>69</v>
      </c>
      <c r="C155" s="268">
        <f>B147+(B146*F155)</f>
        <v>9.6432081235552497E-3</v>
      </c>
      <c r="D155" s="340">
        <f t="shared" si="8"/>
        <v>8.2930731100538998E-3</v>
      </c>
      <c r="E155" s="6">
        <v>5</v>
      </c>
      <c r="F155" s="46">
        <v>135.9</v>
      </c>
      <c r="G155" s="61">
        <v>1.3501350135013501E-3</v>
      </c>
      <c r="H155" s="19">
        <f>F155-F179</f>
        <v>0.5192307692307736</v>
      </c>
      <c r="I155" s="63">
        <f>G155-G179</f>
        <v>-8.1519541087522705E-3</v>
      </c>
      <c r="J155" s="19">
        <f t="shared" si="9"/>
        <v>-4.2327454026214071E-3</v>
      </c>
      <c r="K155" s="20"/>
      <c r="L155" s="20">
        <f t="shared" si="10"/>
        <v>0.26960059171598089</v>
      </c>
      <c r="M155" s="38">
        <f t="shared" si="10"/>
        <v>6.6454355791203029E-5</v>
      </c>
      <c r="N155" s="21"/>
      <c r="Q155" s="75"/>
      <c r="R155" s="76"/>
      <c r="S155" s="41"/>
      <c r="T155" s="41"/>
      <c r="U155" s="41"/>
      <c r="V155" s="58"/>
      <c r="W155" s="58"/>
      <c r="X155" s="77"/>
      <c r="Y155" s="74"/>
      <c r="Z155" s="58"/>
    </row>
    <row r="156" spans="1:26">
      <c r="A156" s="112" t="s">
        <v>70</v>
      </c>
      <c r="C156" s="268">
        <f>B147+(B146*F156)</f>
        <v>9.6703865978800055E-3</v>
      </c>
      <c r="D156" s="340">
        <f t="shared" si="8"/>
        <v>6.0797223249895206E-3</v>
      </c>
      <c r="E156" s="6">
        <v>6</v>
      </c>
      <c r="F156" s="46">
        <v>136</v>
      </c>
      <c r="G156" s="61">
        <v>3.5906642728904849E-3</v>
      </c>
      <c r="H156" s="19">
        <f>F156-F179</f>
        <v>0.61923076923076792</v>
      </c>
      <c r="I156" s="63">
        <f>G156-G179</f>
        <v>-5.9114248493631356E-3</v>
      </c>
      <c r="J156" s="19">
        <f t="shared" si="9"/>
        <v>-3.660536156721011E-3</v>
      </c>
      <c r="K156" s="20"/>
      <c r="L156" s="20">
        <f t="shared" si="10"/>
        <v>0.38344674556212854</v>
      </c>
      <c r="M156" s="38">
        <f t="shared" si="10"/>
        <v>3.4944943749667969E-5</v>
      </c>
      <c r="N156" s="21"/>
      <c r="Q156" s="75"/>
      <c r="R156" s="76"/>
      <c r="S156" s="41"/>
      <c r="T156" s="41"/>
      <c r="U156" s="41"/>
      <c r="V156" s="58"/>
      <c r="W156" s="58"/>
      <c r="X156" s="77"/>
      <c r="Y156" s="74"/>
      <c r="Z156" s="58"/>
    </row>
    <row r="157" spans="1:26">
      <c r="A157" s="112" t="s">
        <v>71</v>
      </c>
      <c r="C157" s="268">
        <f>B147+(B146*F157)</f>
        <v>5.4577230775423174E-3</v>
      </c>
      <c r="D157" s="340">
        <f t="shared" si="8"/>
        <v>-5.8921967523890423E-3</v>
      </c>
      <c r="E157" s="6">
        <v>7</v>
      </c>
      <c r="F157" s="46">
        <v>120.5</v>
      </c>
      <c r="G157" s="61">
        <v>1.134991982993136E-2</v>
      </c>
      <c r="H157" s="19">
        <f>F157-F179</f>
        <v>-14.880769230769232</v>
      </c>
      <c r="I157" s="63">
        <f>G157-G179</f>
        <v>1.8478307076777393E-3</v>
      </c>
      <c r="J157" s="19">
        <f t="shared" si="9"/>
        <v>-2.749714233848144E-2</v>
      </c>
      <c r="K157" s="20"/>
      <c r="L157" s="20">
        <f t="shared" si="10"/>
        <v>221.43729289940833</v>
      </c>
      <c r="M157" s="38">
        <f t="shared" si="10"/>
        <v>3.414478324236815E-6</v>
      </c>
      <c r="N157" s="21"/>
      <c r="Q157" s="75"/>
      <c r="R157" s="76"/>
      <c r="S157" s="41"/>
      <c r="T157" s="41"/>
      <c r="U157" s="41"/>
      <c r="V157" s="58"/>
      <c r="W157" s="58"/>
      <c r="X157" s="77"/>
      <c r="Y157" s="74"/>
      <c r="Z157" s="58"/>
    </row>
    <row r="158" spans="1:26">
      <c r="A158" s="112" t="s">
        <v>72</v>
      </c>
      <c r="C158" s="268">
        <f>B147+(B146*F158)</f>
        <v>9.833457443828561E-3</v>
      </c>
      <c r="D158" s="340">
        <f t="shared" si="8"/>
        <v>8.7793056670557416E-3</v>
      </c>
      <c r="E158" s="6">
        <v>8</v>
      </c>
      <c r="F158" s="46">
        <v>136.6</v>
      </c>
      <c r="G158" s="61">
        <v>1.0541517767728198E-3</v>
      </c>
      <c r="H158" s="19">
        <f>F158-F179</f>
        <v>1.2192307692307622</v>
      </c>
      <c r="I158" s="63">
        <f>G158-G179</f>
        <v>-8.4479373454808011E-3</v>
      </c>
      <c r="J158" s="19">
        <f t="shared" si="9"/>
        <v>-1.029998514814384E-2</v>
      </c>
      <c r="K158" s="20"/>
      <c r="L158" s="20">
        <f t="shared" si="10"/>
        <v>1.4865236686390362</v>
      </c>
      <c r="M158" s="38">
        <f t="shared" si="10"/>
        <v>7.1367645393169201E-5</v>
      </c>
      <c r="N158" s="21"/>
      <c r="Q158" s="75"/>
      <c r="R158" s="76"/>
      <c r="S158" s="41"/>
      <c r="T158" s="41"/>
      <c r="U158" s="41"/>
      <c r="V158" s="58"/>
      <c r="W158" s="58"/>
      <c r="X158" s="77"/>
      <c r="Y158" s="74"/>
      <c r="Z158" s="58"/>
    </row>
    <row r="159" spans="1:26">
      <c r="A159" s="112" t="s">
        <v>74</v>
      </c>
      <c r="C159" s="268">
        <f>B147+(B146*F159)</f>
        <v>7.6863579721725764E-3</v>
      </c>
      <c r="D159" s="340">
        <f t="shared" si="8"/>
        <v>4.7858231135446457E-3</v>
      </c>
      <c r="E159" s="6">
        <v>9</v>
      </c>
      <c r="F159" s="46">
        <v>128.69999999999999</v>
      </c>
      <c r="G159" s="61">
        <v>2.9005348586279307E-3</v>
      </c>
      <c r="H159" s="19">
        <f>F159-F179</f>
        <v>-6.6807692307692434</v>
      </c>
      <c r="I159" s="63">
        <f>G159-G179</f>
        <v>-6.6015542636256898E-3</v>
      </c>
      <c r="J159" s="19">
        <f t="shared" si="9"/>
        <v>4.4103460599684022E-2</v>
      </c>
      <c r="K159" s="20"/>
      <c r="L159" s="20">
        <f t="shared" si="10"/>
        <v>44.632677514793066</v>
      </c>
      <c r="M159" s="38">
        <f t="shared" si="10"/>
        <v>4.3580518695594525E-5</v>
      </c>
      <c r="N159" s="21"/>
      <c r="Q159" s="75"/>
      <c r="R159" s="76"/>
      <c r="S159" s="41"/>
      <c r="T159" s="41"/>
      <c r="U159" s="41"/>
      <c r="V159" s="58"/>
      <c r="W159" s="58"/>
      <c r="X159" s="77"/>
      <c r="Y159" s="74"/>
      <c r="Z159" s="58"/>
    </row>
    <row r="160" spans="1:26">
      <c r="A160" s="112" t="s">
        <v>75</v>
      </c>
      <c r="C160" s="268">
        <f>B147+(B146*F160)</f>
        <v>9.5888511749057243E-3</v>
      </c>
      <c r="D160" s="340">
        <f t="shared" si="8"/>
        <v>3.3905040674677075E-3</v>
      </c>
      <c r="E160" s="6">
        <v>10</v>
      </c>
      <c r="F160" s="46">
        <v>135.69999999999999</v>
      </c>
      <c r="G160" s="61">
        <v>6.1983471074380167E-3</v>
      </c>
      <c r="H160" s="19">
        <f>F160-F179</f>
        <v>0.31923076923075655</v>
      </c>
      <c r="I160" s="63">
        <f>G160-G179</f>
        <v>-3.3037420148156037E-3</v>
      </c>
      <c r="J160" s="19">
        <f t="shared" si="9"/>
        <v>-1.0546561047295546E-3</v>
      </c>
      <c r="K160" s="20"/>
      <c r="L160" s="20">
        <f t="shared" si="10"/>
        <v>0.10190828402366055</v>
      </c>
      <c r="M160" s="38">
        <f t="shared" si="10"/>
        <v>1.0914711300457864E-5</v>
      </c>
      <c r="N160" s="21"/>
      <c r="Q160" s="75"/>
      <c r="R160" s="76"/>
      <c r="S160" s="41"/>
      <c r="T160" s="41"/>
      <c r="U160" s="41"/>
      <c r="V160" s="58"/>
      <c r="W160" s="58"/>
      <c r="X160" s="77"/>
      <c r="Y160" s="74"/>
      <c r="Z160" s="58"/>
    </row>
    <row r="161" spans="1:26">
      <c r="A161" s="112" t="s">
        <v>76</v>
      </c>
      <c r="C161" s="268">
        <f>B147+(B146*F161)</f>
        <v>6.1371849356613023E-3</v>
      </c>
      <c r="D161" s="340">
        <f t="shared" si="8"/>
        <v>-1.6370332575187323E-2</v>
      </c>
      <c r="E161" s="6">
        <v>11</v>
      </c>
      <c r="F161" s="46">
        <v>123</v>
      </c>
      <c r="G161" s="61">
        <v>2.2507517510848625E-2</v>
      </c>
      <c r="H161" s="19">
        <f>F161-F179</f>
        <v>-12.380769230769232</v>
      </c>
      <c r="I161" s="63">
        <f>G161-G179</f>
        <v>1.3005428388595005E-2</v>
      </c>
      <c r="J161" s="19">
        <f t="shared" si="9"/>
        <v>-0.16101720762648972</v>
      </c>
      <c r="K161" s="20"/>
      <c r="L161" s="20">
        <f t="shared" si="10"/>
        <v>153.28344674556217</v>
      </c>
      <c r="M161" s="38">
        <f t="shared" si="10"/>
        <v>1.6914116757087285E-4</v>
      </c>
      <c r="N161" s="21"/>
      <c r="Q161" s="75"/>
      <c r="R161" s="76"/>
      <c r="S161" s="41"/>
      <c r="T161" s="41"/>
      <c r="U161" s="41"/>
      <c r="V161" s="58"/>
      <c r="W161" s="58"/>
      <c r="X161" s="77"/>
      <c r="Y161" s="74"/>
      <c r="Z161" s="58"/>
    </row>
    <row r="162" spans="1:26" ht="14.25" customHeight="1">
      <c r="A162" s="112" t="s">
        <v>77</v>
      </c>
      <c r="C162" s="268">
        <f>B147+(B146*F162)</f>
        <v>5.72950782078991E-3</v>
      </c>
      <c r="D162" s="340">
        <f t="shared" si="8"/>
        <v>-7.5029123863719523E-4</v>
      </c>
      <c r="E162" s="6">
        <v>12</v>
      </c>
      <c r="F162" s="46">
        <v>121.5</v>
      </c>
      <c r="G162" s="61">
        <v>6.4797990594271052E-3</v>
      </c>
      <c r="H162" s="19">
        <f>F162-F179</f>
        <v>-13.880769230769232</v>
      </c>
      <c r="I162" s="63">
        <f>G162-G179</f>
        <v>-3.0222900628265152E-3</v>
      </c>
      <c r="J162" s="19">
        <f t="shared" si="9"/>
        <v>4.1951710910541902E-2</v>
      </c>
      <c r="K162" s="20"/>
      <c r="L162" s="20">
        <f t="shared" si="10"/>
        <v>192.67575443786987</v>
      </c>
      <c r="M162" s="38">
        <f t="shared" si="10"/>
        <v>9.1342372238599008E-6</v>
      </c>
      <c r="N162" s="21"/>
      <c r="Y162" s="74"/>
      <c r="Z162" s="58"/>
    </row>
    <row r="163" spans="1:26">
      <c r="A163" s="112" t="s">
        <v>78</v>
      </c>
      <c r="C163" s="268">
        <f>B147+(B146*F163)</f>
        <v>7.1971454343269167E-3</v>
      </c>
      <c r="D163" s="340">
        <f t="shared" si="8"/>
        <v>3.4377469380863154E-3</v>
      </c>
      <c r="E163" s="6">
        <v>13</v>
      </c>
      <c r="F163" s="46">
        <v>126.9</v>
      </c>
      <c r="G163" s="61">
        <v>3.7593984962406013E-3</v>
      </c>
      <c r="H163" s="19">
        <f>F163-F179</f>
        <v>-8.4807692307692264</v>
      </c>
      <c r="I163" s="63">
        <f>G163-G179</f>
        <v>-5.7426906260130191E-3</v>
      </c>
      <c r="J163" s="19">
        <f t="shared" si="9"/>
        <v>4.8702433962918082E-2</v>
      </c>
      <c r="K163" s="20"/>
      <c r="L163" s="20">
        <f t="shared" si="10"/>
        <v>71.92344674556206</v>
      </c>
      <c r="M163" s="38">
        <f t="shared" si="10"/>
        <v>3.2978495626097802E-5</v>
      </c>
      <c r="N163" s="21"/>
      <c r="Y163" s="74"/>
      <c r="Z163" s="58"/>
    </row>
    <row r="164" spans="1:26">
      <c r="A164" s="112" t="s">
        <v>62</v>
      </c>
      <c r="C164" s="268">
        <f>B147+(B146*F164)</f>
        <v>1.1464165903314116E-2</v>
      </c>
      <c r="D164" s="340">
        <f t="shared" si="8"/>
        <v>6.3808157655175172E-3</v>
      </c>
      <c r="E164" s="6">
        <v>14</v>
      </c>
      <c r="F164" s="47">
        <v>142.6</v>
      </c>
      <c r="G164" s="62">
        <v>5.0833501377965992E-3</v>
      </c>
      <c r="H164" s="19">
        <f>F164-F179</f>
        <v>7.2192307692307622</v>
      </c>
      <c r="I164" s="63">
        <f>G164-G179</f>
        <v>-4.4187389844570213E-3</v>
      </c>
      <c r="J164" s="19">
        <f t="shared" si="9"/>
        <v>-3.1899896437791619E-2</v>
      </c>
      <c r="K164" s="20"/>
      <c r="L164" s="20">
        <f t="shared" si="10"/>
        <v>52.117292899408184</v>
      </c>
      <c r="M164" s="38">
        <f t="shared" si="10"/>
        <v>1.9525254212760268E-5</v>
      </c>
      <c r="N164" s="21"/>
      <c r="Y164" s="74"/>
      <c r="Z164" s="58"/>
    </row>
    <row r="165" spans="1:26">
      <c r="A165" s="112" t="s">
        <v>63</v>
      </c>
      <c r="C165" s="268">
        <f>B147+(B146*F165)</f>
        <v>1.4562511976336671E-2</v>
      </c>
      <c r="D165" s="340">
        <f t="shared" si="8"/>
        <v>-3.7473687118685955E-2</v>
      </c>
      <c r="E165" s="6">
        <v>15</v>
      </c>
      <c r="F165" s="47">
        <v>154</v>
      </c>
      <c r="G165" s="62">
        <v>5.2036199095022627E-2</v>
      </c>
      <c r="H165" s="19">
        <f>F165-F179</f>
        <v>18.619230769230768</v>
      </c>
      <c r="I165" s="63">
        <f>G165-G179</f>
        <v>4.2534109972769005E-2</v>
      </c>
      <c r="J165" s="19">
        <f t="shared" si="9"/>
        <v>0.79195240914682596</v>
      </c>
      <c r="K165" s="20"/>
      <c r="L165" s="20">
        <f t="shared" si="10"/>
        <v>346.67575443786978</v>
      </c>
      <c r="M165" s="38">
        <f t="shared" si="10"/>
        <v>1.8091505111756077E-3</v>
      </c>
      <c r="N165" s="21"/>
      <c r="Y165" s="74"/>
      <c r="Z165" s="58"/>
    </row>
    <row r="166" spans="1:26">
      <c r="A166" s="112" t="s">
        <v>64</v>
      </c>
      <c r="C166" s="268">
        <f>B147+(B146*F166)</f>
        <v>1.0213956084375191E-2</v>
      </c>
      <c r="D166" s="340">
        <f t="shared" si="8"/>
        <v>-1.803211297599059E-3</v>
      </c>
      <c r="E166" s="6">
        <v>16</v>
      </c>
      <c r="F166" s="47">
        <v>138</v>
      </c>
      <c r="G166" s="62">
        <v>1.201716738197425E-2</v>
      </c>
      <c r="H166" s="19">
        <f>F166-F179</f>
        <v>2.6192307692307679</v>
      </c>
      <c r="I166" s="63">
        <f>G166-G179</f>
        <v>2.5150782597206291E-3</v>
      </c>
      <c r="J166" s="19">
        <f t="shared" si="9"/>
        <v>6.5875703648836442E-3</v>
      </c>
      <c r="K166" s="20"/>
      <c r="L166" s="20">
        <f t="shared" si="10"/>
        <v>6.8603698224852003</v>
      </c>
      <c r="M166" s="38">
        <f t="shared" si="10"/>
        <v>6.3256186525193485E-6</v>
      </c>
      <c r="N166" s="21"/>
      <c r="Q166" s="41"/>
      <c r="R166" s="80"/>
      <c r="S166" s="41"/>
      <c r="T166" s="41"/>
      <c r="U166" s="41"/>
      <c r="V166" s="58"/>
      <c r="W166" s="58"/>
      <c r="X166" s="77"/>
      <c r="Y166" s="74"/>
      <c r="Z166" s="58"/>
    </row>
    <row r="167" spans="1:26" ht="14.25" customHeight="1">
      <c r="A167" s="129" t="s">
        <v>65</v>
      </c>
      <c r="C167" s="268">
        <f>B147+(B146*F167)</f>
        <v>9.942171341127598E-3</v>
      </c>
      <c r="D167" s="340">
        <f t="shared" si="8"/>
        <v>-2.4035076712180803E-3</v>
      </c>
      <c r="E167" s="6">
        <v>17</v>
      </c>
      <c r="F167" s="47">
        <v>137</v>
      </c>
      <c r="G167" s="62">
        <v>1.2345679012345678E-2</v>
      </c>
      <c r="H167" s="19">
        <f>F167-F179</f>
        <v>1.6192307692307679</v>
      </c>
      <c r="I167" s="63">
        <f>G167-G179</f>
        <v>2.8435898900920579E-3</v>
      </c>
      <c r="J167" s="19">
        <f t="shared" si="9"/>
        <v>4.6044282451105974E-3</v>
      </c>
      <c r="K167" s="20"/>
      <c r="L167" s="20">
        <f t="shared" si="10"/>
        <v>2.6219082840236645</v>
      </c>
      <c r="M167" s="38">
        <f t="shared" si="10"/>
        <v>8.0860034630337624E-6</v>
      </c>
      <c r="N167" s="21"/>
      <c r="P167" s="271" t="s">
        <v>49</v>
      </c>
      <c r="Q167" s="272"/>
      <c r="R167" s="272"/>
      <c r="S167" s="272"/>
      <c r="T167" s="272"/>
      <c r="U167" s="272"/>
      <c r="V167" s="272"/>
      <c r="W167" s="272"/>
      <c r="X167" s="273"/>
      <c r="Y167" s="74"/>
      <c r="Z167" s="58"/>
    </row>
    <row r="168" spans="1:26">
      <c r="A168" s="112" t="s">
        <v>69</v>
      </c>
      <c r="C168" s="268">
        <f>B147+(B146*F168)</f>
        <v>1.2279520133056894E-2</v>
      </c>
      <c r="D168" s="340">
        <f t="shared" si="8"/>
        <v>1.0919592662521989E-2</v>
      </c>
      <c r="E168" s="6">
        <v>18</v>
      </c>
      <c r="F168" s="47">
        <v>145.6</v>
      </c>
      <c r="G168" s="62">
        <v>1.3599274705349048E-3</v>
      </c>
      <c r="H168" s="19">
        <f>F168-F179</f>
        <v>10.219230769230762</v>
      </c>
      <c r="I168" s="63">
        <f>G168-G179</f>
        <v>-8.1421616517187156E-3</v>
      </c>
      <c r="J168" s="19">
        <f t="shared" si="9"/>
        <v>-8.320662887929467E-2</v>
      </c>
      <c r="K168" s="20"/>
      <c r="L168" s="20">
        <f t="shared" si="10"/>
        <v>104.43267751479276</v>
      </c>
      <c r="M168" s="38">
        <f t="shared" si="10"/>
        <v>6.6294796362718837E-5</v>
      </c>
      <c r="N168" s="21"/>
      <c r="P168" s="274"/>
      <c r="Q168" s="275"/>
      <c r="R168" s="275"/>
      <c r="S168" s="275"/>
      <c r="T168" s="275"/>
      <c r="U168" s="275"/>
      <c r="V168" s="275"/>
      <c r="W168" s="275"/>
      <c r="X168" s="276"/>
      <c r="Y168" s="74"/>
      <c r="Z168" s="58"/>
    </row>
    <row r="169" spans="1:26">
      <c r="A169" s="112" t="s">
        <v>70</v>
      </c>
      <c r="C169" s="268">
        <f>B147+(B146*F169)</f>
        <v>1.0159599135725679E-2</v>
      </c>
      <c r="D169" s="340">
        <f t="shared" si="8"/>
        <v>4.7346443436822793E-3</v>
      </c>
      <c r="E169" s="6">
        <v>19</v>
      </c>
      <c r="F169" s="47">
        <v>137.80000000000001</v>
      </c>
      <c r="G169" s="62">
        <v>5.4249547920433997E-3</v>
      </c>
      <c r="H169" s="19">
        <f>F169-F179</f>
        <v>2.4192307692307793</v>
      </c>
      <c r="I169" s="63">
        <f>G169-G179</f>
        <v>-4.0771343302102208E-3</v>
      </c>
      <c r="J169" s="19">
        <f t="shared" si="9"/>
        <v>-9.863528821931691E-3</v>
      </c>
      <c r="K169" s="20"/>
      <c r="L169" s="20">
        <f t="shared" si="10"/>
        <v>5.8526775147929477</v>
      </c>
      <c r="M169" s="38">
        <f t="shared" si="10"/>
        <v>1.6623024346578745E-5</v>
      </c>
      <c r="N169" s="21"/>
      <c r="P169" s="274"/>
      <c r="Q169" s="275"/>
      <c r="R169" s="275"/>
      <c r="S169" s="275"/>
      <c r="T169" s="275"/>
      <c r="U169" s="275"/>
      <c r="V169" s="275"/>
      <c r="W169" s="275"/>
      <c r="X169" s="276"/>
      <c r="Y169" s="74"/>
      <c r="Z169" s="58"/>
    </row>
    <row r="170" spans="1:26">
      <c r="A170" s="112" t="s">
        <v>71</v>
      </c>
      <c r="C170" s="268">
        <f>B147+(B146*F170)</f>
        <v>8.9909247397610276E-3</v>
      </c>
      <c r="D170" s="340">
        <f t="shared" si="8"/>
        <v>-4.1106483463773276E-3</v>
      </c>
      <c r="E170" s="6">
        <v>20</v>
      </c>
      <c r="F170" s="47">
        <v>133.5</v>
      </c>
      <c r="G170" s="62">
        <v>1.3101573086138355E-2</v>
      </c>
      <c r="H170" s="19">
        <f>F170-F179</f>
        <v>-1.8807692307692321</v>
      </c>
      <c r="I170" s="63">
        <f>G170-G179</f>
        <v>3.5994839638847347E-3</v>
      </c>
      <c r="J170" s="19">
        <f t="shared" si="9"/>
        <v>-6.7697986859216784E-3</v>
      </c>
      <c r="K170" s="20"/>
      <c r="L170" s="20">
        <f t="shared" si="10"/>
        <v>3.5372928994082891</v>
      </c>
      <c r="M170" s="38">
        <f t="shared" si="10"/>
        <v>1.2956284806263362E-5</v>
      </c>
      <c r="N170" s="21"/>
      <c r="P170" s="277"/>
      <c r="Q170" s="278"/>
      <c r="R170" s="278"/>
      <c r="S170" s="278"/>
      <c r="T170" s="278"/>
      <c r="U170" s="278"/>
      <c r="V170" s="278"/>
      <c r="W170" s="278"/>
      <c r="X170" s="279"/>
      <c r="Y170" s="74"/>
      <c r="Z170" s="58"/>
    </row>
    <row r="171" spans="1:26">
      <c r="A171" s="112" t="s">
        <v>72</v>
      </c>
      <c r="C171" s="268">
        <f>B147+(B146*F171)</f>
        <v>1.1301095057365561E-2</v>
      </c>
      <c r="D171" s="340">
        <f t="shared" si="8"/>
        <v>1.0451726350656823E-2</v>
      </c>
      <c r="E171" s="6">
        <v>21</v>
      </c>
      <c r="F171" s="47">
        <v>142</v>
      </c>
      <c r="G171" s="62">
        <v>8.4936870670873871E-4</v>
      </c>
      <c r="H171" s="19">
        <f>F171-F179</f>
        <v>6.6192307692307679</v>
      </c>
      <c r="I171" s="63">
        <f>G171-G179</f>
        <v>-8.6527204155448824E-3</v>
      </c>
      <c r="J171" s="19">
        <f t="shared" si="9"/>
        <v>-5.7274353212125921E-2</v>
      </c>
      <c r="K171" s="20"/>
      <c r="L171" s="20">
        <f t="shared" si="10"/>
        <v>43.81421597633134</v>
      </c>
      <c r="M171" s="38">
        <f t="shared" si="10"/>
        <v>7.4869570589587207E-5</v>
      </c>
      <c r="N171" s="21"/>
      <c r="Q171" s="41"/>
      <c r="R171" s="41"/>
      <c r="S171" s="41"/>
      <c r="T171" s="41"/>
      <c r="U171" s="41"/>
      <c r="V171" s="58"/>
      <c r="W171" s="58"/>
      <c r="X171" s="77"/>
      <c r="Y171" s="74"/>
      <c r="Z171" s="58"/>
    </row>
    <row r="172" spans="1:26">
      <c r="A172" s="112" t="s">
        <v>74</v>
      </c>
      <c r="C172" s="268">
        <f>B147+(B146*F172)</f>
        <v>8.1483920356934872E-3</v>
      </c>
      <c r="D172" s="340">
        <f t="shared" si="8"/>
        <v>4.8997929940302045E-3</v>
      </c>
      <c r="E172" s="6">
        <v>22</v>
      </c>
      <c r="F172" s="47">
        <v>130.4</v>
      </c>
      <c r="G172" s="62">
        <v>3.2485990416632827E-3</v>
      </c>
      <c r="H172" s="19">
        <f>F172-F179</f>
        <v>-4.9807692307692264</v>
      </c>
      <c r="I172" s="63">
        <f>G172-G179</f>
        <v>-6.2534900805903378E-3</v>
      </c>
      <c r="J172" s="19">
        <f t="shared" si="9"/>
        <v>3.1147190978324923E-2</v>
      </c>
      <c r="K172" s="20"/>
      <c r="L172" s="20">
        <f t="shared" si="10"/>
        <v>24.808062130177472</v>
      </c>
      <c r="M172" s="38">
        <f t="shared" si="10"/>
        <v>3.9106138188041747E-5</v>
      </c>
      <c r="N172" s="21"/>
      <c r="Q172" s="41"/>
      <c r="R172" s="41"/>
      <c r="S172" s="41"/>
      <c r="T172" s="41"/>
      <c r="U172" s="41"/>
      <c r="V172" s="58"/>
      <c r="W172" s="58"/>
      <c r="X172" s="77"/>
      <c r="Y172" s="74"/>
      <c r="Z172" s="58"/>
    </row>
    <row r="173" spans="1:26">
      <c r="A173" s="112" t="s">
        <v>75</v>
      </c>
      <c r="C173" s="268">
        <f>B147+(B146*F173)</f>
        <v>1.339383758037202E-2</v>
      </c>
      <c r="D173" s="340">
        <f t="shared" si="8"/>
        <v>7.1611505997626014E-3</v>
      </c>
      <c r="E173" s="6">
        <v>23</v>
      </c>
      <c r="F173" s="47">
        <v>149.69999999999999</v>
      </c>
      <c r="G173" s="62">
        <v>6.2326869806094186E-3</v>
      </c>
      <c r="H173" s="19">
        <f>F173-F179</f>
        <v>14.319230769230757</v>
      </c>
      <c r="I173" s="63">
        <f>G173-G179</f>
        <v>-3.2694021416442018E-3</v>
      </c>
      <c r="J173" s="19">
        <f t="shared" si="9"/>
        <v>-4.6815323743620588E-2</v>
      </c>
      <c r="K173" s="20"/>
      <c r="L173" s="20">
        <f t="shared" si="10"/>
        <v>205.04036982248485</v>
      </c>
      <c r="M173" s="38">
        <f t="shared" si="10"/>
        <v>1.0688990363787693E-5</v>
      </c>
      <c r="N173" s="21"/>
      <c r="Q173" s="41"/>
      <c r="R173" s="41"/>
      <c r="S173" s="41"/>
      <c r="T173" s="41"/>
      <c r="U173" s="41"/>
      <c r="V173" s="58"/>
      <c r="W173" s="58"/>
      <c r="X173" s="77"/>
      <c r="Y173" s="74"/>
      <c r="Z173" s="58"/>
    </row>
    <row r="174" spans="1:26">
      <c r="A174" s="112" t="s">
        <v>76</v>
      </c>
      <c r="C174" s="268">
        <f>B147+(B146*F174)</f>
        <v>9.942171341127598E-3</v>
      </c>
      <c r="D174" s="340">
        <f t="shared" si="8"/>
        <v>-1.7102648330420182E-2</v>
      </c>
      <c r="E174" s="6">
        <v>24</v>
      </c>
      <c r="F174" s="47">
        <v>137</v>
      </c>
      <c r="G174" s="62">
        <v>2.704481967154778E-2</v>
      </c>
      <c r="H174" s="19">
        <f>F174-F179</f>
        <v>1.6192307692307679</v>
      </c>
      <c r="I174" s="63">
        <f>G174-G179</f>
        <v>1.7542730549294158E-2</v>
      </c>
      <c r="J174" s="19">
        <f t="shared" si="9"/>
        <v>2.840572908174167E-2</v>
      </c>
      <c r="K174" s="20"/>
      <c r="L174" s="20">
        <f t="shared" si="10"/>
        <v>2.6219082840236645</v>
      </c>
      <c r="M174" s="38">
        <f t="shared" si="10"/>
        <v>3.0774739512513853E-4</v>
      </c>
      <c r="N174" s="21"/>
      <c r="Q174" s="26"/>
      <c r="R174" s="80"/>
      <c r="S174" s="41"/>
      <c r="T174" s="41"/>
      <c r="U174" s="41"/>
      <c r="V174" s="58"/>
      <c r="W174" s="58"/>
      <c r="X174" s="77"/>
      <c r="Y174" s="74"/>
      <c r="Z174" s="58"/>
    </row>
    <row r="175" spans="1:26">
      <c r="A175" s="112" t="s">
        <v>77</v>
      </c>
      <c r="C175" s="268">
        <f>B147+(B146*F175)</f>
        <v>9.2898879573333759E-3</v>
      </c>
      <c r="D175" s="340">
        <f t="shared" si="8"/>
        <v>1.5491234901115099E-3</v>
      </c>
      <c r="E175" s="6">
        <v>25</v>
      </c>
      <c r="F175" s="47">
        <v>134.6</v>
      </c>
      <c r="G175" s="62">
        <v>7.740764467221866E-3</v>
      </c>
      <c r="H175" s="19">
        <f>F175-F179</f>
        <v>-0.78076923076923777</v>
      </c>
      <c r="I175" s="63">
        <f>G175-G179</f>
        <v>-1.7613246550317544E-3</v>
      </c>
      <c r="J175" s="19">
        <f t="shared" si="9"/>
        <v>1.3751880960440359E-3</v>
      </c>
      <c r="K175" s="20"/>
      <c r="L175" s="20">
        <f t="shared" si="10"/>
        <v>0.60960059171598724</v>
      </c>
      <c r="M175" s="38">
        <f t="shared" si="10"/>
        <v>3.1022645404227288E-6</v>
      </c>
      <c r="N175" s="21"/>
      <c r="Q175" s="41"/>
      <c r="R175" s="80"/>
      <c r="S175" s="41"/>
      <c r="T175" s="41"/>
      <c r="U175" s="41"/>
      <c r="V175" s="58"/>
      <c r="W175" s="58"/>
      <c r="X175" s="77"/>
      <c r="Y175" s="74"/>
      <c r="Z175" s="58"/>
    </row>
    <row r="176" spans="1:26">
      <c r="A176" s="112" t="s">
        <v>78</v>
      </c>
      <c r="C176" s="268">
        <f>B147+(B146*F176)</f>
        <v>7.8222503437963761E-3</v>
      </c>
      <c r="D176" s="340">
        <f t="shared" si="8"/>
        <v>4.0199689749750838E-3</v>
      </c>
      <c r="E176" s="6">
        <v>26</v>
      </c>
      <c r="F176" s="47">
        <v>129.19999999999999</v>
      </c>
      <c r="G176" s="62">
        <v>3.8022813688212928E-3</v>
      </c>
      <c r="H176" s="19">
        <f>F176-F179</f>
        <v>-6.1807692307692434</v>
      </c>
      <c r="I176" s="63">
        <f>G176-G179</f>
        <v>-5.6998077534323281E-3</v>
      </c>
      <c r="J176" s="19">
        <f t="shared" si="9"/>
        <v>3.5229196383714502E-2</v>
      </c>
      <c r="K176" s="20"/>
      <c r="L176" s="20">
        <f t="shared" si="10"/>
        <v>38.201908284023823</v>
      </c>
      <c r="M176" s="38">
        <f t="shared" si="10"/>
        <v>3.2487808426087286E-5</v>
      </c>
      <c r="N176" s="21"/>
      <c r="Q176" s="41"/>
      <c r="R176" s="81"/>
      <c r="S176" s="41"/>
      <c r="T176" s="82"/>
      <c r="U176" s="41"/>
      <c r="V176" s="58"/>
      <c r="W176" s="58"/>
      <c r="X176" s="77"/>
      <c r="Y176" s="74"/>
      <c r="Z176" s="58"/>
    </row>
    <row r="177" spans="1:26" ht="12.75">
      <c r="C177" s="340"/>
      <c r="D177" s="340"/>
      <c r="E177" s="6"/>
      <c r="F177" s="91"/>
      <c r="G177" s="92"/>
      <c r="H177" s="65"/>
      <c r="J177" s="60"/>
      <c r="K177" s="6"/>
      <c r="L177" s="6"/>
      <c r="M177" s="18"/>
      <c r="N177" s="6"/>
      <c r="Q177" s="41"/>
      <c r="R177" s="83"/>
      <c r="S177" s="41"/>
      <c r="T177" s="41"/>
      <c r="U177" s="41"/>
      <c r="V177" s="58"/>
      <c r="W177" s="58"/>
      <c r="X177" s="77"/>
      <c r="Y177" s="74"/>
      <c r="Z177" s="58"/>
    </row>
    <row r="178" spans="1:26" ht="13.5" thickBot="1">
      <c r="B178" s="2" t="s">
        <v>16</v>
      </c>
      <c r="C178" s="340"/>
      <c r="D178" s="340"/>
      <c r="M178" s="18"/>
      <c r="N178" s="6"/>
      <c r="Q178" s="41"/>
      <c r="R178" s="41"/>
      <c r="S178" s="41"/>
      <c r="T178" s="41"/>
      <c r="U178" s="41"/>
      <c r="V178" s="58"/>
      <c r="W178" s="58"/>
      <c r="X178" s="77"/>
      <c r="Y178" s="74"/>
      <c r="Z178" s="58"/>
    </row>
    <row r="179" spans="1:26" ht="13.5" thickBot="1">
      <c r="B179" s="2" t="s">
        <v>0</v>
      </c>
      <c r="C179" s="340">
        <f>AVERAGE(C151:C176)</f>
        <v>9.5020891222536118E-3</v>
      </c>
      <c r="D179" s="340">
        <f>AVERAGE(D151:D176)</f>
        <v>-8.7403375135754509E-18</v>
      </c>
      <c r="F179" s="18">
        <f>AVERAGE(F151:F176)</f>
        <v>135.38076923076923</v>
      </c>
      <c r="G179" s="64">
        <f>AVERAGE(G151:G176)</f>
        <v>9.5020891222536204E-3</v>
      </c>
      <c r="H179" s="19">
        <f>AVERAGE(H151:H176)</f>
        <v>-3.2794280112004626E-15</v>
      </c>
      <c r="I179" s="19">
        <f>AVERAGE(I151:I176)</f>
        <v>-2.6688053476566264E-19</v>
      </c>
      <c r="J179" s="59">
        <f>SUM(J151:J176)</f>
        <v>0.45720727101342373</v>
      </c>
      <c r="K179" s="27" t="s">
        <v>16</v>
      </c>
      <c r="L179" s="28">
        <f>SUM(L151:L176)</f>
        <v>1682.2403846153838</v>
      </c>
      <c r="M179" s="28">
        <f>SUM(M151:M176)</f>
        <v>2.9676961929352604E-3</v>
      </c>
      <c r="N179" s="28">
        <f>M179*L179</f>
        <v>4.992378385025023</v>
      </c>
      <c r="Q179" s="41"/>
      <c r="R179" s="41"/>
      <c r="S179" s="41"/>
      <c r="T179" s="82"/>
      <c r="U179" s="84"/>
      <c r="V179" s="85"/>
      <c r="W179" s="86"/>
      <c r="X179" s="77"/>
      <c r="Y179" s="74"/>
      <c r="Z179" s="87"/>
    </row>
    <row r="180" spans="1:26" ht="15" thickBot="1">
      <c r="B180" s="15" t="s">
        <v>17</v>
      </c>
      <c r="C180" s="29">
        <f>STDEVA(C151:C176)</f>
        <v>2.2294569810903803E-3</v>
      </c>
      <c r="D180" s="119">
        <f>STDEVA(D151:D176)</f>
        <v>1.0664772350447889E-2</v>
      </c>
      <c r="E180" s="15"/>
      <c r="F180" s="30">
        <f>STDEVA(F151:F176)</f>
        <v>8.2030247704499448</v>
      </c>
      <c r="G180" s="29">
        <f>STDEVA(G151:G176)</f>
        <v>1.0895313107818903E-2</v>
      </c>
      <c r="H180" s="30">
        <f>STDEVA(H151:H176)</f>
        <v>8.2030247704499448</v>
      </c>
      <c r="I180" s="30">
        <f>STDEVA(I151:I176)</f>
        <v>1.0895313107818903E-2</v>
      </c>
      <c r="J180" s="31" t="s">
        <v>16</v>
      </c>
      <c r="K180" s="32"/>
      <c r="L180" s="33"/>
      <c r="M180" s="33"/>
      <c r="N180" s="34"/>
      <c r="Q180" s="41"/>
      <c r="R180" s="41"/>
      <c r="S180" s="41"/>
      <c r="T180" s="41"/>
      <c r="U180" s="84"/>
      <c r="V180" s="85"/>
      <c r="W180" s="85"/>
      <c r="X180" s="88"/>
      <c r="Y180" s="89"/>
      <c r="Z180" s="41"/>
    </row>
    <row r="181" spans="1:26" ht="15.75">
      <c r="B181" s="15" t="s">
        <v>18</v>
      </c>
      <c r="C181" s="35">
        <f>C180^2</f>
        <v>4.9704784305326321E-6</v>
      </c>
      <c r="D181" s="120">
        <f>D180^2</f>
        <v>1.1373736928687778E-4</v>
      </c>
      <c r="E181" s="15"/>
      <c r="F181" s="30">
        <f>F180^2</f>
        <v>67.289615384615374</v>
      </c>
      <c r="G181" s="35">
        <f>G180^2</f>
        <v>1.1870784771741042E-4</v>
      </c>
      <c r="H181" s="30">
        <f>H180^2</f>
        <v>67.289615384615374</v>
      </c>
      <c r="I181" s="30">
        <f>I180^2</f>
        <v>1.1870784771741042E-4</v>
      </c>
      <c r="J181" s="33"/>
      <c r="K181" s="27"/>
      <c r="L181" s="33"/>
      <c r="M181" s="33"/>
      <c r="N181" s="34"/>
      <c r="Q181" s="41"/>
      <c r="R181" s="41"/>
      <c r="S181" s="41"/>
      <c r="T181" s="41"/>
      <c r="U181" s="84"/>
      <c r="V181" s="85"/>
      <c r="W181" s="85"/>
      <c r="X181" s="41"/>
      <c r="Y181" s="41"/>
      <c r="Z181" s="41"/>
    </row>
    <row r="182" spans="1:26">
      <c r="B182" s="2" t="s">
        <v>19</v>
      </c>
      <c r="C182" s="30">
        <f>COUNT(C151:C176)</f>
        <v>26</v>
      </c>
      <c r="D182" s="30">
        <f>COUNT(D151:D176)</f>
        <v>26</v>
      </c>
      <c r="F182" s="30">
        <f>COUNT(F151:F176)</f>
        <v>26</v>
      </c>
      <c r="G182" s="30">
        <f>COUNT(G151:G176)</f>
        <v>26</v>
      </c>
      <c r="I182" s="27"/>
      <c r="J182" s="33"/>
      <c r="K182" s="27"/>
      <c r="L182" s="33"/>
      <c r="M182" s="33"/>
      <c r="N182" s="34"/>
      <c r="Q182" s="41"/>
      <c r="R182" s="41"/>
      <c r="S182" s="41"/>
      <c r="T182" s="41"/>
      <c r="U182" s="41"/>
      <c r="V182" s="41"/>
      <c r="W182" s="41"/>
      <c r="X182" s="41"/>
      <c r="Y182" s="41"/>
      <c r="Z182" s="41"/>
    </row>
    <row r="183" spans="1:26">
      <c r="B183" s="36" t="s">
        <v>20</v>
      </c>
      <c r="C183" s="37">
        <f>C179/C180</f>
        <v>4.2620643514755514</v>
      </c>
      <c r="D183" s="115">
        <f>D179/D180</f>
        <v>-8.1955218792911063E-16</v>
      </c>
      <c r="E183" s="36"/>
      <c r="F183" s="37">
        <f>F179/F180</f>
        <v>16.503762090108069</v>
      </c>
      <c r="G183" s="37">
        <f>G179/G180</f>
        <v>0.87212630130239666</v>
      </c>
      <c r="I183" s="27"/>
      <c r="J183" s="36"/>
      <c r="Q183" s="41"/>
      <c r="R183" s="41"/>
      <c r="S183" s="41"/>
      <c r="T183" s="41"/>
      <c r="U183" s="41"/>
      <c r="V183" s="41"/>
      <c r="W183" s="41"/>
      <c r="X183" s="41"/>
      <c r="Y183" s="41"/>
      <c r="Z183" s="41"/>
    </row>
    <row r="184" spans="1:26">
      <c r="B184" s="36"/>
      <c r="C184" s="37"/>
      <c r="D184" s="36"/>
      <c r="E184" s="36"/>
      <c r="F184" s="37"/>
      <c r="G184" s="37"/>
      <c r="I184" s="27"/>
      <c r="J184" s="36"/>
      <c r="Q184" s="41"/>
      <c r="R184" s="41"/>
      <c r="S184" s="41"/>
      <c r="T184" s="41"/>
      <c r="U184" s="41"/>
      <c r="V184" s="41"/>
      <c r="W184" s="41"/>
      <c r="X184" s="41"/>
      <c r="Y184" s="41"/>
      <c r="Z184" s="41"/>
    </row>
    <row r="185" spans="1:26">
      <c r="B185" s="36"/>
      <c r="C185" s="37"/>
      <c r="D185" s="36"/>
      <c r="E185" s="36"/>
      <c r="F185" s="37"/>
      <c r="G185" s="48" t="s">
        <v>21</v>
      </c>
      <c r="I185" s="49" t="s">
        <v>22</v>
      </c>
      <c r="J185" s="36"/>
    </row>
    <row r="186" spans="1:26" ht="15.75">
      <c r="A186" s="2" t="s">
        <v>23</v>
      </c>
      <c r="C186" s="37"/>
      <c r="D186" s="36"/>
      <c r="E186" s="36"/>
      <c r="G186" s="24">
        <f>B148*(SQRT((C182-2)/(1-B149)))</f>
        <v>1.0241253779651269</v>
      </c>
      <c r="H186" s="40"/>
      <c r="I186" s="42">
        <f>TDIST(ABS(G186),8,2)</f>
        <v>0.33574349577431051</v>
      </c>
      <c r="J186" s="50" t="s">
        <v>57</v>
      </c>
      <c r="N186" s="2"/>
      <c r="O186" s="41"/>
      <c r="P186" s="43"/>
    </row>
    <row r="187" spans="1:26" ht="15.75">
      <c r="A187" s="2" t="s">
        <v>24</v>
      </c>
      <c r="C187" s="37"/>
      <c r="D187" s="36"/>
      <c r="E187" s="36"/>
      <c r="G187" s="24">
        <f>B146/((G180/F180)*SQRT((1-B149)/(G182-2)))</f>
        <v>1.0241253779651267</v>
      </c>
      <c r="H187" s="36"/>
      <c r="I187" s="42">
        <f>TDIST(ABS(G187),8,2)</f>
        <v>0.33574349577431156</v>
      </c>
      <c r="J187" s="36"/>
      <c r="K187" s="36"/>
      <c r="N187" s="2"/>
      <c r="O187" s="36"/>
      <c r="P187" s="43"/>
    </row>
    <row r="188" spans="1:26" ht="12.75">
      <c r="C188" s="37"/>
      <c r="D188" s="36"/>
      <c r="E188" s="36"/>
      <c r="J188" s="36"/>
      <c r="K188" s="36"/>
      <c r="N188" s="2"/>
      <c r="O188" s="36"/>
      <c r="P188" s="43"/>
    </row>
    <row r="189" spans="1:26" ht="15.75">
      <c r="A189" s="2" t="s">
        <v>25</v>
      </c>
      <c r="B189" s="37"/>
      <c r="D189" s="38"/>
      <c r="E189" s="56">
        <f>Q189*((G180/F180)*SQRT((1-B148^2)/(G182-2)))</f>
        <v>5.4772213708412709E-4</v>
      </c>
      <c r="F189" s="51" t="s">
        <v>26</v>
      </c>
      <c r="G189" s="98">
        <f>B146-E189</f>
        <v>-2.7593739383653443E-4</v>
      </c>
      <c r="H189" s="51" t="s">
        <v>27</v>
      </c>
      <c r="I189" s="98">
        <f>B146+E189</f>
        <v>8.1950688033171975E-4</v>
      </c>
      <c r="K189" s="51" t="s">
        <v>28</v>
      </c>
      <c r="L189" s="52">
        <v>0.95</v>
      </c>
      <c r="M189" s="51" t="s">
        <v>29</v>
      </c>
      <c r="N189" s="53">
        <f>C182-2</f>
        <v>24</v>
      </c>
      <c r="P189" s="54" t="s">
        <v>30</v>
      </c>
      <c r="Q189" s="55">
        <f>TINV((1-L189),N189)</f>
        <v>2.0638985616280254</v>
      </c>
    </row>
    <row r="194" spans="1:26">
      <c r="A194" s="16" t="s">
        <v>13</v>
      </c>
      <c r="B194" s="17">
        <f>J228/L228</f>
        <v>3.1104379718718199E-4</v>
      </c>
      <c r="D194" s="94"/>
      <c r="E194" s="95"/>
      <c r="F194" s="93" t="str">
        <f>F199</f>
        <v>X = PAS alcanzada tras seguim</v>
      </c>
      <c r="G194" s="95"/>
      <c r="H194" s="15"/>
      <c r="I194" s="96" t="str">
        <f>G199</f>
        <v>Y = ACV /año</v>
      </c>
      <c r="L194" s="265"/>
      <c r="M194" s="265"/>
      <c r="N194" s="265"/>
    </row>
    <row r="195" spans="1:26">
      <c r="A195" s="22" t="s">
        <v>14</v>
      </c>
      <c r="B195" s="23">
        <f>B197*G229/F229</f>
        <v>3.1104379718718204E-4</v>
      </c>
      <c r="D195" s="97" t="s">
        <v>37</v>
      </c>
      <c r="E195" s="128">
        <v>-1</v>
      </c>
      <c r="F195" s="93" t="s">
        <v>33</v>
      </c>
      <c r="G195" s="15" t="s">
        <v>36</v>
      </c>
      <c r="H195" s="15"/>
      <c r="I195" s="96" t="s">
        <v>166</v>
      </c>
      <c r="J195" s="127">
        <f>E195*B195</f>
        <v>-3.1104379718718204E-4</v>
      </c>
      <c r="K195" s="6" t="s">
        <v>35</v>
      </c>
      <c r="L195" s="127">
        <f>E195*G238</f>
        <v>-5.1174926202063689E-5</v>
      </c>
      <c r="M195" s="6" t="s">
        <v>34</v>
      </c>
      <c r="N195" s="127">
        <f>E195*I238</f>
        <v>-5.7091266817230039E-4</v>
      </c>
    </row>
    <row r="196" spans="1:26">
      <c r="A196" s="16" t="s">
        <v>15</v>
      </c>
      <c r="B196" s="17">
        <f>G228-(F228*B194)</f>
        <v>-3.4330539392709809E-2</v>
      </c>
      <c r="M196" s="4"/>
    </row>
    <row r="197" spans="1:26">
      <c r="A197" s="25" t="s">
        <v>31</v>
      </c>
      <c r="B197" s="24">
        <f>J228/SQRT(N228)</f>
        <v>0.45025028731463257</v>
      </c>
      <c r="M197" s="4"/>
    </row>
    <row r="198" spans="1:26" ht="26.25" customHeight="1" thickBot="1">
      <c r="A198" s="108" t="s">
        <v>32</v>
      </c>
      <c r="B198" s="109">
        <f>B197^2</f>
        <v>0.20272532122690917</v>
      </c>
      <c r="C198" s="110">
        <f>1-B198</f>
        <v>0.79727467877309088</v>
      </c>
      <c r="F198" s="7"/>
      <c r="G198" s="8"/>
      <c r="H198" s="269" t="s">
        <v>1</v>
      </c>
      <c r="I198" s="270"/>
      <c r="J198" s="9" t="s">
        <v>2</v>
      </c>
      <c r="K198" s="10"/>
      <c r="L198" s="9" t="s">
        <v>3</v>
      </c>
      <c r="M198" s="9" t="s">
        <v>4</v>
      </c>
      <c r="N198" s="9" t="s">
        <v>5</v>
      </c>
      <c r="Q198" s="41"/>
      <c r="R198" s="41"/>
      <c r="S198" s="41"/>
      <c r="T198" s="41"/>
      <c r="U198" s="43"/>
      <c r="V198" s="68"/>
      <c r="W198" s="68"/>
      <c r="X198" s="41"/>
      <c r="Y198" s="41"/>
      <c r="Z198" s="69"/>
    </row>
    <row r="199" spans="1:26" ht="37.5" customHeight="1" thickBot="1">
      <c r="A199" s="113" t="s">
        <v>44</v>
      </c>
      <c r="C199" s="11" t="s">
        <v>174</v>
      </c>
      <c r="D199" s="12" t="s">
        <v>6</v>
      </c>
      <c r="E199" s="12" t="s">
        <v>39</v>
      </c>
      <c r="F199" s="44" t="s">
        <v>190</v>
      </c>
      <c r="G199" s="45" t="s">
        <v>185</v>
      </c>
      <c r="H199" s="13" t="s">
        <v>7</v>
      </c>
      <c r="I199" s="14" t="s">
        <v>8</v>
      </c>
      <c r="J199" s="14" t="s">
        <v>9</v>
      </c>
      <c r="L199" s="14" t="s">
        <v>10</v>
      </c>
      <c r="M199" s="14" t="s">
        <v>11</v>
      </c>
      <c r="N199" s="14" t="s">
        <v>12</v>
      </c>
      <c r="Q199" s="41"/>
      <c r="R199" s="41"/>
      <c r="S199" s="70"/>
      <c r="T199" s="71"/>
      <c r="U199" s="41"/>
      <c r="V199" s="106"/>
      <c r="W199" s="106"/>
      <c r="X199" s="73"/>
      <c r="Y199" s="74"/>
      <c r="Z199" s="106"/>
    </row>
    <row r="200" spans="1:26">
      <c r="A200" s="112" t="s">
        <v>62</v>
      </c>
      <c r="C200" s="268">
        <f>B196+(B195*F200)</f>
        <v>9.1222790743395177E-3</v>
      </c>
      <c r="D200" s="340">
        <f t="shared" ref="D200:D225" si="11">C200-G200</f>
        <v>5.3820918128289867E-3</v>
      </c>
      <c r="E200" s="6">
        <v>1</v>
      </c>
      <c r="F200" s="46">
        <v>139.69999999999999</v>
      </c>
      <c r="G200" s="61">
        <v>3.7401872615105314E-3</v>
      </c>
      <c r="H200" s="19">
        <f>F200-F228</f>
        <v>4.4269230769230603</v>
      </c>
      <c r="I200" s="63">
        <f>G200-G228</f>
        <v>-4.005124849127269E-3</v>
      </c>
      <c r="J200" s="19">
        <f t="shared" ref="J200:J225" si="12">H200*I200</f>
        <v>-1.7730379620559497E-2</v>
      </c>
      <c r="K200" s="20"/>
      <c r="L200" s="20">
        <f t="shared" ref="L200:M225" si="13">H200^2</f>
        <v>19.597647928993936</v>
      </c>
      <c r="M200" s="38">
        <f t="shared" si="13"/>
        <v>1.6041025057096729E-5</v>
      </c>
      <c r="N200" s="21"/>
      <c r="Q200" s="75"/>
      <c r="R200" s="76"/>
      <c r="S200" s="41"/>
      <c r="T200" s="41"/>
      <c r="U200" s="41"/>
      <c r="V200" s="58"/>
      <c r="W200" s="58"/>
      <c r="X200" s="77"/>
      <c r="Y200" s="74"/>
      <c r="Z200" s="58"/>
    </row>
    <row r="201" spans="1:26">
      <c r="A201" s="112" t="s">
        <v>63</v>
      </c>
      <c r="C201" s="268">
        <f>B196+(B195*F201)</f>
        <v>1.0459767402244406E-2</v>
      </c>
      <c r="D201" s="340">
        <f t="shared" si="11"/>
        <v>4.4916809592239265E-3</v>
      </c>
      <c r="E201" s="6">
        <v>2</v>
      </c>
      <c r="F201" s="46">
        <v>144</v>
      </c>
      <c r="G201" s="61">
        <v>5.9680864430204797E-3</v>
      </c>
      <c r="H201" s="19">
        <f>F201-F228</f>
        <v>8.7269230769230717</v>
      </c>
      <c r="I201" s="63">
        <f>G201-G228</f>
        <v>-1.7772256676173203E-3</v>
      </c>
      <c r="J201" s="19">
        <f t="shared" si="12"/>
        <v>-1.5509711691629605E-2</v>
      </c>
      <c r="K201" s="20"/>
      <c r="L201" s="20">
        <f t="shared" si="13"/>
        <v>76.159186390532454</v>
      </c>
      <c r="M201" s="38">
        <f t="shared" si="13"/>
        <v>3.1585310736378297E-6</v>
      </c>
      <c r="N201" s="21"/>
      <c r="Q201" s="75"/>
      <c r="R201" s="76"/>
      <c r="S201" s="41"/>
      <c r="T201" s="41"/>
      <c r="U201" s="41"/>
      <c r="V201" s="58"/>
      <c r="W201" s="58"/>
      <c r="X201" s="77"/>
      <c r="Y201" s="74"/>
      <c r="Z201" s="58"/>
    </row>
    <row r="202" spans="1:26">
      <c r="A202" s="112" t="s">
        <v>64</v>
      </c>
      <c r="C202" s="268">
        <f>B196+(B195*F202)</f>
        <v>6.727241835998217E-3</v>
      </c>
      <c r="D202" s="340">
        <f t="shared" si="11"/>
        <v>-8.6769487286254224E-4</v>
      </c>
      <c r="E202" s="6">
        <v>3</v>
      </c>
      <c r="F202" s="46">
        <v>132</v>
      </c>
      <c r="G202" s="61">
        <v>7.5949367088607592E-3</v>
      </c>
      <c r="H202" s="19">
        <f>F202-F228</f>
        <v>-3.2730769230769283</v>
      </c>
      <c r="I202" s="63">
        <f>G202-G228</f>
        <v>-1.5037540177704079E-4</v>
      </c>
      <c r="J202" s="19">
        <f t="shared" si="12"/>
        <v>4.9219025735485356E-4</v>
      </c>
      <c r="K202" s="20"/>
      <c r="L202" s="20">
        <f t="shared" si="13"/>
        <v>10.713032544378732</v>
      </c>
      <c r="M202" s="38">
        <f t="shared" si="13"/>
        <v>2.2612761459606442E-8</v>
      </c>
      <c r="N202" s="21"/>
      <c r="Q202" s="75"/>
      <c r="R202" s="76"/>
      <c r="S202" s="41"/>
      <c r="T202" s="41"/>
      <c r="U202" s="41"/>
      <c r="V202" s="58"/>
      <c r="W202" s="58"/>
      <c r="X202" s="77"/>
      <c r="Y202" s="74"/>
      <c r="Z202" s="58"/>
    </row>
    <row r="203" spans="1:26">
      <c r="A203" s="129" t="s">
        <v>65</v>
      </c>
      <c r="C203" s="268">
        <f>B196+(B195*F203)</f>
        <v>5.4830666472494918E-3</v>
      </c>
      <c r="D203" s="340">
        <f t="shared" si="11"/>
        <v>2.1075392210891542E-3</v>
      </c>
      <c r="E203" s="6">
        <v>4</v>
      </c>
      <c r="F203" s="46">
        <v>128</v>
      </c>
      <c r="G203" s="61">
        <v>3.3755274261603376E-3</v>
      </c>
      <c r="H203" s="19">
        <f>F203-F228</f>
        <v>-7.2730769230769283</v>
      </c>
      <c r="I203" s="63">
        <f>G203-G228</f>
        <v>-4.3697846844774624E-3</v>
      </c>
      <c r="J203" s="19">
        <f t="shared" si="12"/>
        <v>3.1781780147488031E-2</v>
      </c>
      <c r="K203" s="20"/>
      <c r="L203" s="20">
        <f t="shared" si="13"/>
        <v>52.897647928994161</v>
      </c>
      <c r="M203" s="38">
        <f t="shared" si="13"/>
        <v>1.9095018188693796E-5</v>
      </c>
      <c r="N203" s="21"/>
      <c r="Q203" s="75"/>
      <c r="R203" s="76"/>
      <c r="S203" s="41"/>
      <c r="T203" s="41"/>
      <c r="U203" s="41"/>
      <c r="V203" s="58"/>
      <c r="W203" s="58"/>
      <c r="X203" s="77"/>
      <c r="Y203" s="74"/>
      <c r="Z203" s="58"/>
    </row>
    <row r="204" spans="1:26">
      <c r="A204" s="112" t="s">
        <v>69</v>
      </c>
      <c r="C204" s="268">
        <f>B196+(B195*F204)</f>
        <v>7.9403126450282302E-3</v>
      </c>
      <c r="D204" s="340">
        <f t="shared" si="11"/>
        <v>-3.7608574719834708E-3</v>
      </c>
      <c r="E204" s="6">
        <v>5</v>
      </c>
      <c r="F204" s="46">
        <v>135.9</v>
      </c>
      <c r="G204" s="61">
        <v>1.1701170117011701E-2</v>
      </c>
      <c r="H204" s="19">
        <f>F204-F228</f>
        <v>0.62692307692307736</v>
      </c>
      <c r="I204" s="63">
        <f>G204-G228</f>
        <v>3.955858006373901E-3</v>
      </c>
      <c r="J204" s="19">
        <f t="shared" si="12"/>
        <v>2.4800186732267166E-3</v>
      </c>
      <c r="K204" s="20"/>
      <c r="L204" s="20">
        <f t="shared" si="13"/>
        <v>0.39303254437869878</v>
      </c>
      <c r="M204" s="38">
        <f t="shared" si="13"/>
        <v>1.5648812566592496E-5</v>
      </c>
      <c r="N204" s="21"/>
      <c r="Q204" s="75"/>
      <c r="R204" s="76"/>
      <c r="S204" s="41"/>
      <c r="T204" s="41"/>
      <c r="U204" s="41"/>
      <c r="V204" s="58"/>
      <c r="W204" s="58"/>
      <c r="X204" s="77"/>
      <c r="Y204" s="74"/>
      <c r="Z204" s="58"/>
    </row>
    <row r="205" spans="1:26">
      <c r="A205" s="112" t="s">
        <v>71</v>
      </c>
      <c r="C205" s="268">
        <f>B196+(B195*F205)</f>
        <v>3.1502381683456288E-3</v>
      </c>
      <c r="D205" s="340">
        <f t="shared" si="11"/>
        <v>8.7561388840340891E-5</v>
      </c>
      <c r="E205" s="6">
        <v>6</v>
      </c>
      <c r="F205" s="46">
        <v>120.5</v>
      </c>
      <c r="G205" s="61">
        <v>3.0626767795052879E-3</v>
      </c>
      <c r="H205" s="19">
        <f>F205-F228</f>
        <v>-14.773076923076928</v>
      </c>
      <c r="I205" s="63">
        <f>G205-G228</f>
        <v>-4.6826353311325121E-3</v>
      </c>
      <c r="J205" s="19">
        <f t="shared" si="12"/>
        <v>6.9176931949538403E-2</v>
      </c>
      <c r="K205" s="20"/>
      <c r="L205" s="20">
        <f t="shared" si="13"/>
        <v>218.24380177514809</v>
      </c>
      <c r="M205" s="38">
        <f t="shared" si="13"/>
        <v>2.1927073644370491E-5</v>
      </c>
      <c r="N205" s="21"/>
      <c r="Q205" s="75"/>
      <c r="R205" s="76"/>
      <c r="S205" s="41"/>
      <c r="T205" s="41"/>
      <c r="U205" s="41"/>
      <c r="V205" s="58"/>
      <c r="W205" s="58"/>
      <c r="X205" s="77"/>
      <c r="Y205" s="74"/>
      <c r="Z205" s="58"/>
    </row>
    <row r="206" spans="1:26">
      <c r="A206" s="112" t="s">
        <v>72</v>
      </c>
      <c r="C206" s="268">
        <f>B196+(B195*F206)</f>
        <v>8.158043303059255E-3</v>
      </c>
      <c r="D206" s="340">
        <f t="shared" si="11"/>
        <v>4.7847576173862313E-3</v>
      </c>
      <c r="E206" s="6">
        <v>7</v>
      </c>
      <c r="F206" s="46">
        <v>136.6</v>
      </c>
      <c r="G206" s="61">
        <v>3.3732856856730233E-3</v>
      </c>
      <c r="H206" s="19">
        <f>F206-F228</f>
        <v>1.326923076923066</v>
      </c>
      <c r="I206" s="63">
        <f>G206-G228</f>
        <v>-4.3720264249647763E-3</v>
      </c>
      <c r="J206" s="19">
        <f t="shared" si="12"/>
        <v>-5.801342756203213E-3</v>
      </c>
      <c r="K206" s="20"/>
      <c r="L206" s="20">
        <f t="shared" si="13"/>
        <v>1.7607248520709768</v>
      </c>
      <c r="M206" s="38">
        <f t="shared" si="13"/>
        <v>1.9114615060590282E-5</v>
      </c>
      <c r="N206" s="21"/>
      <c r="Q206" s="75"/>
      <c r="R206" s="76"/>
      <c r="S206" s="41"/>
      <c r="T206" s="41"/>
      <c r="U206" s="41"/>
      <c r="V206" s="58"/>
      <c r="W206" s="58"/>
      <c r="X206" s="77"/>
      <c r="Y206" s="74"/>
      <c r="Z206" s="58"/>
    </row>
    <row r="207" spans="1:26">
      <c r="A207" s="112" t="s">
        <v>73</v>
      </c>
      <c r="C207" s="268">
        <f>B196+(B195*F207)</f>
        <v>6.1051542416238544E-3</v>
      </c>
      <c r="D207" s="340">
        <f t="shared" si="11"/>
        <v>-9.9442284744255295E-3</v>
      </c>
      <c r="E207" s="6">
        <v>8</v>
      </c>
      <c r="F207" s="46">
        <v>130</v>
      </c>
      <c r="G207" s="61">
        <v>1.6049382716049384E-2</v>
      </c>
      <c r="H207" s="19">
        <f>F207-F228</f>
        <v>-5.2730769230769283</v>
      </c>
      <c r="I207" s="63">
        <f>G207-G228</f>
        <v>8.3040706054115839E-3</v>
      </c>
      <c r="J207" s="19">
        <f t="shared" si="12"/>
        <v>-4.3788003076997283E-2</v>
      </c>
      <c r="K207" s="20"/>
      <c r="L207" s="20">
        <f t="shared" si="13"/>
        <v>27.805340236686447</v>
      </c>
      <c r="M207" s="38">
        <f t="shared" si="13"/>
        <v>6.8957588619660714E-5</v>
      </c>
      <c r="N207" s="21"/>
      <c r="Q207" s="75"/>
      <c r="R207" s="76"/>
      <c r="S207" s="41"/>
      <c r="T207" s="41"/>
      <c r="U207" s="41"/>
      <c r="V207" s="58"/>
      <c r="W207" s="58"/>
      <c r="X207" s="77"/>
      <c r="Y207" s="74"/>
      <c r="Z207" s="58"/>
    </row>
    <row r="208" spans="1:26">
      <c r="A208" s="112" t="s">
        <v>74</v>
      </c>
      <c r="C208" s="268">
        <f>B196+(B195*F208)</f>
        <v>5.7007973052805166E-3</v>
      </c>
      <c r="D208" s="340">
        <f t="shared" si="11"/>
        <v>3.3803694183781718E-3</v>
      </c>
      <c r="E208" s="6">
        <v>9</v>
      </c>
      <c r="F208" s="46">
        <v>128.69999999999999</v>
      </c>
      <c r="G208" s="61">
        <v>2.3204278869023449E-3</v>
      </c>
      <c r="H208" s="19">
        <f>F208-F228</f>
        <v>-6.5730769230769397</v>
      </c>
      <c r="I208" s="63">
        <f>G208-G228</f>
        <v>-5.4248842237354551E-3</v>
      </c>
      <c r="J208" s="19">
        <f t="shared" si="12"/>
        <v>3.565818130139968E-2</v>
      </c>
      <c r="K208" s="20"/>
      <c r="L208" s="20">
        <f t="shared" si="13"/>
        <v>43.20534023668661</v>
      </c>
      <c r="M208" s="38">
        <f t="shared" si="13"/>
        <v>2.9429368840933831E-5</v>
      </c>
      <c r="N208" s="21"/>
      <c r="Q208" s="75"/>
      <c r="R208" s="76"/>
      <c r="S208" s="41"/>
      <c r="T208" s="41"/>
      <c r="U208" s="41"/>
      <c r="V208" s="58"/>
      <c r="W208" s="58"/>
      <c r="X208" s="77"/>
      <c r="Y208" s="74"/>
      <c r="Z208" s="58"/>
    </row>
    <row r="209" spans="1:26">
      <c r="A209" s="112" t="s">
        <v>75</v>
      </c>
      <c r="C209" s="268">
        <f>B196+(B195*F209)</f>
        <v>7.8781038855907926E-3</v>
      </c>
      <c r="D209" s="340">
        <f t="shared" si="11"/>
        <v>-6.5847060317645797E-3</v>
      </c>
      <c r="E209" s="6">
        <v>10</v>
      </c>
      <c r="F209" s="46">
        <v>135.69999999999999</v>
      </c>
      <c r="G209" s="61">
        <v>1.4462809917355372E-2</v>
      </c>
      <c r="H209" s="19">
        <f>F209-F228</f>
        <v>0.42692307692306031</v>
      </c>
      <c r="I209" s="63">
        <f>G209-G228</f>
        <v>6.7174978067175723E-3</v>
      </c>
      <c r="J209" s="19">
        <f t="shared" si="12"/>
        <v>2.8678548328677752E-3</v>
      </c>
      <c r="K209" s="20"/>
      <c r="L209" s="20">
        <f t="shared" si="13"/>
        <v>0.18226331360945328</v>
      </c>
      <c r="M209" s="38">
        <f t="shared" si="13"/>
        <v>4.5124776783255391E-5</v>
      </c>
      <c r="N209" s="21"/>
      <c r="Q209" s="75"/>
      <c r="R209" s="76"/>
      <c r="S209" s="41"/>
      <c r="T209" s="41"/>
      <c r="U209" s="41"/>
      <c r="V209" s="58"/>
      <c r="W209" s="58"/>
      <c r="X209" s="77"/>
      <c r="Y209" s="74"/>
      <c r="Z209" s="58"/>
    </row>
    <row r="210" spans="1:26">
      <c r="A210" s="112" t="s">
        <v>76</v>
      </c>
      <c r="C210" s="268">
        <f>B196+(B195*F210)</f>
        <v>3.9278476613135785E-3</v>
      </c>
      <c r="D210" s="340">
        <f t="shared" si="11"/>
        <v>-2.5543173818108255E-3</v>
      </c>
      <c r="E210" s="6">
        <v>11</v>
      </c>
      <c r="F210" s="46">
        <v>123</v>
      </c>
      <c r="G210" s="61">
        <v>6.482165043124404E-3</v>
      </c>
      <c r="H210" s="19">
        <f>F210-F228</f>
        <v>-12.273076923076928</v>
      </c>
      <c r="I210" s="63">
        <f>G210-G228</f>
        <v>-1.263147067513396E-3</v>
      </c>
      <c r="J210" s="19">
        <f t="shared" si="12"/>
        <v>1.5502701124750955E-2</v>
      </c>
      <c r="K210" s="20"/>
      <c r="L210" s="20">
        <f t="shared" si="13"/>
        <v>150.62841715976344</v>
      </c>
      <c r="M210" s="38">
        <f t="shared" si="13"/>
        <v>1.5955405141676918E-6</v>
      </c>
      <c r="N210" s="21"/>
      <c r="Q210" s="75"/>
      <c r="R210" s="76"/>
      <c r="S210" s="41"/>
      <c r="T210" s="41"/>
      <c r="U210" s="41"/>
      <c r="V210" s="58"/>
      <c r="W210" s="58"/>
      <c r="X210" s="77"/>
      <c r="Y210" s="74"/>
      <c r="Z210" s="58"/>
    </row>
    <row r="211" spans="1:26" ht="14.25" customHeight="1">
      <c r="A211" s="112" t="s">
        <v>77</v>
      </c>
      <c r="C211" s="268">
        <f>B196+(B195*F211)</f>
        <v>3.46128196553281E-3</v>
      </c>
      <c r="D211" s="340">
        <f t="shared" si="11"/>
        <v>-6.0421715972915242E-4</v>
      </c>
      <c r="E211" s="6">
        <v>12</v>
      </c>
      <c r="F211" s="46">
        <v>121.5</v>
      </c>
      <c r="G211" s="61">
        <v>4.0654991252619625E-3</v>
      </c>
      <c r="H211" s="19">
        <f>F211-F228</f>
        <v>-13.773076923076928</v>
      </c>
      <c r="I211" s="63">
        <f>G211-G228</f>
        <v>-3.6798129853758375E-3</v>
      </c>
      <c r="J211" s="19">
        <f t="shared" si="12"/>
        <v>5.0682347310118767E-2</v>
      </c>
      <c r="K211" s="20"/>
      <c r="L211" s="20">
        <f t="shared" si="13"/>
        <v>189.69764792899423</v>
      </c>
      <c r="M211" s="38">
        <f t="shared" si="13"/>
        <v>1.3541023607340634E-5</v>
      </c>
      <c r="N211" s="21"/>
      <c r="Y211" s="74"/>
      <c r="Z211" s="58"/>
    </row>
    <row r="212" spans="1:26">
      <c r="A212" s="112" t="s">
        <v>78</v>
      </c>
      <c r="C212" s="268">
        <f>B196+(B195*F212)</f>
        <v>5.1409184703435917E-3</v>
      </c>
      <c r="D212" s="340">
        <f t="shared" si="11"/>
        <v>5.1409184703435917E-3</v>
      </c>
      <c r="E212" s="6">
        <v>13</v>
      </c>
      <c r="F212" s="46">
        <v>126.9</v>
      </c>
      <c r="G212" s="61">
        <v>0</v>
      </c>
      <c r="H212" s="19">
        <f>F212-F228</f>
        <v>-8.3730769230769226</v>
      </c>
      <c r="I212" s="63">
        <f>G212-G228</f>
        <v>-7.7453121106378E-3</v>
      </c>
      <c r="J212" s="19">
        <f t="shared" si="12"/>
        <v>6.4852094095609575E-2</v>
      </c>
      <c r="K212" s="20"/>
      <c r="L212" s="20">
        <f t="shared" si="13"/>
        <v>70.108417159763306</v>
      </c>
      <c r="M212" s="38">
        <f t="shared" si="13"/>
        <v>5.9989859691192574E-5</v>
      </c>
      <c r="N212" s="21"/>
      <c r="Y212" s="74"/>
      <c r="Z212" s="58"/>
    </row>
    <row r="213" spans="1:26">
      <c r="A213" s="112" t="s">
        <v>62</v>
      </c>
      <c r="C213" s="268">
        <f>B196+(B195*F213)</f>
        <v>1.002430608618235E-2</v>
      </c>
      <c r="D213" s="340">
        <f t="shared" si="11"/>
        <v>5.7181623744125033E-3</v>
      </c>
      <c r="E213" s="6">
        <v>14</v>
      </c>
      <c r="F213" s="47">
        <v>142.6</v>
      </c>
      <c r="G213" s="62">
        <v>4.3061437117698463E-3</v>
      </c>
      <c r="H213" s="19">
        <f>F213-F228</f>
        <v>7.326923076923066</v>
      </c>
      <c r="I213" s="63">
        <f>G213-G228</f>
        <v>-3.4391683988679537E-3</v>
      </c>
      <c r="J213" s="19">
        <f t="shared" si="12"/>
        <v>-2.519852230709016E-2</v>
      </c>
      <c r="K213" s="20"/>
      <c r="L213" s="20">
        <f t="shared" si="13"/>
        <v>53.683801775147771</v>
      </c>
      <c r="M213" s="38">
        <f t="shared" si="13"/>
        <v>1.1827879275771964E-5</v>
      </c>
      <c r="N213" s="21"/>
      <c r="Y213" s="74"/>
      <c r="Z213" s="58"/>
    </row>
    <row r="214" spans="1:26" ht="14.25" customHeight="1">
      <c r="A214" s="112" t="s">
        <v>63</v>
      </c>
      <c r="C214" s="268">
        <f>B196+(B195*F214)</f>
        <v>1.3570205374116226E-2</v>
      </c>
      <c r="D214" s="340">
        <f t="shared" si="11"/>
        <v>3.1916949956058479E-3</v>
      </c>
      <c r="E214" s="6">
        <v>15</v>
      </c>
      <c r="F214" s="47">
        <v>154</v>
      </c>
      <c r="G214" s="62">
        <v>1.0378510378510378E-2</v>
      </c>
      <c r="H214" s="19">
        <f>F214-F228</f>
        <v>18.726923076923072</v>
      </c>
      <c r="I214" s="63">
        <f>G214-G228</f>
        <v>2.6331982678725781E-3</v>
      </c>
      <c r="J214" s="19">
        <f t="shared" si="12"/>
        <v>4.9311701408736842E-2</v>
      </c>
      <c r="K214" s="20"/>
      <c r="L214" s="20">
        <f t="shared" si="13"/>
        <v>350.69764792899389</v>
      </c>
      <c r="M214" s="38">
        <f t="shared" si="13"/>
        <v>6.9337331179271453E-6</v>
      </c>
      <c r="N214" s="21"/>
      <c r="P214" s="271" t="s">
        <v>51</v>
      </c>
      <c r="Q214" s="272"/>
      <c r="R214" s="272"/>
      <c r="S214" s="272"/>
      <c r="T214" s="272"/>
      <c r="U214" s="272"/>
      <c r="V214" s="272"/>
      <c r="W214" s="272"/>
      <c r="X214" s="273"/>
      <c r="Y214" s="74"/>
      <c r="Z214" s="58"/>
    </row>
    <row r="215" spans="1:26">
      <c r="A215" s="112" t="s">
        <v>64</v>
      </c>
      <c r="C215" s="268">
        <f>B196+(B195*F215)</f>
        <v>8.5935046191213116E-3</v>
      </c>
      <c r="D215" s="340">
        <f t="shared" si="11"/>
        <v>8.6818273070929462E-4</v>
      </c>
      <c r="E215" s="6">
        <v>16</v>
      </c>
      <c r="F215" s="47">
        <v>138</v>
      </c>
      <c r="G215" s="62">
        <v>7.725321888412017E-3</v>
      </c>
      <c r="H215" s="19">
        <f>F215-F228</f>
        <v>2.7269230769230717</v>
      </c>
      <c r="I215" s="63">
        <f>G215-G228</f>
        <v>-1.9990222225783026E-5</v>
      </c>
      <c r="J215" s="19">
        <f t="shared" si="12"/>
        <v>-5.4511798300308223E-5</v>
      </c>
      <c r="K215" s="20"/>
      <c r="L215" s="20">
        <f t="shared" si="13"/>
        <v>7.4361094674555925</v>
      </c>
      <c r="M215" s="38">
        <f t="shared" si="13"/>
        <v>3.9960898463618969E-10</v>
      </c>
      <c r="N215" s="21"/>
      <c r="P215" s="274"/>
      <c r="Q215" s="275"/>
      <c r="R215" s="275"/>
      <c r="S215" s="275"/>
      <c r="T215" s="275"/>
      <c r="U215" s="275"/>
      <c r="V215" s="275"/>
      <c r="W215" s="275"/>
      <c r="X215" s="276"/>
      <c r="Y215" s="74"/>
      <c r="Z215" s="58"/>
    </row>
    <row r="216" spans="1:26" ht="14.25" customHeight="1">
      <c r="A216" s="129" t="s">
        <v>65</v>
      </c>
      <c r="C216" s="268">
        <f>B196+(B195*F216)</f>
        <v>8.2824608219341303E-3</v>
      </c>
      <c r="D216" s="340">
        <f t="shared" si="11"/>
        <v>-2.4171276554321251E-3</v>
      </c>
      <c r="E216" s="6">
        <v>17</v>
      </c>
      <c r="F216" s="47">
        <v>137</v>
      </c>
      <c r="G216" s="62">
        <v>1.0699588477366255E-2</v>
      </c>
      <c r="H216" s="19">
        <f>F216-F228</f>
        <v>1.7269230769230717</v>
      </c>
      <c r="I216" s="63">
        <f>G216-G228</f>
        <v>2.9542763667284554E-3</v>
      </c>
      <c r="J216" s="19">
        <f t="shared" si="12"/>
        <v>5.1018080333118171E-3</v>
      </c>
      <c r="K216" s="20"/>
      <c r="L216" s="20">
        <f t="shared" si="13"/>
        <v>2.9822633136094492</v>
      </c>
      <c r="M216" s="38">
        <f t="shared" si="13"/>
        <v>8.7277488510102827E-6</v>
      </c>
      <c r="N216" s="21"/>
      <c r="P216" s="274"/>
      <c r="Q216" s="275"/>
      <c r="R216" s="275"/>
      <c r="S216" s="275"/>
      <c r="T216" s="275"/>
      <c r="U216" s="275"/>
      <c r="V216" s="275"/>
      <c r="W216" s="275"/>
      <c r="X216" s="276"/>
      <c r="Y216" s="74"/>
      <c r="Z216" s="58"/>
    </row>
    <row r="217" spans="1:26">
      <c r="A217" s="112" t="s">
        <v>69</v>
      </c>
      <c r="C217" s="268">
        <f>B196+(B195*F217)</f>
        <v>1.0957437477743893E-2</v>
      </c>
      <c r="D217" s="340">
        <f t="shared" si="11"/>
        <v>-1.4863686495782992E-4</v>
      </c>
      <c r="E217" s="6">
        <v>18</v>
      </c>
      <c r="F217" s="47">
        <v>145.6</v>
      </c>
      <c r="G217" s="62">
        <v>1.1106074342701723E-2</v>
      </c>
      <c r="H217" s="19">
        <f>F217-F228</f>
        <v>10.326923076923066</v>
      </c>
      <c r="I217" s="63">
        <f>G217-G228</f>
        <v>3.3607622320639234E-3</v>
      </c>
      <c r="J217" s="19">
        <f t="shared" si="12"/>
        <v>3.4706333050352402E-2</v>
      </c>
      <c r="K217" s="20"/>
      <c r="L217" s="20">
        <f t="shared" si="13"/>
        <v>106.64534023668617</v>
      </c>
      <c r="M217" s="38">
        <f t="shared" si="13"/>
        <v>1.1294722780467285E-5</v>
      </c>
      <c r="N217" s="21"/>
      <c r="P217" s="277"/>
      <c r="Q217" s="278"/>
      <c r="R217" s="278"/>
      <c r="S217" s="278"/>
      <c r="T217" s="278"/>
      <c r="U217" s="278"/>
      <c r="V217" s="278"/>
      <c r="W217" s="278"/>
      <c r="X217" s="279"/>
      <c r="Y217" s="74"/>
      <c r="Z217" s="58"/>
    </row>
    <row r="218" spans="1:26">
      <c r="A218" s="112" t="s">
        <v>71</v>
      </c>
      <c r="C218" s="268">
        <f>B196+(B195*F218)</f>
        <v>7.1938075317789923E-3</v>
      </c>
      <c r="D218" s="340">
        <f t="shared" si="11"/>
        <v>2.2582834239871464E-3</v>
      </c>
      <c r="E218" s="6">
        <v>19</v>
      </c>
      <c r="F218" s="47">
        <v>133.5</v>
      </c>
      <c r="G218" s="62">
        <v>4.9355241077918459E-3</v>
      </c>
      <c r="H218" s="19">
        <f>F218-F228</f>
        <v>-1.7730769230769283</v>
      </c>
      <c r="I218" s="63">
        <f>G218-G228</f>
        <v>-2.8097880028459541E-3</v>
      </c>
      <c r="J218" s="19">
        <f t="shared" si="12"/>
        <v>4.9819702665845718E-3</v>
      </c>
      <c r="K218" s="20"/>
      <c r="L218" s="20">
        <f t="shared" si="13"/>
        <v>3.1438017751479475</v>
      </c>
      <c r="M218" s="38">
        <f t="shared" si="13"/>
        <v>7.8949086209370547E-6</v>
      </c>
      <c r="N218" s="21"/>
      <c r="Q218" s="41"/>
      <c r="R218" s="80"/>
      <c r="S218" s="41"/>
      <c r="T218" s="41"/>
      <c r="U218" s="41"/>
      <c r="V218" s="58"/>
      <c r="W218" s="58"/>
      <c r="X218" s="77"/>
      <c r="Y218" s="74"/>
      <c r="Z218" s="58"/>
    </row>
    <row r="219" spans="1:26">
      <c r="A219" s="112" t="s">
        <v>72</v>
      </c>
      <c r="C219" s="268">
        <f>B196+(B195*F219)</f>
        <v>9.8376798078700436E-3</v>
      </c>
      <c r="D219" s="340">
        <f t="shared" si="11"/>
        <v>6.4402049810350888E-3</v>
      </c>
      <c r="E219" s="6">
        <v>20</v>
      </c>
      <c r="F219" s="47">
        <v>142</v>
      </c>
      <c r="G219" s="62">
        <v>3.3974748268349548E-3</v>
      </c>
      <c r="H219" s="19">
        <f>F219-F228</f>
        <v>6.7269230769230717</v>
      </c>
      <c r="I219" s="63">
        <f>G219-G228</f>
        <v>-4.3478372838028452E-3</v>
      </c>
      <c r="J219" s="19">
        <f t="shared" si="12"/>
        <v>-2.9247566959119887E-2</v>
      </c>
      <c r="K219" s="20"/>
      <c r="L219" s="20">
        <f t="shared" si="13"/>
        <v>45.251494082840168</v>
      </c>
      <c r="M219" s="38">
        <f t="shared" si="13"/>
        <v>1.8903689046426103E-5</v>
      </c>
      <c r="N219" s="21"/>
      <c r="P219" s="107"/>
      <c r="Q219" s="107"/>
      <c r="R219" s="107"/>
      <c r="S219" s="107"/>
      <c r="T219" s="107"/>
      <c r="U219" s="107"/>
      <c r="V219" s="107"/>
      <c r="W219" s="107"/>
      <c r="X219" s="107"/>
      <c r="Y219" s="74"/>
      <c r="Z219" s="58"/>
    </row>
    <row r="220" spans="1:26">
      <c r="A220" s="112" t="s">
        <v>73</v>
      </c>
      <c r="C220" s="268">
        <f>B196+(B195*F220)</f>
        <v>9.5266360106828554E-3</v>
      </c>
      <c r="D220" s="340">
        <f t="shared" si="11"/>
        <v>-7.9222207883544483E-3</v>
      </c>
      <c r="E220" s="6">
        <v>21</v>
      </c>
      <c r="F220" s="47">
        <v>141</v>
      </c>
      <c r="G220" s="62">
        <v>1.7448856799037304E-2</v>
      </c>
      <c r="H220" s="19">
        <f>F220-F228</f>
        <v>5.7269230769230717</v>
      </c>
      <c r="I220" s="63">
        <f>G220-G228</f>
        <v>9.7035446883995038E-3</v>
      </c>
      <c r="J220" s="19">
        <f t="shared" si="12"/>
        <v>5.5571454003949416E-2</v>
      </c>
      <c r="K220" s="20"/>
      <c r="L220" s="20">
        <f t="shared" si="13"/>
        <v>32.797647928994024</v>
      </c>
      <c r="M220" s="38">
        <f t="shared" si="13"/>
        <v>9.4158779519766216E-5</v>
      </c>
      <c r="N220" s="21"/>
      <c r="P220" s="107"/>
      <c r="Q220" s="107"/>
      <c r="R220" s="107"/>
      <c r="S220" s="107"/>
      <c r="T220" s="107"/>
      <c r="U220" s="107"/>
      <c r="V220" s="107"/>
      <c r="W220" s="107"/>
      <c r="X220" s="107"/>
      <c r="Y220" s="74"/>
      <c r="Z220" s="58"/>
    </row>
    <row r="221" spans="1:26">
      <c r="A221" s="112" t="s">
        <v>74</v>
      </c>
      <c r="C221" s="268">
        <f>B196+(B195*F221)</f>
        <v>6.2295717604987297E-3</v>
      </c>
      <c r="D221" s="340">
        <f t="shared" si="11"/>
        <v>4.3732294509768541E-3</v>
      </c>
      <c r="E221" s="6">
        <v>22</v>
      </c>
      <c r="F221" s="47">
        <v>130.4</v>
      </c>
      <c r="G221" s="62">
        <v>1.8563423095218758E-3</v>
      </c>
      <c r="H221" s="19">
        <f>F221-F228</f>
        <v>-4.8730769230769226</v>
      </c>
      <c r="I221" s="63">
        <f>G221-G228</f>
        <v>-5.8889698011159244E-3</v>
      </c>
      <c r="J221" s="19">
        <f t="shared" si="12"/>
        <v>2.8697402838514907E-2</v>
      </c>
      <c r="K221" s="20"/>
      <c r="L221" s="20">
        <f t="shared" si="13"/>
        <v>23.746878698224847</v>
      </c>
      <c r="M221" s="38">
        <f t="shared" si="13"/>
        <v>3.4679965318455329E-5</v>
      </c>
      <c r="N221" s="21"/>
      <c r="P221" s="107"/>
      <c r="Q221" s="107"/>
      <c r="R221" s="107"/>
      <c r="S221" s="107"/>
      <c r="T221" s="107"/>
      <c r="U221" s="107"/>
      <c r="V221" s="107"/>
      <c r="W221" s="107"/>
      <c r="X221" s="107"/>
      <c r="Y221" s="74"/>
      <c r="Z221" s="58"/>
    </row>
    <row r="222" spans="1:26">
      <c r="A222" s="112" t="s">
        <v>75</v>
      </c>
      <c r="C222" s="268">
        <f>B196+(B195*F222)</f>
        <v>1.2232717046211337E-2</v>
      </c>
      <c r="D222" s="340">
        <f t="shared" si="11"/>
        <v>-1.2698030876226337E-2</v>
      </c>
      <c r="E222" s="6">
        <v>23</v>
      </c>
      <c r="F222" s="47">
        <v>149.69999999999999</v>
      </c>
      <c r="G222" s="62">
        <v>2.4930747922437674E-2</v>
      </c>
      <c r="H222" s="19">
        <f>F222-F228</f>
        <v>14.42692307692306</v>
      </c>
      <c r="I222" s="63">
        <f>G222-G228</f>
        <v>1.7185435811799876E-2</v>
      </c>
      <c r="J222" s="19">
        <f t="shared" si="12"/>
        <v>0.24793296050023561</v>
      </c>
      <c r="K222" s="20"/>
      <c r="L222" s="20">
        <f t="shared" si="13"/>
        <v>208.13610946745513</v>
      </c>
      <c r="M222" s="38">
        <f t="shared" si="13"/>
        <v>2.9533920404149365E-4</v>
      </c>
      <c r="N222" s="21"/>
      <c r="P222" s="107"/>
      <c r="Q222" s="107"/>
      <c r="R222" s="107"/>
      <c r="S222" s="107"/>
      <c r="T222" s="107"/>
      <c r="U222" s="107"/>
      <c r="V222" s="107"/>
      <c r="W222" s="107"/>
      <c r="X222" s="107"/>
      <c r="Y222" s="74"/>
      <c r="Z222" s="58"/>
    </row>
    <row r="223" spans="1:26">
      <c r="A223" s="112" t="s">
        <v>76</v>
      </c>
      <c r="C223" s="268">
        <f>B196+(B195*F223)</f>
        <v>8.2824608219341303E-3</v>
      </c>
      <c r="D223" s="340">
        <f t="shared" si="11"/>
        <v>1.8771087944622874E-3</v>
      </c>
      <c r="E223" s="6">
        <v>24</v>
      </c>
      <c r="F223" s="47">
        <v>137</v>
      </c>
      <c r="G223" s="62">
        <v>6.405352027471843E-3</v>
      </c>
      <c r="H223" s="19">
        <f>F223-F228</f>
        <v>1.7269230769230717</v>
      </c>
      <c r="I223" s="63">
        <f>G223-G228</f>
        <v>-1.339960083165957E-3</v>
      </c>
      <c r="J223" s="19">
        <f t="shared" si="12"/>
        <v>-2.3140079897750496E-3</v>
      </c>
      <c r="K223" s="20"/>
      <c r="L223" s="20">
        <f t="shared" si="13"/>
        <v>2.9822633136094492</v>
      </c>
      <c r="M223" s="38">
        <f t="shared" si="13"/>
        <v>1.7954930244781184E-6</v>
      </c>
      <c r="N223" s="21"/>
      <c r="Q223" s="26"/>
      <c r="R223" s="80"/>
      <c r="S223" s="41"/>
      <c r="T223" s="41"/>
      <c r="U223" s="41"/>
      <c r="V223" s="58"/>
      <c r="W223" s="58"/>
      <c r="X223" s="77"/>
      <c r="Y223" s="74"/>
      <c r="Z223" s="58"/>
    </row>
    <row r="224" spans="1:26">
      <c r="A224" s="112" t="s">
        <v>77</v>
      </c>
      <c r="C224" s="268">
        <f>B196+(B195*F224)</f>
        <v>7.5359557086848925E-3</v>
      </c>
      <c r="D224" s="340">
        <f t="shared" si="11"/>
        <v>2.9507768408572575E-3</v>
      </c>
      <c r="E224" s="6">
        <v>25</v>
      </c>
      <c r="F224" s="47">
        <v>134.6</v>
      </c>
      <c r="G224" s="62">
        <v>4.5851788678276349E-3</v>
      </c>
      <c r="H224" s="19">
        <f>F224-F228</f>
        <v>-0.67307692307693401</v>
      </c>
      <c r="I224" s="63">
        <f>G224-G228</f>
        <v>-3.1601332428101651E-3</v>
      </c>
      <c r="J224" s="19">
        <f t="shared" si="12"/>
        <v>2.1270127595837997E-3</v>
      </c>
      <c r="K224" s="20"/>
      <c r="L224" s="20">
        <f t="shared" si="13"/>
        <v>0.45303254437871293</v>
      </c>
      <c r="M224" s="38">
        <f t="shared" si="13"/>
        <v>9.9864421123138902E-6</v>
      </c>
      <c r="N224" s="21"/>
      <c r="Q224" s="41"/>
      <c r="R224" s="80"/>
      <c r="S224" s="41"/>
      <c r="T224" s="41"/>
      <c r="U224" s="41"/>
      <c r="V224" s="58"/>
      <c r="W224" s="58"/>
      <c r="X224" s="77"/>
      <c r="Y224" s="74"/>
      <c r="Z224" s="58"/>
    </row>
    <row r="225" spans="1:26">
      <c r="A225" s="112" t="s">
        <v>78</v>
      </c>
      <c r="C225" s="268">
        <f>B196+(B195*F225)</f>
        <v>5.8563192038741038E-3</v>
      </c>
      <c r="D225" s="340">
        <f t="shared" si="11"/>
        <v>-5.5505249025897749E-3</v>
      </c>
      <c r="E225" s="6">
        <v>26</v>
      </c>
      <c r="F225" s="47">
        <v>129.19999999999999</v>
      </c>
      <c r="G225" s="62">
        <v>1.1406844106463879E-2</v>
      </c>
      <c r="H225" s="19">
        <f>F225-F228</f>
        <v>-6.0730769230769397</v>
      </c>
      <c r="I225" s="63">
        <f>G225-G228</f>
        <v>3.6615319958260787E-3</v>
      </c>
      <c r="J225" s="19">
        <f t="shared" si="12"/>
        <v>-2.2236765466959209E-2</v>
      </c>
      <c r="K225" s="20"/>
      <c r="L225" s="20">
        <f t="shared" si="13"/>
        <v>36.88226331360967</v>
      </c>
      <c r="M225" s="38">
        <f t="shared" si="13"/>
        <v>1.3406816556458107E-5</v>
      </c>
      <c r="N225" s="21"/>
      <c r="Q225" s="41"/>
      <c r="R225" s="81"/>
      <c r="S225" s="41"/>
      <c r="T225" s="82"/>
      <c r="U225" s="41"/>
      <c r="V225" s="58"/>
      <c r="W225" s="58"/>
      <c r="X225" s="77"/>
      <c r="Y225" s="74"/>
      <c r="Z225" s="58"/>
    </row>
    <row r="226" spans="1:26" ht="12.75">
      <c r="C226" s="340"/>
      <c r="D226" s="340"/>
      <c r="E226" s="6"/>
      <c r="F226" s="91"/>
      <c r="G226" s="92"/>
      <c r="H226" s="65"/>
      <c r="J226" s="60"/>
      <c r="K226" s="6"/>
      <c r="L226" s="6"/>
      <c r="M226" s="18"/>
      <c r="N226" s="6"/>
      <c r="Q226" s="41"/>
      <c r="R226" s="83"/>
      <c r="S226" s="41"/>
      <c r="T226" s="41"/>
      <c r="U226" s="41"/>
      <c r="V226" s="58"/>
      <c r="W226" s="58"/>
      <c r="X226" s="77"/>
      <c r="Y226" s="74"/>
      <c r="Z226" s="58"/>
    </row>
    <row r="227" spans="1:26" ht="13.5" thickBot="1">
      <c r="B227" s="2" t="s">
        <v>16</v>
      </c>
      <c r="C227" s="340"/>
      <c r="D227" s="340"/>
      <c r="M227" s="18"/>
      <c r="N227" s="6"/>
      <c r="Q227" s="41"/>
      <c r="R227" s="41"/>
      <c r="S227" s="41"/>
      <c r="T227" s="41"/>
      <c r="U227" s="41"/>
      <c r="V227" s="58"/>
      <c r="W227" s="58"/>
      <c r="X227" s="77"/>
      <c r="Y227" s="74"/>
      <c r="Z227" s="58"/>
    </row>
    <row r="228" spans="1:26" ht="13.5" thickBot="1">
      <c r="B228" s="2" t="s">
        <v>0</v>
      </c>
      <c r="C228" s="340">
        <f>AVERAGE(C200:C225)</f>
        <v>7.7453121106378035E-3</v>
      </c>
      <c r="D228" s="340">
        <f>AVERAGE(D200:D225)</f>
        <v>2.6354452808109184E-18</v>
      </c>
      <c r="F228" s="18">
        <f>AVERAGE(F200:F225)</f>
        <v>135.27307692307693</v>
      </c>
      <c r="G228" s="64">
        <f>AVERAGE(G200:G225)</f>
        <v>7.7453121106378E-3</v>
      </c>
      <c r="H228" s="19">
        <f>AVERAGE(H200:H225)</f>
        <v>-7.6519986928010786E-15</v>
      </c>
      <c r="I228" s="19">
        <f>AVERAGE(I200:I225)</f>
        <v>9.6744193852552706E-19</v>
      </c>
      <c r="J228" s="59">
        <f>SUM(J200:J225)</f>
        <v>0.54004393088698988</v>
      </c>
      <c r="K228" s="27" t="s">
        <v>16</v>
      </c>
      <c r="L228" s="28">
        <f>SUM(L200:L225)</f>
        <v>1736.2311538461533</v>
      </c>
      <c r="M228" s="28">
        <f>SUM(M200:M225)</f>
        <v>8.2859562828348167E-4</v>
      </c>
      <c r="N228" s="28">
        <f>M228*L228</f>
        <v>1.4386335437665076</v>
      </c>
      <c r="Q228" s="41"/>
      <c r="R228" s="41"/>
      <c r="S228" s="41"/>
      <c r="T228" s="82"/>
      <c r="U228" s="84"/>
      <c r="V228" s="85"/>
      <c r="W228" s="86"/>
      <c r="X228" s="77"/>
      <c r="Y228" s="74"/>
      <c r="Z228" s="87"/>
    </row>
    <row r="229" spans="1:26" ht="15" thickBot="1">
      <c r="B229" s="15" t="s">
        <v>17</v>
      </c>
      <c r="C229" s="29">
        <f>STDEVA(C200:C225)</f>
        <v>2.5921212541930318E-3</v>
      </c>
      <c r="D229" s="119">
        <f>STDEVA(D200:D225)</f>
        <v>5.1404992495768364E-3</v>
      </c>
      <c r="E229" s="15"/>
      <c r="F229" s="30">
        <f>STDEVA(F200:F225)</f>
        <v>8.3336214309174217</v>
      </c>
      <c r="G229" s="29">
        <f>STDEVA(G200:G225)</f>
        <v>5.7570674072255981E-3</v>
      </c>
      <c r="H229" s="30">
        <f>STDEVA(H200:H225)</f>
        <v>8.3336214309174217</v>
      </c>
      <c r="I229" s="30">
        <f>STDEVA(I200:I225)</f>
        <v>5.7570674072255981E-3</v>
      </c>
      <c r="J229" s="31" t="s">
        <v>16</v>
      </c>
      <c r="K229" s="32"/>
      <c r="L229" s="33"/>
      <c r="M229" s="33"/>
      <c r="N229" s="34"/>
      <c r="Q229" s="41"/>
      <c r="R229" s="41"/>
      <c r="S229" s="41"/>
      <c r="T229" s="41"/>
      <c r="U229" s="84"/>
      <c r="V229" s="85"/>
      <c r="W229" s="85"/>
      <c r="X229" s="88"/>
      <c r="Y229" s="89"/>
      <c r="Z229" s="41"/>
    </row>
    <row r="230" spans="1:26" ht="15.75">
      <c r="B230" s="15" t="s">
        <v>18</v>
      </c>
      <c r="C230" s="35">
        <f>C229^2</f>
        <v>6.7190925964392565E-6</v>
      </c>
      <c r="D230" s="120">
        <f>D229^2</f>
        <v>2.6424732534900017E-5</v>
      </c>
      <c r="E230" s="15"/>
      <c r="F230" s="30">
        <f>F229^2</f>
        <v>69.449246153846133</v>
      </c>
      <c r="G230" s="35">
        <f>G229^2</f>
        <v>3.314382513133927E-5</v>
      </c>
      <c r="H230" s="30">
        <f>H229^2</f>
        <v>69.449246153846133</v>
      </c>
      <c r="I230" s="30">
        <f>I229^2</f>
        <v>3.314382513133927E-5</v>
      </c>
      <c r="J230" s="33"/>
      <c r="K230" s="27"/>
      <c r="L230" s="33"/>
      <c r="M230" s="33"/>
      <c r="N230" s="34"/>
      <c r="Q230" s="41"/>
      <c r="R230" s="41"/>
      <c r="S230" s="41"/>
      <c r="T230" s="41"/>
      <c r="U230" s="84"/>
      <c r="V230" s="85"/>
      <c r="W230" s="85"/>
      <c r="X230" s="41"/>
      <c r="Y230" s="41"/>
      <c r="Z230" s="41"/>
    </row>
    <row r="231" spans="1:26">
      <c r="B231" s="2" t="s">
        <v>19</v>
      </c>
      <c r="C231" s="30">
        <f>COUNT(C200:C225)</f>
        <v>26</v>
      </c>
      <c r="D231" s="30">
        <f>COUNT(D200:D225)</f>
        <v>26</v>
      </c>
      <c r="F231" s="30">
        <f>COUNT(F200:F225)</f>
        <v>26</v>
      </c>
      <c r="G231" s="30">
        <f>COUNT(G200:G225)</f>
        <v>26</v>
      </c>
      <c r="I231" s="27"/>
      <c r="J231" s="33"/>
      <c r="K231" s="27"/>
      <c r="L231" s="33"/>
      <c r="M231" s="33"/>
      <c r="N231" s="34"/>
      <c r="Q231" s="41"/>
      <c r="R231" s="41"/>
      <c r="S231" s="41"/>
      <c r="T231" s="41"/>
      <c r="U231" s="41"/>
      <c r="V231" s="41"/>
      <c r="W231" s="41"/>
      <c r="X231" s="41"/>
      <c r="Y231" s="41"/>
      <c r="Z231" s="41"/>
    </row>
    <row r="232" spans="1:26">
      <c r="B232" s="36" t="s">
        <v>20</v>
      </c>
      <c r="C232" s="37">
        <f>C228/C229</f>
        <v>2.9880207564013208</v>
      </c>
      <c r="D232" s="115">
        <f>D228/D229</f>
        <v>5.1268274789221432E-16</v>
      </c>
      <c r="E232" s="36"/>
      <c r="F232" s="37">
        <f>F228/F229</f>
        <v>16.232208055578205</v>
      </c>
      <c r="G232" s="37">
        <f>G228/G229</f>
        <v>1.3453572040717796</v>
      </c>
      <c r="I232" s="27"/>
      <c r="J232" s="36"/>
      <c r="Q232" s="41"/>
      <c r="R232" s="41"/>
      <c r="S232" s="41"/>
      <c r="T232" s="41"/>
      <c r="U232" s="41"/>
      <c r="V232" s="41"/>
      <c r="W232" s="41"/>
      <c r="X232" s="41"/>
      <c r="Y232" s="41"/>
      <c r="Z232" s="41"/>
    </row>
    <row r="233" spans="1:26">
      <c r="B233" s="36"/>
      <c r="C233" s="37"/>
      <c r="D233" s="36"/>
      <c r="E233" s="36"/>
      <c r="F233" s="37"/>
      <c r="G233" s="37"/>
      <c r="I233" s="27"/>
      <c r="J233" s="36"/>
      <c r="Q233" s="41"/>
      <c r="R233" s="41"/>
      <c r="S233" s="41"/>
      <c r="T233" s="41"/>
      <c r="U233" s="41"/>
      <c r="V233" s="41"/>
      <c r="W233" s="41"/>
      <c r="X233" s="41"/>
      <c r="Y233" s="41"/>
      <c r="Z233" s="41"/>
    </row>
    <row r="234" spans="1:26">
      <c r="B234" s="36"/>
      <c r="C234" s="37"/>
      <c r="D234" s="36"/>
      <c r="E234" s="36"/>
      <c r="F234" s="37"/>
      <c r="G234" s="48" t="s">
        <v>21</v>
      </c>
      <c r="I234" s="49" t="s">
        <v>22</v>
      </c>
      <c r="J234" s="36"/>
    </row>
    <row r="235" spans="1:26" ht="15.75">
      <c r="A235" s="2" t="s">
        <v>23</v>
      </c>
      <c r="C235" s="37"/>
      <c r="D235" s="36"/>
      <c r="E235" s="36"/>
      <c r="G235" s="24">
        <f>B197*(SQRT((C231-2)/(1-B198)))</f>
        <v>2.4703337617328813</v>
      </c>
      <c r="H235" s="40"/>
      <c r="I235" s="42">
        <f>TDIST(ABS(G235),8,2)</f>
        <v>3.8690312358113925E-2</v>
      </c>
      <c r="J235" s="50" t="s">
        <v>57</v>
      </c>
      <c r="N235" s="2"/>
      <c r="O235" s="41"/>
      <c r="P235" s="43"/>
    </row>
    <row r="236" spans="1:26" ht="15.75">
      <c r="A236" s="2" t="s">
        <v>24</v>
      </c>
      <c r="C236" s="37"/>
      <c r="D236" s="36"/>
      <c r="E236" s="36"/>
      <c r="G236" s="24">
        <f>B195/((G229/F229)*SQRT((1-B198)/(G231-2)))</f>
        <v>2.4703337617328813</v>
      </c>
      <c r="H236" s="36"/>
      <c r="I236" s="42">
        <f>TDIST(ABS(G236),8,2)</f>
        <v>3.8690312358113925E-2</v>
      </c>
      <c r="J236" s="36"/>
      <c r="K236" s="36"/>
      <c r="N236" s="2"/>
      <c r="O236" s="36"/>
      <c r="P236" s="43"/>
    </row>
    <row r="237" spans="1:26" ht="12.75">
      <c r="C237" s="37"/>
      <c r="D237" s="36"/>
      <c r="E237" s="36"/>
      <c r="J237" s="36"/>
      <c r="K237" s="36"/>
      <c r="N237" s="2"/>
      <c r="O237" s="36"/>
      <c r="P237" s="43"/>
    </row>
    <row r="238" spans="1:26" ht="15.75">
      <c r="A238" s="2" t="s">
        <v>25</v>
      </c>
      <c r="B238" s="37"/>
      <c r="D238" s="38"/>
      <c r="E238" s="56">
        <f>Q238*((G229/F229)*SQRT((1-B197^2)/(G231-2)))</f>
        <v>2.5986887098511835E-4</v>
      </c>
      <c r="F238" s="51" t="s">
        <v>26</v>
      </c>
      <c r="G238" s="98">
        <f>B195-E238</f>
        <v>5.1174926202063689E-5</v>
      </c>
      <c r="H238" s="51" t="s">
        <v>27</v>
      </c>
      <c r="I238" s="98">
        <f>B195+E238</f>
        <v>5.7091266817230039E-4</v>
      </c>
      <c r="K238" s="51" t="s">
        <v>28</v>
      </c>
      <c r="L238" s="52">
        <v>0.95</v>
      </c>
      <c r="M238" s="51" t="s">
        <v>29</v>
      </c>
      <c r="N238" s="53">
        <f>C231-2</f>
        <v>24</v>
      </c>
      <c r="P238" s="54" t="s">
        <v>30</v>
      </c>
      <c r="Q238" s="55">
        <f>TINV((1-L238),N238)</f>
        <v>2.0638985616280254</v>
      </c>
    </row>
    <row r="240" spans="1:26" ht="15">
      <c r="A240" s="177" t="s">
        <v>138</v>
      </c>
    </row>
    <row r="241" spans="1:11">
      <c r="A241" s="176" t="s">
        <v>139</v>
      </c>
    </row>
    <row r="243" spans="1:11" ht="15" thickBot="1">
      <c r="A243" s="306" t="s">
        <v>100</v>
      </c>
      <c r="B243" s="306"/>
      <c r="C243" s="306"/>
      <c r="D243" s="306"/>
      <c r="E243" s="306"/>
      <c r="F243" s="306"/>
      <c r="G243" s="306"/>
      <c r="H243" s="306"/>
      <c r="I243" s="306"/>
      <c r="J243" s="306"/>
      <c r="K243" s="306"/>
    </row>
    <row r="244" spans="1:11" ht="15" thickTop="1">
      <c r="A244" s="325" t="s">
        <v>85</v>
      </c>
      <c r="B244" s="327" t="s">
        <v>86</v>
      </c>
      <c r="C244" s="329" t="s">
        <v>87</v>
      </c>
      <c r="D244" s="329" t="s">
        <v>88</v>
      </c>
      <c r="E244" s="329" t="s">
        <v>89</v>
      </c>
      <c r="F244" s="329" t="s">
        <v>90</v>
      </c>
      <c r="G244" s="329"/>
      <c r="H244" s="329"/>
      <c r="I244" s="329"/>
      <c r="J244" s="329"/>
      <c r="K244" s="331" t="s">
        <v>91</v>
      </c>
    </row>
    <row r="245" spans="1:11" ht="37.5" thickBot="1">
      <c r="A245" s="326"/>
      <c r="B245" s="328"/>
      <c r="C245" s="330"/>
      <c r="D245" s="330"/>
      <c r="E245" s="330"/>
      <c r="F245" s="178" t="s">
        <v>92</v>
      </c>
      <c r="G245" s="178" t="s">
        <v>93</v>
      </c>
      <c r="H245" s="178" t="s">
        <v>94</v>
      </c>
      <c r="I245" s="178" t="s">
        <v>95</v>
      </c>
      <c r="J245" s="178" t="s">
        <v>96</v>
      </c>
      <c r="K245" s="332"/>
    </row>
    <row r="246" spans="1:11" ht="15.75" thickTop="1" thickBot="1">
      <c r="A246" s="179" t="s">
        <v>97</v>
      </c>
      <c r="B246" s="180" t="s">
        <v>141</v>
      </c>
      <c r="C246" s="181">
        <v>0.25511415326606846</v>
      </c>
      <c r="D246" s="181">
        <v>0.22125570568725339</v>
      </c>
      <c r="E246" s="182">
        <v>4.6983634126372539E-3</v>
      </c>
      <c r="F246" s="181">
        <v>0.25511415326606846</v>
      </c>
      <c r="G246" s="183">
        <v>7.5347268262142979</v>
      </c>
      <c r="H246" s="184">
        <v>1</v>
      </c>
      <c r="I246" s="184">
        <v>22</v>
      </c>
      <c r="J246" s="181">
        <v>1.18205501557004E-2</v>
      </c>
      <c r="K246" s="185">
        <v>2.4269991231813655</v>
      </c>
    </row>
    <row r="247" spans="1:11" ht="15" thickTop="1">
      <c r="A247" s="305" t="s">
        <v>98</v>
      </c>
      <c r="B247" s="305"/>
      <c r="C247" s="305"/>
      <c r="D247" s="305"/>
      <c r="E247" s="305"/>
      <c r="F247" s="305"/>
      <c r="G247" s="305"/>
      <c r="H247" s="305"/>
      <c r="I247" s="305"/>
      <c r="J247" s="305"/>
      <c r="K247" s="305"/>
    </row>
    <row r="248" spans="1:11">
      <c r="A248" s="305" t="s">
        <v>140</v>
      </c>
      <c r="B248" s="305"/>
      <c r="C248" s="305"/>
      <c r="D248" s="305"/>
      <c r="E248" s="305"/>
      <c r="F248" s="305"/>
      <c r="G248" s="305"/>
      <c r="H248" s="305"/>
      <c r="I248" s="305"/>
      <c r="J248" s="305"/>
      <c r="K248" s="305"/>
    </row>
    <row r="250" spans="1:11" ht="15" thickBot="1">
      <c r="A250" s="306" t="s">
        <v>112</v>
      </c>
      <c r="B250" s="306"/>
      <c r="C250" s="306"/>
      <c r="D250" s="306"/>
      <c r="E250" s="306"/>
      <c r="F250" s="306"/>
      <c r="G250" s="306"/>
    </row>
    <row r="251" spans="1:11" ht="26.25" thickTop="1" thickBot="1">
      <c r="A251" s="302" t="s">
        <v>85</v>
      </c>
      <c r="B251" s="303"/>
      <c r="C251" s="186" t="s">
        <v>102</v>
      </c>
      <c r="D251" s="187" t="s">
        <v>103</v>
      </c>
      <c r="E251" s="187" t="s">
        <v>104</v>
      </c>
      <c r="F251" s="187" t="s">
        <v>105</v>
      </c>
      <c r="G251" s="188" t="s">
        <v>106</v>
      </c>
    </row>
    <row r="252" spans="1:11" ht="15" thickTop="1">
      <c r="A252" s="333" t="s">
        <v>97</v>
      </c>
      <c r="B252" s="189" t="s">
        <v>107</v>
      </c>
      <c r="C252" s="190">
        <v>1.6632622212839134</v>
      </c>
      <c r="D252" s="191">
        <v>1</v>
      </c>
      <c r="E252" s="192">
        <v>1.6632622212839134</v>
      </c>
      <c r="F252" s="192">
        <v>7.5347268262142979</v>
      </c>
      <c r="G252" s="193" t="s">
        <v>143</v>
      </c>
    </row>
    <row r="253" spans="1:11">
      <c r="A253" s="334"/>
      <c r="B253" s="194" t="s">
        <v>108</v>
      </c>
      <c r="C253" s="195">
        <v>4.8564161265858452</v>
      </c>
      <c r="D253" s="196">
        <v>22</v>
      </c>
      <c r="E253" s="197">
        <v>0.22074618757208386</v>
      </c>
      <c r="F253" s="198"/>
      <c r="G253" s="199"/>
    </row>
    <row r="254" spans="1:11" ht="15" thickBot="1">
      <c r="A254" s="335"/>
      <c r="B254" s="200" t="s">
        <v>109</v>
      </c>
      <c r="C254" s="201">
        <v>6.5196783478697586</v>
      </c>
      <c r="D254" s="202">
        <v>23</v>
      </c>
      <c r="E254" s="203"/>
      <c r="F254" s="203"/>
      <c r="G254" s="204"/>
    </row>
    <row r="255" spans="1:11" ht="15" thickTop="1">
      <c r="A255" s="305" t="s">
        <v>142</v>
      </c>
      <c r="B255" s="305"/>
      <c r="C255" s="305"/>
      <c r="D255" s="305"/>
      <c r="E255" s="305"/>
      <c r="F255" s="305"/>
      <c r="G255" s="305"/>
    </row>
    <row r="256" spans="1:11">
      <c r="A256" s="305" t="s">
        <v>111</v>
      </c>
      <c r="B256" s="305"/>
      <c r="C256" s="305"/>
      <c r="D256" s="305"/>
      <c r="E256" s="305"/>
      <c r="F256" s="305"/>
      <c r="G256" s="305"/>
    </row>
    <row r="258" spans="1:9" ht="15" thickBot="1">
      <c r="A258" s="306" t="s">
        <v>125</v>
      </c>
      <c r="B258" s="306"/>
      <c r="C258" s="306"/>
      <c r="D258" s="306"/>
      <c r="E258" s="306"/>
      <c r="F258" s="306"/>
      <c r="G258" s="306"/>
      <c r="H258" s="306"/>
      <c r="I258" s="306"/>
    </row>
    <row r="259" spans="1:9" ht="37.5" thickTop="1">
      <c r="A259" s="336" t="s">
        <v>85</v>
      </c>
      <c r="B259" s="337"/>
      <c r="C259" s="327" t="s">
        <v>114</v>
      </c>
      <c r="D259" s="329"/>
      <c r="E259" s="205" t="s">
        <v>115</v>
      </c>
      <c r="F259" s="329" t="s">
        <v>116</v>
      </c>
      <c r="G259" s="329" t="s">
        <v>106</v>
      </c>
      <c r="H259" s="329" t="s">
        <v>117</v>
      </c>
      <c r="I259" s="331"/>
    </row>
    <row r="260" spans="1:9" ht="25.5" thickBot="1">
      <c r="A260" s="338"/>
      <c r="B260" s="339"/>
      <c r="C260" s="206" t="s">
        <v>118</v>
      </c>
      <c r="D260" s="178" t="s">
        <v>119</v>
      </c>
      <c r="E260" s="178" t="s">
        <v>120</v>
      </c>
      <c r="F260" s="330"/>
      <c r="G260" s="330"/>
      <c r="H260" s="178" t="s">
        <v>121</v>
      </c>
      <c r="I260" s="207" t="s">
        <v>122</v>
      </c>
    </row>
    <row r="261" spans="1:9" ht="15" thickTop="1">
      <c r="A261" s="333" t="s">
        <v>97</v>
      </c>
      <c r="B261" s="189" t="s">
        <v>123</v>
      </c>
      <c r="C261" s="190">
        <v>-3.5618122033798909</v>
      </c>
      <c r="D261" s="192">
        <v>1.5553806996566055</v>
      </c>
      <c r="E261" s="208"/>
      <c r="F261" s="192">
        <v>-2.2899938286274621</v>
      </c>
      <c r="G261" s="209">
        <v>3.1977505566503792E-2</v>
      </c>
      <c r="H261" s="192">
        <v>-6.7874743467352667</v>
      </c>
      <c r="I261" s="210">
        <v>-0.33615006002451508</v>
      </c>
    </row>
    <row r="262" spans="1:9" ht="36.75" thickBot="1">
      <c r="A262" s="335"/>
      <c r="B262" s="200" t="s">
        <v>124</v>
      </c>
      <c r="C262" s="211">
        <v>3.1505954966657534E-2</v>
      </c>
      <c r="D262" s="212">
        <v>1.1477806323255122E-2</v>
      </c>
      <c r="E262" s="212">
        <v>0.5050882628472656</v>
      </c>
      <c r="F262" s="213">
        <v>2.7449456872977103</v>
      </c>
      <c r="G262" s="212">
        <v>1.18205501557004E-2</v>
      </c>
      <c r="H262" s="212">
        <v>7.7024415542415285E-3</v>
      </c>
      <c r="I262" s="214">
        <v>5.5309468379073537E-2</v>
      </c>
    </row>
    <row r="263" spans="1:9" ht="15" thickTop="1">
      <c r="A263" s="305" t="s">
        <v>142</v>
      </c>
      <c r="B263" s="305"/>
      <c r="C263" s="305"/>
      <c r="D263" s="305"/>
      <c r="E263" s="305"/>
      <c r="F263" s="305"/>
      <c r="G263" s="305"/>
      <c r="H263" s="305"/>
      <c r="I263" s="305"/>
    </row>
    <row r="264" spans="1:9">
      <c r="A264" s="221"/>
      <c r="B264" s="221"/>
      <c r="C264" s="221"/>
      <c r="D264" s="221"/>
      <c r="E264" s="221"/>
      <c r="F264" s="221"/>
      <c r="G264" s="221"/>
      <c r="H264" s="221"/>
      <c r="I264" s="221"/>
    </row>
    <row r="265" spans="1:9" ht="15" thickBot="1">
      <c r="A265" s="306" t="s">
        <v>134</v>
      </c>
      <c r="B265" s="306"/>
      <c r="C265" s="306"/>
      <c r="D265" s="306"/>
      <c r="E265" s="306"/>
      <c r="F265" s="306"/>
      <c r="G265" s="306"/>
    </row>
    <row r="266" spans="1:9" ht="37.5" thickTop="1">
      <c r="A266" s="336" t="s">
        <v>85</v>
      </c>
      <c r="B266" s="337"/>
      <c r="C266" s="327" t="s">
        <v>126</v>
      </c>
      <c r="D266" s="329" t="s">
        <v>116</v>
      </c>
      <c r="E266" s="329" t="s">
        <v>106</v>
      </c>
      <c r="F266" s="329" t="s">
        <v>127</v>
      </c>
      <c r="G266" s="215" t="s">
        <v>128</v>
      </c>
    </row>
    <row r="267" spans="1:9" ht="15" thickBot="1">
      <c r="A267" s="338"/>
      <c r="B267" s="339"/>
      <c r="C267" s="328"/>
      <c r="D267" s="330"/>
      <c r="E267" s="330"/>
      <c r="F267" s="330"/>
      <c r="G267" s="207" t="s">
        <v>129</v>
      </c>
    </row>
    <row r="268" spans="1:9" ht="24.75" thickTop="1">
      <c r="A268" s="333" t="s">
        <v>97</v>
      </c>
      <c r="B268" s="189" t="s">
        <v>130</v>
      </c>
      <c r="C268" s="216" t="s">
        <v>144</v>
      </c>
      <c r="D268" s="209">
        <v>-1.9141691848761539E-2</v>
      </c>
      <c r="E268" s="209">
        <v>0.98490877914332275</v>
      </c>
      <c r="F268" s="209">
        <v>-4.1770231709543689E-3</v>
      </c>
      <c r="G268" s="210">
        <v>0.99774456793845934</v>
      </c>
    </row>
    <row r="269" spans="1:9">
      <c r="A269" s="334"/>
      <c r="B269" s="194" t="s">
        <v>131</v>
      </c>
      <c r="C269" s="217" t="s">
        <v>145</v>
      </c>
      <c r="D269" s="218">
        <v>1.8563012784646939</v>
      </c>
      <c r="E269" s="197">
        <v>7.7497434895775513E-2</v>
      </c>
      <c r="F269" s="197">
        <v>0.37544459204371405</v>
      </c>
      <c r="G269" s="219">
        <v>0.99461427863686791</v>
      </c>
    </row>
    <row r="270" spans="1:9" ht="36.75" thickBot="1">
      <c r="A270" s="335"/>
      <c r="B270" s="200" t="s">
        <v>132</v>
      </c>
      <c r="C270" s="220" t="s">
        <v>146</v>
      </c>
      <c r="D270" s="212">
        <v>0.37058961765114234</v>
      </c>
      <c r="E270" s="212">
        <v>0.71465504110298195</v>
      </c>
      <c r="F270" s="212">
        <v>8.0606138368162647E-2</v>
      </c>
      <c r="G270" s="214">
        <v>0.84748241516344791</v>
      </c>
    </row>
    <row r="271" spans="1:9" ht="15" thickTop="1">
      <c r="A271" s="305" t="s">
        <v>142</v>
      </c>
      <c r="B271" s="305"/>
      <c r="C271" s="305"/>
      <c r="D271" s="305"/>
      <c r="E271" s="305"/>
      <c r="F271" s="305"/>
      <c r="G271" s="305"/>
    </row>
    <row r="272" spans="1:9">
      <c r="A272" s="305" t="s">
        <v>133</v>
      </c>
      <c r="B272" s="305"/>
      <c r="C272" s="305"/>
      <c r="D272" s="305"/>
      <c r="E272" s="305"/>
      <c r="F272" s="305"/>
      <c r="G272" s="305"/>
    </row>
    <row r="275" spans="1:26">
      <c r="A275" s="16" t="s">
        <v>13</v>
      </c>
      <c r="B275" s="17">
        <f>J301/L301</f>
        <v>-8.0163900416565565E-5</v>
      </c>
      <c r="D275" s="94"/>
      <c r="E275" s="95"/>
      <c r="F275" s="93" t="str">
        <f>F280</f>
        <v>X = PAS alcanzada tras seguim</v>
      </c>
      <c r="G275" s="95"/>
      <c r="H275" s="15"/>
      <c r="I275" s="96" t="str">
        <f>G280</f>
        <v>Y = InsCard /año</v>
      </c>
      <c r="M275" s="4"/>
    </row>
    <row r="276" spans="1:26">
      <c r="A276" s="22" t="s">
        <v>14</v>
      </c>
      <c r="B276" s="23">
        <f>B278*G302/F302</f>
        <v>-8.0163900416565552E-5</v>
      </c>
      <c r="D276" s="97" t="s">
        <v>37</v>
      </c>
      <c r="E276" s="128">
        <v>-1</v>
      </c>
      <c r="F276" s="93" t="s">
        <v>33</v>
      </c>
      <c r="G276" s="15" t="s">
        <v>36</v>
      </c>
      <c r="H276" s="15"/>
      <c r="I276" s="96" t="s">
        <v>166</v>
      </c>
      <c r="J276" s="126">
        <f>E276*B276</f>
        <v>8.0163900416565552E-5</v>
      </c>
      <c r="K276" s="6" t="s">
        <v>35</v>
      </c>
      <c r="L276" s="126">
        <f>E276*G311</f>
        <v>4.4751456162746045E-4</v>
      </c>
      <c r="M276" s="6" t="s">
        <v>34</v>
      </c>
      <c r="N276" s="126">
        <f>E276*I311</f>
        <v>-2.8718676079432937E-4</v>
      </c>
    </row>
    <row r="277" spans="1:26">
      <c r="A277" s="16" t="s">
        <v>15</v>
      </c>
      <c r="B277" s="17">
        <f>G301-(F301*B275)</f>
        <v>1.6571992162761472E-2</v>
      </c>
      <c r="M277" s="4"/>
    </row>
    <row r="278" spans="1:26">
      <c r="A278" s="25" t="s">
        <v>31</v>
      </c>
      <c r="B278" s="24">
        <f>J301/SQRT(N301)</f>
        <v>-0.11488657699210991</v>
      </c>
      <c r="M278" s="4"/>
    </row>
    <row r="279" spans="1:26" ht="26.25" customHeight="1" thickBot="1">
      <c r="A279" s="108" t="s">
        <v>32</v>
      </c>
      <c r="B279" s="109">
        <f>B278^2</f>
        <v>1.3198925572963999E-2</v>
      </c>
      <c r="C279" s="110">
        <f>1-B279</f>
        <v>0.98680107442703602</v>
      </c>
      <c r="F279" s="7"/>
      <c r="G279" s="8"/>
      <c r="H279" s="269" t="s">
        <v>1</v>
      </c>
      <c r="I279" s="270"/>
      <c r="J279" s="9" t="s">
        <v>2</v>
      </c>
      <c r="K279" s="10"/>
      <c r="L279" s="9" t="s">
        <v>3</v>
      </c>
      <c r="M279" s="9" t="s">
        <v>4</v>
      </c>
      <c r="N279" s="9" t="s">
        <v>5</v>
      </c>
      <c r="Q279" s="41"/>
      <c r="R279" s="41"/>
      <c r="S279" s="41"/>
      <c r="T279" s="41"/>
      <c r="U279" s="43"/>
      <c r="V279" s="68"/>
      <c r="W279" s="68"/>
      <c r="X279" s="41"/>
      <c r="Y279" s="41"/>
      <c r="Z279" s="69"/>
    </row>
    <row r="280" spans="1:26" ht="37.5" customHeight="1" thickBot="1">
      <c r="A280" s="121" t="s">
        <v>45</v>
      </c>
      <c r="C280" s="11" t="s">
        <v>174</v>
      </c>
      <c r="D280" s="12" t="s">
        <v>6</v>
      </c>
      <c r="E280" s="12" t="s">
        <v>39</v>
      </c>
      <c r="F280" s="44" t="s">
        <v>190</v>
      </c>
      <c r="G280" s="45" t="s">
        <v>186</v>
      </c>
      <c r="H280" s="13" t="s">
        <v>7</v>
      </c>
      <c r="I280" s="14" t="s">
        <v>8</v>
      </c>
      <c r="J280" s="14" t="s">
        <v>9</v>
      </c>
      <c r="L280" s="14" t="s">
        <v>10</v>
      </c>
      <c r="M280" s="14" t="s">
        <v>11</v>
      </c>
      <c r="N280" s="14" t="s">
        <v>12</v>
      </c>
      <c r="Q280" s="41"/>
      <c r="R280" s="41"/>
      <c r="S280" s="70"/>
      <c r="T280" s="71"/>
      <c r="U280" s="41"/>
      <c r="V280" s="106"/>
      <c r="W280" s="106"/>
      <c r="X280" s="73"/>
      <c r="Y280" s="74"/>
      <c r="Z280" s="106"/>
    </row>
    <row r="281" spans="1:26">
      <c r="A281" s="112" t="s">
        <v>62</v>
      </c>
      <c r="C281" s="268">
        <f>B277+(B276*F281)</f>
        <v>5.3730952745672644E-3</v>
      </c>
      <c r="D281" s="340">
        <f t="shared" ref="D281:D298" si="14">C281-G281</f>
        <v>4.5746283310987238E-3</v>
      </c>
      <c r="E281" s="6">
        <v>1</v>
      </c>
      <c r="F281" s="46">
        <v>139.69999999999999</v>
      </c>
      <c r="G281" s="61">
        <v>7.9846694346854044E-4</v>
      </c>
      <c r="H281" s="19">
        <f>F281-F301</f>
        <v>5.8222222222222229</v>
      </c>
      <c r="I281" s="63">
        <f>G281-G301</f>
        <v>-5.0413603735240588E-3</v>
      </c>
      <c r="J281" s="19">
        <f t="shared" ref="J281:J298" si="15">H281*I281</f>
        <v>-2.93519203969623E-2</v>
      </c>
      <c r="K281" s="20"/>
      <c r="L281" s="20">
        <f t="shared" ref="L281:M298" si="16">H281^2</f>
        <v>33.89827160493828</v>
      </c>
      <c r="M281" s="38">
        <f t="shared" si="16"/>
        <v>2.541531441573864E-5</v>
      </c>
      <c r="N281" s="21"/>
      <c r="Q281" s="75"/>
      <c r="R281" s="76"/>
      <c r="S281" s="41"/>
      <c r="T281" s="41"/>
      <c r="U281" s="41"/>
      <c r="V281" s="58"/>
      <c r="W281" s="58"/>
      <c r="X281" s="77"/>
      <c r="Y281" s="74"/>
      <c r="Z281" s="58"/>
    </row>
    <row r="282" spans="1:26">
      <c r="A282" s="112" t="s">
        <v>64</v>
      </c>
      <c r="C282" s="268">
        <f>B277+(B276*F282)</f>
        <v>5.9903573077748195E-3</v>
      </c>
      <c r="D282" s="340">
        <f t="shared" si="14"/>
        <v>-1.6045794010859397E-3</v>
      </c>
      <c r="E282" s="6">
        <v>2</v>
      </c>
      <c r="F282" s="46">
        <v>132</v>
      </c>
      <c r="G282" s="61">
        <v>7.5949367088607592E-3</v>
      </c>
      <c r="H282" s="19">
        <f>F282-F301</f>
        <v>-1.8777777777777658</v>
      </c>
      <c r="I282" s="63">
        <f>G282-G301</f>
        <v>1.7551093918681598E-3</v>
      </c>
      <c r="J282" s="19">
        <f t="shared" si="15"/>
        <v>-3.295705413619079E-3</v>
      </c>
      <c r="K282" s="20"/>
      <c r="L282" s="20">
        <f t="shared" si="16"/>
        <v>3.5260493827160042</v>
      </c>
      <c r="M282" s="38">
        <f t="shared" si="16"/>
        <v>3.0804089774238219E-6</v>
      </c>
      <c r="N282" s="21"/>
      <c r="Q282" s="75"/>
      <c r="R282" s="76"/>
      <c r="S282" s="41"/>
      <c r="T282" s="41"/>
      <c r="U282" s="41"/>
      <c r="V282" s="58"/>
      <c r="W282" s="58"/>
      <c r="X282" s="77"/>
      <c r="Y282" s="74"/>
      <c r="Z282" s="58"/>
    </row>
    <row r="283" spans="1:26">
      <c r="A283" s="129" t="s">
        <v>65</v>
      </c>
      <c r="C283" s="268">
        <f>B277+(B276*F283)</f>
        <v>6.311012909441081E-3</v>
      </c>
      <c r="D283" s="340">
        <f t="shared" si="14"/>
        <v>-3.8155693690399319E-3</v>
      </c>
      <c r="E283" s="6">
        <v>3</v>
      </c>
      <c r="F283" s="46">
        <v>128</v>
      </c>
      <c r="G283" s="61">
        <v>1.0126582278481013E-2</v>
      </c>
      <c r="H283" s="19">
        <f>F283-F301</f>
        <v>-5.8777777777777658</v>
      </c>
      <c r="I283" s="63">
        <f>G283-G301</f>
        <v>4.2867549614884135E-3</v>
      </c>
      <c r="J283" s="19">
        <f t="shared" si="15"/>
        <v>-2.5196593051415177E-2</v>
      </c>
      <c r="K283" s="20"/>
      <c r="L283" s="20">
        <f t="shared" si="16"/>
        <v>34.54827160493813</v>
      </c>
      <c r="M283" s="38">
        <f t="shared" si="16"/>
        <v>1.8376268099845528E-5</v>
      </c>
      <c r="N283" s="21"/>
      <c r="Q283" s="75"/>
      <c r="R283" s="76"/>
      <c r="S283" s="41"/>
      <c r="T283" s="41"/>
      <c r="U283" s="41"/>
      <c r="V283" s="58"/>
      <c r="W283" s="58"/>
      <c r="X283" s="77"/>
      <c r="Y283" s="74"/>
      <c r="Z283" s="58"/>
    </row>
    <row r="284" spans="1:26">
      <c r="A284" s="112" t="s">
        <v>69</v>
      </c>
      <c r="C284" s="268">
        <f>B277+(B276*F284)</f>
        <v>5.6777180961502128E-3</v>
      </c>
      <c r="D284" s="340">
        <f t="shared" si="14"/>
        <v>3.8775380781484129E-3</v>
      </c>
      <c r="E284" s="6">
        <v>4</v>
      </c>
      <c r="F284" s="46">
        <v>135.9</v>
      </c>
      <c r="G284" s="61">
        <v>1.8001800180018001E-3</v>
      </c>
      <c r="H284" s="19">
        <f>F284-F301</f>
        <v>2.0222222222222399</v>
      </c>
      <c r="I284" s="63">
        <f>G284-G301</f>
        <v>-4.0396472989907995E-3</v>
      </c>
      <c r="J284" s="19">
        <f t="shared" si="15"/>
        <v>-8.1690645379592433E-3</v>
      </c>
      <c r="K284" s="20"/>
      <c r="L284" s="20">
        <f t="shared" si="16"/>
        <v>4.089382716049454</v>
      </c>
      <c r="M284" s="38">
        <f t="shared" si="16"/>
        <v>1.6318750300243663E-5</v>
      </c>
      <c r="N284" s="21"/>
      <c r="Q284" s="75"/>
      <c r="R284" s="76"/>
      <c r="S284" s="41"/>
      <c r="T284" s="41"/>
      <c r="U284" s="41"/>
      <c r="V284" s="58"/>
      <c r="W284" s="58"/>
      <c r="X284" s="77"/>
      <c r="Y284" s="74"/>
      <c r="Z284" s="58"/>
    </row>
    <row r="285" spans="1:26">
      <c r="A285" s="112" t="s">
        <v>70</v>
      </c>
      <c r="C285" s="268">
        <f>B277+(B276*F285)</f>
        <v>5.6697017061085563E-3</v>
      </c>
      <c r="D285" s="340">
        <f t="shared" si="14"/>
        <v>2.9767035014406926E-3</v>
      </c>
      <c r="E285" s="6">
        <v>5</v>
      </c>
      <c r="F285" s="46">
        <v>136</v>
      </c>
      <c r="G285" s="61">
        <v>2.6929982046678637E-3</v>
      </c>
      <c r="H285" s="19">
        <f>F285-F301</f>
        <v>2.1222222222222342</v>
      </c>
      <c r="I285" s="63">
        <f>G285-G301</f>
        <v>-3.1468291123247357E-3</v>
      </c>
      <c r="J285" s="19">
        <f t="shared" si="15"/>
        <v>-6.6782706717114218E-3</v>
      </c>
      <c r="K285" s="20"/>
      <c r="L285" s="20">
        <f t="shared" si="16"/>
        <v>4.503827160493878</v>
      </c>
      <c r="M285" s="38">
        <f t="shared" si="16"/>
        <v>9.9025334621744838E-6</v>
      </c>
      <c r="N285" s="21"/>
      <c r="Q285" s="75"/>
      <c r="R285" s="76"/>
      <c r="S285" s="41"/>
      <c r="T285" s="41"/>
      <c r="U285" s="41"/>
      <c r="V285" s="58"/>
      <c r="W285" s="58"/>
      <c r="X285" s="77"/>
      <c r="Y285" s="74"/>
      <c r="Z285" s="58"/>
    </row>
    <row r="286" spans="1:26">
      <c r="A286" s="112" t="s">
        <v>71</v>
      </c>
      <c r="C286" s="268">
        <f>B277+(B276*F286)</f>
        <v>6.912242162565323E-3</v>
      </c>
      <c r="D286" s="340">
        <f t="shared" si="14"/>
        <v>-5.6429232857993852E-4</v>
      </c>
      <c r="E286" s="6">
        <v>6</v>
      </c>
      <c r="F286" s="46">
        <v>120.5</v>
      </c>
      <c r="G286" s="61">
        <v>7.4765344911452616E-3</v>
      </c>
      <c r="H286" s="19">
        <f>F286-F301</f>
        <v>-13.377777777777766</v>
      </c>
      <c r="I286" s="63">
        <f>G286-G301</f>
        <v>1.6367071741526622E-3</v>
      </c>
      <c r="J286" s="19">
        <f t="shared" si="15"/>
        <v>-2.1895504863108928E-2</v>
      </c>
      <c r="K286" s="20"/>
      <c r="L286" s="20">
        <f t="shared" si="16"/>
        <v>178.96493827160461</v>
      </c>
      <c r="M286" s="38">
        <f t="shared" si="16"/>
        <v>2.6788103739227928E-6</v>
      </c>
      <c r="N286" s="21"/>
      <c r="Q286" s="75"/>
      <c r="R286" s="76"/>
      <c r="S286" s="41"/>
      <c r="T286" s="41"/>
      <c r="U286" s="41"/>
      <c r="V286" s="58"/>
      <c r="W286" s="58"/>
      <c r="X286" s="77"/>
      <c r="Y286" s="74"/>
      <c r="Z286" s="58"/>
    </row>
    <row r="287" spans="1:26">
      <c r="A287" s="112" t="s">
        <v>73</v>
      </c>
      <c r="C287" s="268">
        <f>B277+(B276*F287)</f>
        <v>6.1506851086079502E-3</v>
      </c>
      <c r="D287" s="340">
        <f t="shared" si="14"/>
        <v>-1.0515981558058716E-2</v>
      </c>
      <c r="E287" s="6">
        <v>7</v>
      </c>
      <c r="F287" s="46">
        <v>130</v>
      </c>
      <c r="G287" s="61">
        <v>1.6666666666666666E-2</v>
      </c>
      <c r="H287" s="19">
        <f>F287-F301</f>
        <v>-3.8777777777777658</v>
      </c>
      <c r="I287" s="63">
        <f>G287-G301</f>
        <v>1.0826839349674067E-2</v>
      </c>
      <c r="J287" s="19">
        <f t="shared" si="15"/>
        <v>-4.1984077033735974E-2</v>
      </c>
      <c r="K287" s="20"/>
      <c r="L287" s="20">
        <f t="shared" si="16"/>
        <v>15.037160493827068</v>
      </c>
      <c r="M287" s="38">
        <f t="shared" si="16"/>
        <v>1.1722045030365078E-4</v>
      </c>
      <c r="N287" s="21"/>
      <c r="Q287" s="75"/>
      <c r="R287" s="76"/>
      <c r="S287" s="41"/>
      <c r="T287" s="41"/>
      <c r="U287" s="41"/>
      <c r="V287" s="58"/>
      <c r="W287" s="58"/>
      <c r="X287" s="77"/>
      <c r="Y287" s="74"/>
      <c r="Z287" s="58"/>
    </row>
    <row r="288" spans="1:26">
      <c r="A288" s="112" t="s">
        <v>77</v>
      </c>
      <c r="C288" s="268">
        <f>B277+(B276*F288)</f>
        <v>6.8320782621487577E-3</v>
      </c>
      <c r="D288" s="340">
        <f t="shared" si="14"/>
        <v>2.7665791368867952E-3</v>
      </c>
      <c r="E288" s="6">
        <v>8</v>
      </c>
      <c r="F288" s="46">
        <v>121.5</v>
      </c>
      <c r="G288" s="61">
        <v>4.0654991252619625E-3</v>
      </c>
      <c r="H288" s="19">
        <f>F288-F301</f>
        <v>-12.377777777777766</v>
      </c>
      <c r="I288" s="63">
        <f>G288-G301</f>
        <v>-1.7743281917306369E-3</v>
      </c>
      <c r="J288" s="19">
        <f t="shared" si="15"/>
        <v>2.1962240062088086E-2</v>
      </c>
      <c r="K288" s="20"/>
      <c r="L288" s="20">
        <f t="shared" si="16"/>
        <v>153.20938271604908</v>
      </c>
      <c r="M288" s="38">
        <f t="shared" si="16"/>
        <v>3.1482405319701119E-6</v>
      </c>
      <c r="N288" s="21"/>
      <c r="Q288" s="75"/>
      <c r="R288" s="76"/>
      <c r="S288" s="41"/>
      <c r="T288" s="41"/>
      <c r="U288" s="41"/>
      <c r="V288" s="58"/>
      <c r="W288" s="58"/>
      <c r="X288" s="77"/>
      <c r="Y288" s="74"/>
      <c r="Z288" s="58"/>
    </row>
    <row r="289" spans="1:26">
      <c r="A289" s="112" t="s">
        <v>78</v>
      </c>
      <c r="C289" s="268">
        <f>B277+(B276*F289)</f>
        <v>6.3991931998993029E-3</v>
      </c>
      <c r="D289" s="340">
        <f t="shared" si="14"/>
        <v>6.3991931998993029E-3</v>
      </c>
      <c r="E289" s="6">
        <v>9</v>
      </c>
      <c r="F289" s="46">
        <v>126.9</v>
      </c>
      <c r="G289" s="61">
        <v>0</v>
      </c>
      <c r="H289" s="19">
        <f>F289-F301</f>
        <v>-6.9777777777777601</v>
      </c>
      <c r="I289" s="63">
        <f>G289-G301</f>
        <v>-5.8398273169925994E-3</v>
      </c>
      <c r="J289" s="19">
        <f t="shared" si="15"/>
        <v>4.0749017278570478E-2</v>
      </c>
      <c r="K289" s="20"/>
      <c r="L289" s="20">
        <f t="shared" si="16"/>
        <v>48.689382716049138</v>
      </c>
      <c r="M289" s="38">
        <f t="shared" si="16"/>
        <v>3.4103583092292984E-5</v>
      </c>
      <c r="N289" s="21"/>
      <c r="Q289" s="75"/>
      <c r="R289" s="76"/>
      <c r="S289" s="41"/>
      <c r="T289" s="41"/>
      <c r="U289" s="41"/>
      <c r="V289" s="58"/>
      <c r="W289" s="58"/>
      <c r="X289" s="77"/>
      <c r="Y289" s="74"/>
      <c r="Z289" s="58"/>
    </row>
    <row r="290" spans="1:26" ht="14.25" customHeight="1">
      <c r="A290" s="112" t="s">
        <v>62</v>
      </c>
      <c r="C290" s="268">
        <f>B277+(B276*F290)</f>
        <v>5.1406199633592248E-3</v>
      </c>
      <c r="D290" s="340">
        <f t="shared" si="14"/>
        <v>4.4054246954960807E-3</v>
      </c>
      <c r="E290" s="6">
        <v>10</v>
      </c>
      <c r="F290" s="46">
        <v>142.6</v>
      </c>
      <c r="G290" s="61">
        <v>7.3519526786314454E-4</v>
      </c>
      <c r="H290" s="19">
        <f>F290-F301</f>
        <v>8.7222222222222285</v>
      </c>
      <c r="I290" s="63">
        <f>G290-G301</f>
        <v>-5.1046320491294553E-3</v>
      </c>
      <c r="J290" s="19">
        <f t="shared" si="15"/>
        <v>-4.4523735095184723E-2</v>
      </c>
      <c r="K290" s="20"/>
      <c r="L290" s="20">
        <f t="shared" si="16"/>
        <v>76.077160493827265</v>
      </c>
      <c r="M290" s="38">
        <f t="shared" si="16"/>
        <v>2.6057268356999581E-5</v>
      </c>
      <c r="N290" s="21"/>
      <c r="Y290" s="74"/>
      <c r="Z290" s="58"/>
    </row>
    <row r="291" spans="1:26">
      <c r="A291" s="112" t="s">
        <v>64</v>
      </c>
      <c r="C291" s="268">
        <f>B277+(B276*F291)</f>
        <v>5.5093739052754255E-3</v>
      </c>
      <c r="D291" s="340">
        <f t="shared" si="14"/>
        <v>-2.2159479831365915E-3</v>
      </c>
      <c r="E291" s="6">
        <v>11</v>
      </c>
      <c r="F291" s="46">
        <v>138</v>
      </c>
      <c r="G291" s="61">
        <v>7.725321888412017E-3</v>
      </c>
      <c r="H291" s="19">
        <f>F291-F301</f>
        <v>4.1222222222222342</v>
      </c>
      <c r="I291" s="63">
        <f>G291-G301</f>
        <v>1.8854945714194176E-3</v>
      </c>
      <c r="J291" s="19">
        <f t="shared" si="15"/>
        <v>7.7724276221845107E-3</v>
      </c>
      <c r="K291" s="20"/>
      <c r="L291" s="20">
        <f t="shared" si="16"/>
        <v>16.992716049382814</v>
      </c>
      <c r="M291" s="38">
        <f t="shared" si="16"/>
        <v>3.5550897788520932E-6</v>
      </c>
      <c r="N291" s="21"/>
      <c r="Y291" s="74"/>
      <c r="Z291" s="58"/>
    </row>
    <row r="292" spans="1:26">
      <c r="A292" s="129" t="s">
        <v>65</v>
      </c>
      <c r="C292" s="268">
        <f>B277+(B276*F292)</f>
        <v>5.5895378056919909E-3</v>
      </c>
      <c r="D292" s="340">
        <f t="shared" si="14"/>
        <v>-3.4639601366948398E-3</v>
      </c>
      <c r="E292" s="6">
        <v>12</v>
      </c>
      <c r="F292" s="47">
        <v>137</v>
      </c>
      <c r="G292" s="62">
        <v>9.0534979423868307E-3</v>
      </c>
      <c r="H292" s="19">
        <f>F292-F301</f>
        <v>3.1222222222222342</v>
      </c>
      <c r="I292" s="63">
        <f>G292-G301</f>
        <v>3.2136706253942313E-3</v>
      </c>
      <c r="J292" s="19">
        <f t="shared" si="15"/>
        <v>1.0033793841508694E-2</v>
      </c>
      <c r="K292" s="20"/>
      <c r="L292" s="20">
        <f t="shared" si="16"/>
        <v>9.7482716049383473</v>
      </c>
      <c r="M292" s="38">
        <f t="shared" si="16"/>
        <v>1.032767888852175E-5</v>
      </c>
      <c r="N292" s="21"/>
      <c r="Y292" s="74"/>
      <c r="Z292" s="58"/>
    </row>
    <row r="293" spans="1:26">
      <c r="A293" s="112" t="s">
        <v>69</v>
      </c>
      <c r="C293" s="268">
        <f>B277+(B276*F293)</f>
        <v>4.9001282621095269E-3</v>
      </c>
      <c r="D293" s="340">
        <f t="shared" si="14"/>
        <v>3.313546213152138E-3</v>
      </c>
      <c r="E293" s="6">
        <v>13</v>
      </c>
      <c r="F293" s="47">
        <v>145.6</v>
      </c>
      <c r="G293" s="62">
        <v>1.5865820489573889E-3</v>
      </c>
      <c r="H293" s="19">
        <f>F293-F301</f>
        <v>11.722222222222229</v>
      </c>
      <c r="I293" s="63">
        <f>G293-G301</f>
        <v>-4.2532452680352105E-3</v>
      </c>
      <c r="J293" s="19">
        <f t="shared" si="15"/>
        <v>-4.9857486197523886E-2</v>
      </c>
      <c r="K293" s="20"/>
      <c r="L293" s="20">
        <f t="shared" si="16"/>
        <v>137.41049382716065</v>
      </c>
      <c r="M293" s="38">
        <f t="shared" si="16"/>
        <v>1.8090095310063909E-5</v>
      </c>
      <c r="N293" s="21"/>
      <c r="Q293" s="107"/>
      <c r="R293" s="107"/>
      <c r="S293" s="107"/>
      <c r="T293" s="107"/>
      <c r="U293" s="107"/>
      <c r="V293" s="107"/>
      <c r="W293" s="107"/>
      <c r="X293" s="107"/>
      <c r="Y293" s="74"/>
      <c r="Z293" s="58"/>
    </row>
    <row r="294" spans="1:26">
      <c r="A294" s="112" t="s">
        <v>70</v>
      </c>
      <c r="C294" s="268">
        <f>B277+(B276*F294)</f>
        <v>5.5254066853587368E-3</v>
      </c>
      <c r="D294" s="340">
        <f t="shared" si="14"/>
        <v>-8.0370723869189597E-4</v>
      </c>
      <c r="E294" s="6">
        <v>14</v>
      </c>
      <c r="F294" s="47">
        <v>137.80000000000001</v>
      </c>
      <c r="G294" s="62">
        <v>6.3291139240506328E-3</v>
      </c>
      <c r="H294" s="19">
        <f>F294-F301</f>
        <v>3.9222222222222456</v>
      </c>
      <c r="I294" s="63">
        <f>G294-G301</f>
        <v>4.8928660705803342E-4</v>
      </c>
      <c r="J294" s="19">
        <f t="shared" si="15"/>
        <v>1.9190908032387425E-3</v>
      </c>
      <c r="K294" s="20"/>
      <c r="L294" s="20">
        <f t="shared" si="16"/>
        <v>15.383827160494011</v>
      </c>
      <c r="M294" s="38">
        <f t="shared" si="16"/>
        <v>2.3940138384636239E-7</v>
      </c>
      <c r="N294" s="21"/>
      <c r="Q294" s="107"/>
      <c r="R294" s="107"/>
      <c r="S294" s="107"/>
      <c r="T294" s="107"/>
      <c r="U294" s="107"/>
      <c r="V294" s="107"/>
      <c r="W294" s="107"/>
      <c r="X294" s="107"/>
      <c r="Y294" s="74"/>
      <c r="Z294" s="58"/>
    </row>
    <row r="295" spans="1:26" ht="14.25" customHeight="1">
      <c r="A295" s="112" t="s">
        <v>71</v>
      </c>
      <c r="C295" s="268">
        <f>B277+(B276*F295)</f>
        <v>5.8701114571499697E-3</v>
      </c>
      <c r="D295" s="340">
        <f t="shared" si="14"/>
        <v>-2.2062007192366877E-3</v>
      </c>
      <c r="E295" s="6">
        <v>15</v>
      </c>
      <c r="F295" s="47">
        <v>133.5</v>
      </c>
      <c r="G295" s="62">
        <v>8.0763121763866574E-3</v>
      </c>
      <c r="H295" s="19">
        <f>F295-F301</f>
        <v>-0.37777777777776578</v>
      </c>
      <c r="I295" s="63">
        <f>G295-G301</f>
        <v>2.236484859394058E-3</v>
      </c>
      <c r="J295" s="19">
        <f t="shared" si="15"/>
        <v>-8.4489428021550619E-4</v>
      </c>
      <c r="K295" s="20"/>
      <c r="L295" s="20">
        <f t="shared" si="16"/>
        <v>0.14271604938270699</v>
      </c>
      <c r="M295" s="38">
        <f t="shared" si="16"/>
        <v>5.0018645262988593E-6</v>
      </c>
      <c r="N295" s="21"/>
      <c r="P295" s="271" t="s">
        <v>79</v>
      </c>
      <c r="Q295" s="272"/>
      <c r="R295" s="272"/>
      <c r="S295" s="272"/>
      <c r="T295" s="272"/>
      <c r="U295" s="272"/>
      <c r="V295" s="272"/>
      <c r="W295" s="272"/>
      <c r="X295" s="273"/>
      <c r="Y295" s="74"/>
      <c r="Z295" s="58"/>
    </row>
    <row r="296" spans="1:26">
      <c r="A296" s="112" t="s">
        <v>73</v>
      </c>
      <c r="C296" s="268">
        <f>B277+(B276*F296)</f>
        <v>5.2688822040257294E-3</v>
      </c>
      <c r="D296" s="340">
        <f t="shared" si="14"/>
        <v>-8.5698662917624777E-3</v>
      </c>
      <c r="E296" s="6">
        <v>16</v>
      </c>
      <c r="F296" s="47">
        <v>141</v>
      </c>
      <c r="G296" s="62">
        <v>1.3838748495788207E-2</v>
      </c>
      <c r="H296" s="19">
        <f>F296-F301</f>
        <v>7.1222222222222342</v>
      </c>
      <c r="I296" s="63">
        <f>G296-G301</f>
        <v>7.9989211787956076E-3</v>
      </c>
      <c r="J296" s="19">
        <f t="shared" si="15"/>
        <v>5.6970094173422144E-2</v>
      </c>
      <c r="K296" s="20"/>
      <c r="L296" s="20">
        <f t="shared" si="16"/>
        <v>50.726049382716219</v>
      </c>
      <c r="M296" s="38">
        <f t="shared" si="16"/>
        <v>6.3982740024584917E-5</v>
      </c>
      <c r="N296" s="21"/>
      <c r="P296" s="274"/>
      <c r="Q296" s="275"/>
      <c r="R296" s="275"/>
      <c r="S296" s="275"/>
      <c r="T296" s="275"/>
      <c r="U296" s="275"/>
      <c r="V296" s="275"/>
      <c r="W296" s="275"/>
      <c r="X296" s="276"/>
      <c r="Y296" s="74"/>
      <c r="Z296" s="58"/>
    </row>
    <row r="297" spans="1:26">
      <c r="A297" s="112" t="s">
        <v>77</v>
      </c>
      <c r="C297" s="268">
        <f>B277+(B276*F297)</f>
        <v>5.7819311666917495E-3</v>
      </c>
      <c r="D297" s="340">
        <f t="shared" si="14"/>
        <v>-7.6832435877629938E-4</v>
      </c>
      <c r="E297" s="6">
        <v>17</v>
      </c>
      <c r="F297" s="47">
        <v>134.6</v>
      </c>
      <c r="G297" s="62">
        <v>6.5502555254680489E-3</v>
      </c>
      <c r="H297" s="19">
        <f>F297-F301</f>
        <v>0.72222222222222854</v>
      </c>
      <c r="I297" s="63">
        <f>G297-G301</f>
        <v>7.104282084754495E-4</v>
      </c>
      <c r="J297" s="19">
        <f t="shared" si="15"/>
        <v>5.1308703945449584E-4</v>
      </c>
      <c r="K297" s="20"/>
      <c r="L297" s="20">
        <f t="shared" si="16"/>
        <v>0.52160493827161403</v>
      </c>
      <c r="M297" s="38">
        <f t="shared" si="16"/>
        <v>5.0470823939763669E-7</v>
      </c>
      <c r="N297" s="21"/>
      <c r="P297" s="274"/>
      <c r="Q297" s="275"/>
      <c r="R297" s="275"/>
      <c r="S297" s="275"/>
      <c r="T297" s="275"/>
      <c r="U297" s="275"/>
      <c r="V297" s="275"/>
      <c r="W297" s="275"/>
      <c r="X297" s="276"/>
      <c r="Y297" s="74"/>
      <c r="Z297" s="58"/>
    </row>
    <row r="298" spans="1:26">
      <c r="A298" s="112" t="s">
        <v>78</v>
      </c>
      <c r="C298" s="268">
        <f>B277+(B276*F298)</f>
        <v>6.2148162289412025E-3</v>
      </c>
      <c r="D298" s="340">
        <f t="shared" si="14"/>
        <v>6.2148162289412025E-3</v>
      </c>
      <c r="E298" s="6">
        <v>18</v>
      </c>
      <c r="F298" s="47">
        <v>129.19999999999999</v>
      </c>
      <c r="G298" s="62">
        <v>0</v>
      </c>
      <c r="H298" s="19">
        <f>F298-F301</f>
        <v>-4.6777777777777771</v>
      </c>
      <c r="I298" s="63">
        <f>G298-G301</f>
        <v>-5.8398273169925994E-3</v>
      </c>
      <c r="J298" s="19">
        <f t="shared" si="15"/>
        <v>2.7317414449487602E-2</v>
      </c>
      <c r="K298" s="20"/>
      <c r="L298" s="20">
        <f t="shared" si="16"/>
        <v>21.8816049382716</v>
      </c>
      <c r="M298" s="38">
        <f t="shared" si="16"/>
        <v>3.4103583092292984E-5</v>
      </c>
      <c r="N298" s="21"/>
      <c r="P298" s="277"/>
      <c r="Q298" s="278"/>
      <c r="R298" s="278"/>
      <c r="S298" s="278"/>
      <c r="T298" s="278"/>
      <c r="U298" s="278"/>
      <c r="V298" s="278"/>
      <c r="W298" s="278"/>
      <c r="X298" s="279"/>
      <c r="Y298" s="74"/>
      <c r="Z298" s="58"/>
    </row>
    <row r="299" spans="1:26" ht="12.75">
      <c r="C299" s="340"/>
      <c r="D299" s="340"/>
      <c r="E299" s="6"/>
      <c r="F299" s="91"/>
      <c r="G299" s="92"/>
      <c r="H299" s="65"/>
      <c r="J299" s="60"/>
      <c r="K299" s="6"/>
      <c r="L299" s="6"/>
      <c r="M299" s="18"/>
      <c r="N299" s="6"/>
      <c r="Q299" s="41"/>
      <c r="R299" s="83"/>
      <c r="S299" s="41"/>
      <c r="T299" s="41"/>
      <c r="U299" s="41"/>
      <c r="V299" s="58"/>
      <c r="W299" s="58"/>
      <c r="X299" s="77"/>
      <c r="Y299" s="74"/>
      <c r="Z299" s="58"/>
    </row>
    <row r="300" spans="1:26" ht="13.5" thickBot="1">
      <c r="B300" s="2" t="s">
        <v>16</v>
      </c>
      <c r="C300" s="340"/>
      <c r="D300" s="340"/>
      <c r="M300" s="18"/>
      <c r="N300" s="6"/>
      <c r="Q300" s="41"/>
      <c r="R300" s="41"/>
      <c r="S300" s="41"/>
      <c r="T300" s="41"/>
      <c r="U300" s="41"/>
      <c r="V300" s="58"/>
      <c r="W300" s="58"/>
      <c r="X300" s="77"/>
      <c r="Y300" s="74"/>
      <c r="Z300" s="58"/>
    </row>
    <row r="301" spans="1:26" ht="13.5" thickBot="1">
      <c r="B301" s="2" t="s">
        <v>0</v>
      </c>
      <c r="C301" s="340">
        <f>AVERAGE(C281:C298)</f>
        <v>5.8398273169926011E-3</v>
      </c>
      <c r="D301" s="340">
        <f>AVERAGE(D281:D298)</f>
        <v>1.6865367127552291E-18</v>
      </c>
      <c r="F301" s="18">
        <f>AVERAGE(F281:F298)</f>
        <v>133.87777777777777</v>
      </c>
      <c r="G301" s="64">
        <f>AVERAGE(G281:G298)</f>
        <v>5.8398273169925994E-3</v>
      </c>
      <c r="H301" s="19">
        <f>AVERAGE(H281:H298)</f>
        <v>1.105288700071267E-14</v>
      </c>
      <c r="I301" s="19">
        <f>AVERAGE(I281:I298)</f>
        <v>0</v>
      </c>
      <c r="J301" s="59">
        <f>SUM(J281:J298)</f>
        <v>-6.456008627148152E-2</v>
      </c>
      <c r="K301" s="27" t="s">
        <v>16</v>
      </c>
      <c r="L301" s="28">
        <f>SUM(L281:L298)</f>
        <v>805.35111111111087</v>
      </c>
      <c r="M301" s="28">
        <f>SUM(M281:M298)</f>
        <v>3.9210678915812093E-4</v>
      </c>
      <c r="N301" s="28">
        <f>M301*L301</f>
        <v>0.31578363832270279</v>
      </c>
      <c r="Q301" s="41"/>
      <c r="R301" s="41"/>
      <c r="S301" s="41"/>
      <c r="T301" s="82"/>
      <c r="U301" s="84"/>
      <c r="V301" s="85"/>
      <c r="W301" s="86"/>
      <c r="X301" s="77"/>
      <c r="Y301" s="74"/>
      <c r="Z301" s="87"/>
    </row>
    <row r="302" spans="1:26" ht="15" thickBot="1">
      <c r="B302" s="15" t="s">
        <v>17</v>
      </c>
      <c r="C302" s="29">
        <f>STDEVA(C281:C298)</f>
        <v>5.5175593105647337E-4</v>
      </c>
      <c r="D302" s="119">
        <f>STDEVA(D281:D298)</f>
        <v>4.7708144626614178E-3</v>
      </c>
      <c r="E302" s="15"/>
      <c r="F302" s="30">
        <f>STDEVA(F281:F298)</f>
        <v>6.882847867797298</v>
      </c>
      <c r="G302" s="29">
        <f>STDEVA(G281:G298)</f>
        <v>4.8026144176474697E-3</v>
      </c>
      <c r="H302" s="30">
        <f>STDEVA(H281:H298)</f>
        <v>6.882847867797298</v>
      </c>
      <c r="I302" s="30">
        <f>STDEVA(I281:I298)</f>
        <v>4.8026144176474706E-3</v>
      </c>
      <c r="J302" s="31" t="s">
        <v>16</v>
      </c>
      <c r="K302" s="32"/>
      <c r="L302" s="33"/>
      <c r="M302" s="33"/>
      <c r="N302" s="34"/>
      <c r="Q302" s="41"/>
      <c r="R302" s="41"/>
      <c r="S302" s="41"/>
      <c r="T302" s="41"/>
      <c r="U302" s="84"/>
      <c r="V302" s="85"/>
      <c r="W302" s="85"/>
      <c r="X302" s="88"/>
      <c r="Y302" s="89"/>
      <c r="Z302" s="41"/>
    </row>
    <row r="303" spans="1:26" ht="15.75">
      <c r="B303" s="15" t="s">
        <v>18</v>
      </c>
      <c r="C303" s="35">
        <f>C302^2</f>
        <v>3.0443460745599581E-7</v>
      </c>
      <c r="D303" s="120">
        <f>D302^2</f>
        <v>2.2760670637139354E-5</v>
      </c>
      <c r="E303" s="15"/>
      <c r="F303" s="30">
        <f>F302^2</f>
        <v>47.373594771241812</v>
      </c>
      <c r="G303" s="35">
        <f>G302^2</f>
        <v>2.3065105244595343E-5</v>
      </c>
      <c r="H303" s="30">
        <f>H302^2</f>
        <v>47.373594771241812</v>
      </c>
      <c r="I303" s="30">
        <f>I302^2</f>
        <v>2.3065105244595354E-5</v>
      </c>
      <c r="J303" s="33"/>
      <c r="K303" s="27"/>
      <c r="L303" s="33"/>
      <c r="M303" s="33"/>
      <c r="N303" s="34"/>
      <c r="Q303" s="41"/>
      <c r="R303" s="41"/>
      <c r="S303" s="41"/>
      <c r="T303" s="41"/>
      <c r="U303" s="84"/>
      <c r="V303" s="85"/>
      <c r="W303" s="85"/>
      <c r="X303" s="41"/>
      <c r="Y303" s="41"/>
      <c r="Z303" s="41"/>
    </row>
    <row r="304" spans="1:26">
      <c r="B304" s="2" t="s">
        <v>19</v>
      </c>
      <c r="C304" s="30">
        <f>COUNT(C281:C298)</f>
        <v>18</v>
      </c>
      <c r="D304" s="30">
        <f>COUNT(D281:D298)</f>
        <v>18</v>
      </c>
      <c r="F304" s="30">
        <f>COUNT(F281:F298)</f>
        <v>18</v>
      </c>
      <c r="G304" s="30">
        <f>COUNT(G281:G298)</f>
        <v>18</v>
      </c>
      <c r="I304" s="27"/>
      <c r="J304" s="33"/>
      <c r="K304" s="27"/>
      <c r="L304" s="33"/>
      <c r="M304" s="33"/>
      <c r="N304" s="34"/>
      <c r="Q304" s="41"/>
      <c r="R304" s="41"/>
      <c r="S304" s="41"/>
      <c r="T304" s="41"/>
      <c r="U304" s="41"/>
      <c r="V304" s="41"/>
      <c r="W304" s="41"/>
      <c r="X304" s="41"/>
      <c r="Y304" s="41"/>
      <c r="Z304" s="41"/>
    </row>
    <row r="305" spans="1:26">
      <c r="B305" s="36" t="s">
        <v>20</v>
      </c>
      <c r="C305" s="37">
        <f>C301/C302</f>
        <v>10.5840771041841</v>
      </c>
      <c r="D305" s="115">
        <f>D301/D302</f>
        <v>3.5351127694334771E-16</v>
      </c>
      <c r="E305" s="36"/>
      <c r="F305" s="37">
        <f>F301/F302</f>
        <v>19.450927922459279</v>
      </c>
      <c r="G305" s="37">
        <f>G301/G302</f>
        <v>1.2159683891202746</v>
      </c>
      <c r="I305" s="27"/>
      <c r="J305" s="36"/>
      <c r="Q305" s="41"/>
      <c r="R305" s="41"/>
      <c r="S305" s="41"/>
      <c r="T305" s="41"/>
      <c r="U305" s="41"/>
      <c r="V305" s="41"/>
      <c r="W305" s="41"/>
      <c r="X305" s="41"/>
      <c r="Y305" s="41"/>
      <c r="Z305" s="41"/>
    </row>
    <row r="306" spans="1:26">
      <c r="B306" s="36"/>
      <c r="C306" s="37"/>
      <c r="D306" s="36"/>
      <c r="E306" s="36"/>
      <c r="F306" s="37"/>
      <c r="G306" s="37"/>
      <c r="I306" s="27"/>
      <c r="J306" s="36"/>
      <c r="Q306" s="41"/>
      <c r="R306" s="41"/>
      <c r="S306" s="41"/>
      <c r="T306" s="41"/>
      <c r="U306" s="41"/>
      <c r="V306" s="41"/>
      <c r="W306" s="41"/>
      <c r="X306" s="41"/>
      <c r="Y306" s="41"/>
      <c r="Z306" s="41"/>
    </row>
    <row r="307" spans="1:26">
      <c r="B307" s="36"/>
      <c r="C307" s="37"/>
      <c r="D307" s="36"/>
      <c r="E307" s="36"/>
      <c r="F307" s="37"/>
      <c r="G307" s="48" t="s">
        <v>21</v>
      </c>
      <c r="I307" s="49" t="s">
        <v>22</v>
      </c>
      <c r="J307" s="36"/>
    </row>
    <row r="308" spans="1:26" ht="15.75">
      <c r="A308" s="2" t="s">
        <v>23</v>
      </c>
      <c r="C308" s="37"/>
      <c r="D308" s="36"/>
      <c r="E308" s="36"/>
      <c r="G308" s="24">
        <f>B278*(SQRT((C304-2)/(1-B279)))</f>
        <v>-0.46260942266757016</v>
      </c>
      <c r="H308" s="40"/>
      <c r="I308" s="42">
        <f>TDIST(ABS(G308),8,2)</f>
        <v>0.65596681838647397</v>
      </c>
      <c r="J308" s="50" t="s">
        <v>57</v>
      </c>
      <c r="N308" s="2"/>
      <c r="O308" s="41"/>
      <c r="P308" s="43"/>
    </row>
    <row r="309" spans="1:26" ht="15.75">
      <c r="A309" s="2" t="s">
        <v>24</v>
      </c>
      <c r="C309" s="37"/>
      <c r="D309" s="36"/>
      <c r="E309" s="36"/>
      <c r="G309" s="24">
        <f>B276/((G302/F302)*SQRT((1-B279)/(G304-2)))</f>
        <v>-0.46260942266757027</v>
      </c>
      <c r="H309" s="36"/>
      <c r="I309" s="42">
        <f>TDIST(ABS(G309),8,2)</f>
        <v>0.65596681838647397</v>
      </c>
      <c r="J309" s="36"/>
      <c r="K309" s="36"/>
      <c r="N309" s="2"/>
      <c r="O309" s="36"/>
      <c r="P309" s="43"/>
    </row>
    <row r="310" spans="1:26" ht="12.75">
      <c r="C310" s="37"/>
      <c r="D310" s="36"/>
      <c r="E310" s="36"/>
      <c r="J310" s="36"/>
      <c r="K310" s="36"/>
      <c r="N310" s="2"/>
      <c r="O310" s="36"/>
      <c r="P310" s="43"/>
    </row>
    <row r="311" spans="1:26" ht="15.75">
      <c r="A311" s="2" t="s">
        <v>25</v>
      </c>
      <c r="B311" s="37"/>
      <c r="D311" s="38"/>
      <c r="E311" s="56">
        <f>Q311*((G302/F302)*SQRT((1-B278^2)/(G304-2)))</f>
        <v>3.6735066121089491E-4</v>
      </c>
      <c r="F311" s="51" t="s">
        <v>26</v>
      </c>
      <c r="G311" s="98">
        <f>B276-E311</f>
        <v>-4.4751456162746045E-4</v>
      </c>
      <c r="H311" s="51" t="s">
        <v>27</v>
      </c>
      <c r="I311" s="98">
        <f>B276+E311</f>
        <v>2.8718676079432937E-4</v>
      </c>
      <c r="K311" s="51" t="s">
        <v>28</v>
      </c>
      <c r="L311" s="52">
        <v>0.95</v>
      </c>
      <c r="M311" s="51" t="s">
        <v>29</v>
      </c>
      <c r="N311" s="53">
        <f>C304-2</f>
        <v>16</v>
      </c>
      <c r="P311" s="54" t="s">
        <v>30</v>
      </c>
      <c r="Q311" s="55">
        <f>TINV((1-L311),N311)</f>
        <v>2.119905299221255</v>
      </c>
    </row>
    <row r="316" spans="1:26">
      <c r="A316" s="16" t="s">
        <v>13</v>
      </c>
      <c r="B316" s="17">
        <f>J334/L334</f>
        <v>1.365921536529713E-3</v>
      </c>
      <c r="D316" s="94"/>
      <c r="E316" s="95"/>
      <c r="F316" s="93" t="str">
        <f>F321</f>
        <v>X = PAS alcanzada tras seguim</v>
      </c>
      <c r="G316" s="95"/>
      <c r="H316" s="15"/>
      <c r="I316" s="96" t="str">
        <f>G321</f>
        <v>Y = EnfRenTerm /año</v>
      </c>
      <c r="M316" s="4"/>
    </row>
    <row r="317" spans="1:26">
      <c r="A317" s="22" t="s">
        <v>14</v>
      </c>
      <c r="B317" s="23">
        <f>B319*G335/F335</f>
        <v>1.3659215365297132E-3</v>
      </c>
      <c r="D317" s="97" t="s">
        <v>37</v>
      </c>
      <c r="E317" s="128">
        <v>-1</v>
      </c>
      <c r="F317" s="93" t="s">
        <v>33</v>
      </c>
      <c r="G317" s="15" t="s">
        <v>36</v>
      </c>
      <c r="H317" s="15"/>
      <c r="I317" s="96" t="s">
        <v>166</v>
      </c>
      <c r="J317" s="126">
        <f>E317*B317</f>
        <v>-1.3659215365297132E-3</v>
      </c>
      <c r="K317" s="6" t="s">
        <v>35</v>
      </c>
      <c r="L317" s="126">
        <f>E317*G344</f>
        <v>6.6261186306756916E-3</v>
      </c>
      <c r="M317" s="6" t="s">
        <v>34</v>
      </c>
      <c r="N317" s="126">
        <f>E317*I344</f>
        <v>-9.3579617037351185E-3</v>
      </c>
    </row>
    <row r="318" spans="1:26">
      <c r="A318" s="16" t="s">
        <v>15</v>
      </c>
      <c r="B318" s="17">
        <f>G334-(F334*B316)</f>
        <v>-0.11926017971104837</v>
      </c>
      <c r="M318" s="4"/>
    </row>
    <row r="319" spans="1:26">
      <c r="A319" s="25" t="s">
        <v>31</v>
      </c>
      <c r="B319" s="24">
        <f>J334/SQRT(N334)</f>
        <v>0.13800899624510501</v>
      </c>
      <c r="M319" s="4"/>
    </row>
    <row r="320" spans="1:26" ht="26.25" customHeight="1" thickBot="1">
      <c r="A320" s="108" t="s">
        <v>32</v>
      </c>
      <c r="B320" s="109">
        <f>B319^2</f>
        <v>1.9046483044581411E-2</v>
      </c>
      <c r="C320" s="110">
        <f>1-B320</f>
        <v>0.98095351695541855</v>
      </c>
      <c r="F320" s="7"/>
      <c r="G320" s="8"/>
      <c r="H320" s="269" t="s">
        <v>1</v>
      </c>
      <c r="I320" s="270"/>
      <c r="J320" s="9" t="s">
        <v>2</v>
      </c>
      <c r="K320" s="10"/>
      <c r="L320" s="9" t="s">
        <v>3</v>
      </c>
      <c r="M320" s="9" t="s">
        <v>4</v>
      </c>
      <c r="N320" s="9" t="s">
        <v>5</v>
      </c>
      <c r="Q320" s="41"/>
      <c r="R320" s="41"/>
      <c r="S320" s="41"/>
      <c r="T320" s="41"/>
      <c r="U320" s="43"/>
      <c r="V320" s="68"/>
      <c r="W320" s="68"/>
      <c r="X320" s="41"/>
      <c r="Y320" s="41"/>
      <c r="Z320" s="69"/>
    </row>
    <row r="321" spans="1:26" ht="37.5" customHeight="1" thickBot="1">
      <c r="A321" s="113" t="s">
        <v>46</v>
      </c>
      <c r="C321" s="11" t="s">
        <v>174</v>
      </c>
      <c r="D321" s="12" t="s">
        <v>6</v>
      </c>
      <c r="E321" s="12" t="s">
        <v>39</v>
      </c>
      <c r="F321" s="44" t="s">
        <v>190</v>
      </c>
      <c r="G321" s="45" t="s">
        <v>187</v>
      </c>
      <c r="H321" s="13" t="s">
        <v>7</v>
      </c>
      <c r="I321" s="14" t="s">
        <v>8</v>
      </c>
      <c r="J321" s="14" t="s">
        <v>9</v>
      </c>
      <c r="L321" s="14" t="s">
        <v>10</v>
      </c>
      <c r="M321" s="14" t="s">
        <v>11</v>
      </c>
      <c r="N321" s="14" t="s">
        <v>12</v>
      </c>
      <c r="Q321" s="41"/>
      <c r="R321" s="41"/>
      <c r="S321" s="70"/>
      <c r="T321" s="71"/>
      <c r="U321" s="41"/>
      <c r="V321" s="106"/>
      <c r="W321" s="106"/>
      <c r="X321" s="73"/>
      <c r="Y321" s="74"/>
      <c r="Z321" s="106"/>
    </row>
    <row r="322" spans="1:26">
      <c r="A322" s="112" t="s">
        <v>61</v>
      </c>
      <c r="C322" s="268">
        <f>B318+(B317*F322)</f>
        <v>6.2407384647403488E-2</v>
      </c>
      <c r="D322" s="340">
        <f>C322-G322</f>
        <v>1.4098205903442136E-2</v>
      </c>
      <c r="E322" s="6">
        <v>1</v>
      </c>
      <c r="F322" s="46">
        <v>133</v>
      </c>
      <c r="G322" s="61">
        <v>4.8309178743961352E-2</v>
      </c>
      <c r="H322" s="19">
        <f>F322-F334</f>
        <v>2.5900000000000034</v>
      </c>
      <c r="I322" s="63">
        <f>G322-G334</f>
        <v>-1.0560469123830137E-2</v>
      </c>
      <c r="J322" s="19">
        <f>H322*I322</f>
        <v>-2.7351615030720089E-2</v>
      </c>
      <c r="K322" s="20"/>
      <c r="L322" s="20">
        <f>H322^2</f>
        <v>6.7081000000000177</v>
      </c>
      <c r="M322" s="38">
        <f t="shared" ref="M322:M331" si="17">I322^2</f>
        <v>1.1152350811536965E-4</v>
      </c>
      <c r="N322" s="21"/>
      <c r="Q322" s="75"/>
      <c r="R322" s="76"/>
      <c r="S322" s="41"/>
      <c r="T322" s="41"/>
      <c r="U322" s="41"/>
      <c r="V322" s="58"/>
      <c r="W322" s="58"/>
      <c r="X322" s="77"/>
      <c r="Y322" s="74"/>
      <c r="Z322" s="58"/>
    </row>
    <row r="323" spans="1:26">
      <c r="A323" s="112" t="s">
        <v>66</v>
      </c>
      <c r="C323" s="268">
        <f>B318+(B317*F323)</f>
        <v>5.2845933891695493E-2</v>
      </c>
      <c r="D323" s="340">
        <f t="shared" ref="D323:D331" si="18">C323-G323</f>
        <v>-4.7213803264815848E-2</v>
      </c>
      <c r="E323" s="6">
        <v>2</v>
      </c>
      <c r="F323" s="46">
        <v>126</v>
      </c>
      <c r="G323" s="61">
        <v>0.10005973715651134</v>
      </c>
      <c r="H323" s="19">
        <f>F323-F334</f>
        <v>-4.4099999999999966</v>
      </c>
      <c r="I323" s="63">
        <f>G323-G334</f>
        <v>4.1190089288719853E-2</v>
      </c>
      <c r="J323" s="19">
        <f t="shared" ref="J323:J331" si="19">H323*I323</f>
        <v>-0.18164829376325442</v>
      </c>
      <c r="K323" s="20"/>
      <c r="L323" s="20">
        <f t="shared" ref="L323:L331" si="20">H323^2</f>
        <v>19.448099999999968</v>
      </c>
      <c r="M323" s="38">
        <f t="shared" si="17"/>
        <v>1.696623455612714E-3</v>
      </c>
      <c r="N323" s="21"/>
      <c r="Q323" s="75"/>
      <c r="R323" s="76"/>
      <c r="S323" s="41"/>
      <c r="T323" s="41"/>
      <c r="U323" s="41"/>
      <c r="V323" s="58"/>
      <c r="W323" s="58"/>
      <c r="X323" s="77"/>
      <c r="Y323" s="74"/>
      <c r="Z323" s="58"/>
    </row>
    <row r="324" spans="1:26">
      <c r="A324" s="112" t="s">
        <v>67</v>
      </c>
      <c r="C324" s="268">
        <f>B318+(B317*F324)</f>
        <v>5.8309620037814355E-2</v>
      </c>
      <c r="D324" s="340">
        <f t="shared" si="18"/>
        <v>-8.3905948824461105E-2</v>
      </c>
      <c r="E324" s="6">
        <v>3</v>
      </c>
      <c r="F324" s="46">
        <v>130</v>
      </c>
      <c r="G324" s="61">
        <v>0.14221556886227546</v>
      </c>
      <c r="H324" s="19">
        <f>F324-F334</f>
        <v>-0.40999999999999659</v>
      </c>
      <c r="I324" s="63">
        <f>G324-G334</f>
        <v>8.3345920994483971E-2</v>
      </c>
      <c r="J324" s="19">
        <f t="shared" si="19"/>
        <v>-3.4171827607738146E-2</v>
      </c>
      <c r="K324" s="20"/>
      <c r="L324" s="20">
        <f t="shared" si="20"/>
        <v>0.1680999999999972</v>
      </c>
      <c r="M324" s="38">
        <f t="shared" si="17"/>
        <v>6.9465425464187644E-3</v>
      </c>
      <c r="N324" s="21"/>
      <c r="Q324" s="75"/>
      <c r="R324" s="76"/>
      <c r="S324" s="41"/>
      <c r="T324" s="41"/>
      <c r="U324" s="41"/>
      <c r="V324" s="58"/>
      <c r="W324" s="58"/>
      <c r="X324" s="77"/>
      <c r="Y324" s="74"/>
      <c r="Z324" s="58"/>
    </row>
    <row r="325" spans="1:26">
      <c r="A325" s="112" t="s">
        <v>71</v>
      </c>
      <c r="C325" s="268">
        <f>B318+(B317*F325)</f>
        <v>4.5333365440782078E-2</v>
      </c>
      <c r="D325" s="340">
        <f t="shared" si="18"/>
        <v>4.0018720441052313E-2</v>
      </c>
      <c r="E325" s="6">
        <v>4</v>
      </c>
      <c r="F325" s="46">
        <v>120.5</v>
      </c>
      <c r="G325" s="61">
        <v>5.3146449997297637E-3</v>
      </c>
      <c r="H325" s="19">
        <f>F325-F334</f>
        <v>-9.9099999999999966</v>
      </c>
      <c r="I325" s="63">
        <f>G325-G334</f>
        <v>-5.3555002868061724E-2</v>
      </c>
      <c r="J325" s="19">
        <f t="shared" si="19"/>
        <v>0.53073007842249154</v>
      </c>
      <c r="K325" s="20"/>
      <c r="L325" s="20">
        <f t="shared" si="20"/>
        <v>98.208099999999931</v>
      </c>
      <c r="M325" s="38">
        <f t="shared" si="17"/>
        <v>2.8681383321980994E-3</v>
      </c>
      <c r="N325" s="21"/>
      <c r="P325" s="15"/>
      <c r="Q325" s="75"/>
      <c r="R325" s="76"/>
      <c r="S325" s="41"/>
      <c r="T325" s="41"/>
      <c r="U325" s="41"/>
      <c r="V325" s="58"/>
      <c r="W325" s="58"/>
      <c r="X325" s="77"/>
      <c r="Y325" s="74"/>
      <c r="Z325" s="58"/>
    </row>
    <row r="326" spans="1:26" ht="14.25" customHeight="1">
      <c r="A326" s="112" t="s">
        <v>77</v>
      </c>
      <c r="C326" s="268">
        <f>B318+(B317*F326)</f>
        <v>4.669928697731178E-2</v>
      </c>
      <c r="D326" s="340">
        <f t="shared" si="18"/>
        <v>3.4043781635770508E-2</v>
      </c>
      <c r="E326" s="6">
        <v>5</v>
      </c>
      <c r="F326" s="46">
        <v>121.5</v>
      </c>
      <c r="G326" s="61">
        <v>1.2655505341541272E-2</v>
      </c>
      <c r="H326" s="19">
        <f>F326-F334</f>
        <v>-8.9099999999999966</v>
      </c>
      <c r="I326" s="63">
        <f>G326-G334</f>
        <v>-4.6214142526250217E-2</v>
      </c>
      <c r="J326" s="19">
        <f t="shared" si="19"/>
        <v>0.41176800990888929</v>
      </c>
      <c r="K326" s="20"/>
      <c r="L326" s="20">
        <f t="shared" si="20"/>
        <v>79.388099999999937</v>
      </c>
      <c r="M326" s="38">
        <f t="shared" si="17"/>
        <v>2.1357469694365688E-3</v>
      </c>
      <c r="N326" s="21"/>
      <c r="P326" s="107"/>
      <c r="Q326" s="107"/>
      <c r="R326" s="107"/>
      <c r="S326" s="107"/>
      <c r="T326" s="107"/>
      <c r="U326" s="107"/>
      <c r="V326" s="107"/>
      <c r="W326" s="107"/>
      <c r="X326" s="107"/>
      <c r="Y326" s="74"/>
      <c r="Z326" s="58"/>
    </row>
    <row r="327" spans="1:26">
      <c r="A327" s="112" t="s">
        <v>61</v>
      </c>
      <c r="C327" s="268">
        <f>B318+(B317*F327)</f>
        <v>6.9236992330052052E-2</v>
      </c>
      <c r="D327" s="340">
        <f t="shared" si="18"/>
        <v>5.2673845332122445E-2</v>
      </c>
      <c r="E327" s="6">
        <v>6</v>
      </c>
      <c r="F327" s="46">
        <v>138</v>
      </c>
      <c r="G327" s="61">
        <v>1.6563146997929608E-2</v>
      </c>
      <c r="H327" s="19">
        <f>F327-F334</f>
        <v>7.5900000000000034</v>
      </c>
      <c r="I327" s="63">
        <f>G327-G334</f>
        <v>-4.2306500869861881E-2</v>
      </c>
      <c r="J327" s="19">
        <f t="shared" si="19"/>
        <v>-0.32110634160225182</v>
      </c>
      <c r="K327" s="20"/>
      <c r="L327" s="20">
        <f t="shared" si="20"/>
        <v>57.60810000000005</v>
      </c>
      <c r="M327" s="38">
        <f t="shared" si="17"/>
        <v>1.7898400158516241E-3</v>
      </c>
      <c r="N327" s="21"/>
      <c r="P327" s="107"/>
      <c r="Q327" s="107"/>
      <c r="R327" s="107"/>
      <c r="S327" s="107"/>
      <c r="T327" s="107"/>
      <c r="U327" s="107"/>
      <c r="V327" s="107"/>
      <c r="W327" s="107"/>
      <c r="X327" s="107"/>
      <c r="Y327" s="74"/>
      <c r="Z327" s="58"/>
    </row>
    <row r="328" spans="1:26">
      <c r="A328" s="112" t="s">
        <v>66</v>
      </c>
      <c r="C328" s="268">
        <f>B318+(B317*F328)</f>
        <v>6.2407384647403488E-2</v>
      </c>
      <c r="D328" s="340">
        <f t="shared" si="18"/>
        <v>-5.0653968926284057E-2</v>
      </c>
      <c r="E328" s="6">
        <v>7</v>
      </c>
      <c r="F328" s="47">
        <v>133</v>
      </c>
      <c r="G328" s="62">
        <v>0.11306135357368755</v>
      </c>
      <c r="H328" s="19">
        <f>F328-F334</f>
        <v>2.5900000000000034</v>
      </c>
      <c r="I328" s="63">
        <f>G328-G334</f>
        <v>5.4191705705896057E-2</v>
      </c>
      <c r="J328" s="19">
        <f t="shared" si="19"/>
        <v>0.14035651777827096</v>
      </c>
      <c r="K328" s="20"/>
      <c r="L328" s="20">
        <f t="shared" si="20"/>
        <v>6.7081000000000177</v>
      </c>
      <c r="M328" s="38">
        <f t="shared" si="17"/>
        <v>2.936740967314447E-3</v>
      </c>
      <c r="N328" s="21"/>
      <c r="P328" s="15"/>
      <c r="Q328" s="41"/>
      <c r="R328" s="80"/>
      <c r="S328" s="41"/>
      <c r="T328" s="41"/>
      <c r="U328" s="41"/>
      <c r="V328" s="58"/>
      <c r="W328" s="58"/>
      <c r="X328" s="77"/>
      <c r="Y328" s="74"/>
      <c r="Z328" s="58"/>
    </row>
    <row r="329" spans="1:26">
      <c r="A329" s="112" t="s">
        <v>67</v>
      </c>
      <c r="C329" s="268">
        <f>B318+(B317*F329)</f>
        <v>6.377330618393319E-2</v>
      </c>
      <c r="D329" s="340">
        <f t="shared" si="18"/>
        <v>-7.3875503339876317E-2</v>
      </c>
      <c r="E329" s="6">
        <v>8</v>
      </c>
      <c r="F329" s="47">
        <v>134</v>
      </c>
      <c r="G329" s="62">
        <v>0.13764880952380951</v>
      </c>
      <c r="H329" s="19">
        <f>F329-F334</f>
        <v>3.5900000000000034</v>
      </c>
      <c r="I329" s="63">
        <f>G329-G334</f>
        <v>7.8779161656018018E-2</v>
      </c>
      <c r="J329" s="19">
        <f t="shared" si="19"/>
        <v>0.28281719034510494</v>
      </c>
      <c r="K329" s="20"/>
      <c r="L329" s="20">
        <f t="shared" si="20"/>
        <v>12.888100000000025</v>
      </c>
      <c r="M329" s="38">
        <f t="shared" si="17"/>
        <v>6.2061563112250197E-3</v>
      </c>
      <c r="N329" s="21"/>
      <c r="P329" s="15"/>
      <c r="Q329" s="41"/>
      <c r="R329" s="41"/>
      <c r="S329" s="41"/>
      <c r="T329" s="41"/>
      <c r="U329" s="41"/>
      <c r="V329" s="58"/>
      <c r="W329" s="58"/>
      <c r="X329" s="77"/>
      <c r="Y329" s="74"/>
      <c r="Z329" s="58"/>
    </row>
    <row r="330" spans="1:26">
      <c r="A330" s="112" t="s">
        <v>71</v>
      </c>
      <c r="C330" s="268">
        <f>B318+(B317*F330)</f>
        <v>6.3090345415668339E-2</v>
      </c>
      <c r="D330" s="340">
        <f t="shared" si="18"/>
        <v>5.7885610901996939E-2</v>
      </c>
      <c r="E330" s="6">
        <v>9</v>
      </c>
      <c r="F330" s="47">
        <v>133.5</v>
      </c>
      <c r="G330" s="62">
        <v>5.2047345136714013E-3</v>
      </c>
      <c r="H330" s="19">
        <f>F330-F334</f>
        <v>3.0900000000000034</v>
      </c>
      <c r="I330" s="63">
        <f>G330-G334</f>
        <v>-5.3664913354120089E-2</v>
      </c>
      <c r="J330" s="19">
        <f t="shared" si="19"/>
        <v>-0.16582458226423125</v>
      </c>
      <c r="K330" s="20"/>
      <c r="L330" s="20">
        <f t="shared" si="20"/>
        <v>9.5481000000000211</v>
      </c>
      <c r="M330" s="38">
        <f t="shared" si="17"/>
        <v>2.8799229253052166E-3</v>
      </c>
      <c r="N330" s="21"/>
      <c r="Q330" s="41"/>
      <c r="R330" s="41"/>
      <c r="S330" s="41"/>
      <c r="T330" s="41"/>
      <c r="U330" s="41"/>
      <c r="V330" s="58"/>
      <c r="W330" s="58"/>
      <c r="X330" s="77"/>
      <c r="Y330" s="74"/>
      <c r="Z330" s="58"/>
    </row>
    <row r="331" spans="1:26">
      <c r="A331" s="112" t="s">
        <v>77</v>
      </c>
      <c r="C331" s="268">
        <f>B318+(B317*F331)</f>
        <v>6.4592859105851011E-2</v>
      </c>
      <c r="D331" s="340">
        <f t="shared" si="18"/>
        <v>5.6929060141053395E-2</v>
      </c>
      <c r="E331" s="6">
        <v>10</v>
      </c>
      <c r="F331" s="47">
        <v>134.6</v>
      </c>
      <c r="G331" s="62">
        <v>7.663798964797618E-3</v>
      </c>
      <c r="H331" s="19">
        <f>F331-F334</f>
        <v>4.1899999999999977</v>
      </c>
      <c r="I331" s="63">
        <f>G331-G334</f>
        <v>-5.1205848902993872E-2</v>
      </c>
      <c r="J331" s="19">
        <f t="shared" si="19"/>
        <v>-0.21455250690354422</v>
      </c>
      <c r="K331" s="20"/>
      <c r="L331" s="20">
        <f t="shared" si="20"/>
        <v>17.556099999999979</v>
      </c>
      <c r="M331" s="38">
        <f t="shared" si="17"/>
        <v>2.622038961876239E-3</v>
      </c>
      <c r="N331" s="21"/>
      <c r="Q331" s="41"/>
      <c r="R331" s="80"/>
      <c r="S331" s="41"/>
      <c r="T331" s="41"/>
      <c r="U331" s="41"/>
      <c r="V331" s="58"/>
      <c r="W331" s="58"/>
      <c r="X331" s="77"/>
      <c r="Y331" s="74"/>
      <c r="Z331" s="58"/>
    </row>
    <row r="332" spans="1:26" ht="12.75">
      <c r="C332" s="340"/>
      <c r="D332" s="340"/>
      <c r="E332" s="6"/>
      <c r="F332" s="91"/>
      <c r="G332" s="92"/>
      <c r="H332" s="65"/>
      <c r="J332" s="60"/>
      <c r="K332" s="6"/>
      <c r="L332" s="6"/>
      <c r="M332" s="18"/>
      <c r="N332" s="6"/>
      <c r="Q332" s="41"/>
      <c r="R332" s="83"/>
      <c r="S332" s="41"/>
      <c r="T332" s="41"/>
      <c r="U332" s="41"/>
      <c r="V332" s="58"/>
      <c r="W332" s="58"/>
      <c r="X332" s="77"/>
      <c r="Y332" s="74"/>
      <c r="Z332" s="58"/>
    </row>
    <row r="333" spans="1:26" ht="13.5" thickBot="1">
      <c r="B333" s="2" t="s">
        <v>16</v>
      </c>
      <c r="C333" s="340"/>
      <c r="D333" s="340"/>
      <c r="M333" s="18"/>
      <c r="N333" s="6"/>
      <c r="Q333" s="41"/>
      <c r="R333" s="41"/>
      <c r="S333" s="41"/>
      <c r="T333" s="41"/>
      <c r="U333" s="41"/>
      <c r="V333" s="58"/>
      <c r="W333" s="58"/>
      <c r="X333" s="77"/>
      <c r="Y333" s="74"/>
      <c r="Z333" s="58"/>
    </row>
    <row r="334" spans="1:26" ht="13.5" thickBot="1">
      <c r="B334" s="2" t="s">
        <v>0</v>
      </c>
      <c r="C334" s="340">
        <f>AVERAGE(C322:C331)</f>
        <v>5.886964786779153E-2</v>
      </c>
      <c r="D334" s="340">
        <f>AVERAGE(D322:D331)</f>
        <v>4.0245584642661923E-17</v>
      </c>
      <c r="F334" s="18">
        <f>AVERAGE(F322:F331)</f>
        <v>130.41</v>
      </c>
      <c r="G334" s="64">
        <f>AVERAGE(G322:G331)</f>
        <v>5.8869647867791489E-2</v>
      </c>
      <c r="H334" s="19">
        <f>AVERAGE(H322:H331)</f>
        <v>2.8421709430404009E-15</v>
      </c>
      <c r="I334" s="19">
        <f>AVERAGE(I322:I331)</f>
        <v>0</v>
      </c>
      <c r="J334" s="59">
        <f>SUM(J322:J331)</f>
        <v>0.42101662928301675</v>
      </c>
      <c r="K334" s="27" t="s">
        <v>16</v>
      </c>
      <c r="L334" s="28">
        <f>SUM(L322:L331)</f>
        <v>308.22899999999987</v>
      </c>
      <c r="M334" s="28">
        <f>SUM(M322:M331)</f>
        <v>3.0193273993354062E-2</v>
      </c>
      <c r="N334" s="28">
        <f>M334*L334</f>
        <v>9.3064426496975248</v>
      </c>
      <c r="Q334" s="41"/>
      <c r="R334" s="41"/>
      <c r="S334" s="41"/>
      <c r="T334" s="82"/>
      <c r="U334" s="84"/>
      <c r="V334" s="85"/>
      <c r="W334" s="86"/>
      <c r="X334" s="77"/>
      <c r="Y334" s="74"/>
      <c r="Z334" s="87"/>
    </row>
    <row r="335" spans="1:26" ht="15" thickBot="1">
      <c r="B335" s="15" t="s">
        <v>17</v>
      </c>
      <c r="C335" s="29">
        <f>STDEVA(C322:C331)</f>
        <v>7.9935785420744594E-3</v>
      </c>
      <c r="D335" s="29">
        <f>STDEVA(D322:D331)</f>
        <v>5.7366461661631805E-2</v>
      </c>
      <c r="E335" s="15"/>
      <c r="F335" s="30">
        <f>STDEVA(F322:F331)</f>
        <v>5.8521506018443041</v>
      </c>
      <c r="G335" s="29">
        <f>STDEVA(G322:G331)</f>
        <v>5.7920706327562889E-2</v>
      </c>
      <c r="H335" s="30">
        <f>STDEVA(H322:H331)</f>
        <v>5.8521506018443041</v>
      </c>
      <c r="I335" s="30">
        <f>STDEVA(I322:I331)</f>
        <v>5.7920706327562896E-2</v>
      </c>
      <c r="J335" s="31" t="s">
        <v>16</v>
      </c>
      <c r="K335" s="32"/>
      <c r="L335" s="33"/>
      <c r="M335" s="33"/>
      <c r="N335" s="34"/>
      <c r="Q335" s="41"/>
      <c r="R335" s="41"/>
      <c r="S335" s="41"/>
      <c r="T335" s="41"/>
      <c r="U335" s="84"/>
      <c r="V335" s="85"/>
      <c r="W335" s="85"/>
      <c r="X335" s="88"/>
      <c r="Y335" s="89"/>
      <c r="Z335" s="41"/>
    </row>
    <row r="336" spans="1:26" ht="15.75" customHeight="1">
      <c r="B336" s="15" t="s">
        <v>18</v>
      </c>
      <c r="C336" s="35">
        <f>C335^2</f>
        <v>6.3897297908313241E-5</v>
      </c>
      <c r="D336" s="35">
        <f>D335^2</f>
        <v>3.2909109235754719E-3</v>
      </c>
      <c r="E336" s="15"/>
      <c r="F336" s="30">
        <f>F335^2</f>
        <v>34.247666666666653</v>
      </c>
      <c r="G336" s="35">
        <f>G335^2</f>
        <v>3.3548082214837835E-3</v>
      </c>
      <c r="H336" s="30">
        <f>H335^2</f>
        <v>34.247666666666653</v>
      </c>
      <c r="I336" s="30">
        <f>I335^2</f>
        <v>3.3548082214837844E-3</v>
      </c>
      <c r="J336" s="33"/>
      <c r="K336" s="27"/>
      <c r="L336" s="33"/>
      <c r="M336" s="33"/>
      <c r="N336" s="34"/>
      <c r="P336" s="271" t="s">
        <v>50</v>
      </c>
      <c r="Q336" s="272"/>
      <c r="R336" s="272"/>
      <c r="S336" s="272"/>
      <c r="T336" s="272"/>
      <c r="U336" s="272"/>
      <c r="V336" s="272"/>
      <c r="W336" s="272"/>
      <c r="X336" s="273"/>
      <c r="Y336" s="41"/>
      <c r="Z336" s="41"/>
    </row>
    <row r="337" spans="1:26">
      <c r="B337" s="2" t="s">
        <v>19</v>
      </c>
      <c r="C337" s="30">
        <f>COUNT(C322:C331)</f>
        <v>10</v>
      </c>
      <c r="D337" s="30">
        <f>COUNT(D322:D331)</f>
        <v>10</v>
      </c>
      <c r="F337" s="30">
        <f>COUNT(F322:F331)</f>
        <v>10</v>
      </c>
      <c r="G337" s="30">
        <f>COUNT(G322:G331)</f>
        <v>10</v>
      </c>
      <c r="I337" s="27"/>
      <c r="J337" s="33"/>
      <c r="K337" s="27"/>
      <c r="L337" s="33"/>
      <c r="M337" s="33"/>
      <c r="N337" s="34"/>
      <c r="P337" s="274"/>
      <c r="Q337" s="275"/>
      <c r="R337" s="275"/>
      <c r="S337" s="275"/>
      <c r="T337" s="275"/>
      <c r="U337" s="275"/>
      <c r="V337" s="275"/>
      <c r="W337" s="275"/>
      <c r="X337" s="276"/>
      <c r="Y337" s="41"/>
      <c r="Z337" s="41"/>
    </row>
    <row r="338" spans="1:26">
      <c r="B338" s="36" t="s">
        <v>20</v>
      </c>
      <c r="C338" s="37">
        <f>C334/C335</f>
        <v>7.3646174310953763</v>
      </c>
      <c r="D338" s="37">
        <f>D334/D335</f>
        <v>7.015525008330647E-16</v>
      </c>
      <c r="E338" s="36"/>
      <c r="F338" s="37">
        <f>F334/F335</f>
        <v>22.284115511125314</v>
      </c>
      <c r="G338" s="37">
        <f>G334/G335</f>
        <v>1.0163834593946763</v>
      </c>
      <c r="I338" s="27"/>
      <c r="J338" s="36"/>
      <c r="P338" s="274"/>
      <c r="Q338" s="275"/>
      <c r="R338" s="275"/>
      <c r="S338" s="275"/>
      <c r="T338" s="275"/>
      <c r="U338" s="275"/>
      <c r="V338" s="275"/>
      <c r="W338" s="275"/>
      <c r="X338" s="276"/>
      <c r="Y338" s="41"/>
      <c r="Z338" s="41"/>
    </row>
    <row r="339" spans="1:26">
      <c r="B339" s="36"/>
      <c r="C339" s="37"/>
      <c r="D339" s="36"/>
      <c r="E339" s="36"/>
      <c r="F339" s="37"/>
      <c r="G339" s="37"/>
      <c r="I339" s="27"/>
      <c r="J339" s="36"/>
      <c r="P339" s="277"/>
      <c r="Q339" s="278"/>
      <c r="R339" s="278"/>
      <c r="S339" s="278"/>
      <c r="T339" s="278"/>
      <c r="U339" s="278"/>
      <c r="V339" s="278"/>
      <c r="W339" s="278"/>
      <c r="X339" s="279"/>
      <c r="Y339" s="41"/>
      <c r="Z339" s="41"/>
    </row>
    <row r="340" spans="1:26">
      <c r="B340" s="36"/>
      <c r="C340" s="37"/>
      <c r="D340" s="36"/>
      <c r="E340" s="36"/>
      <c r="F340" s="37"/>
      <c r="G340" s="48" t="s">
        <v>21</v>
      </c>
      <c r="I340" s="49" t="s">
        <v>22</v>
      </c>
      <c r="J340" s="36"/>
    </row>
    <row r="341" spans="1:26" ht="15.75">
      <c r="A341" s="2" t="s">
        <v>23</v>
      </c>
      <c r="C341" s="37"/>
      <c r="D341" s="36"/>
      <c r="E341" s="36"/>
      <c r="G341" s="24">
        <f>B319*(SQRT((C337-2)/(1-B320)))</f>
        <v>0.39411972984406962</v>
      </c>
      <c r="H341" s="40"/>
      <c r="I341" s="42">
        <f>TDIST(ABS(G341),8,2)</f>
        <v>0.70378993986324057</v>
      </c>
      <c r="J341" s="50" t="s">
        <v>57</v>
      </c>
      <c r="N341" s="2"/>
      <c r="O341" s="41"/>
      <c r="P341" s="43"/>
    </row>
    <row r="342" spans="1:26" ht="15.75">
      <c r="A342" s="2" t="s">
        <v>24</v>
      </c>
      <c r="C342" s="37"/>
      <c r="D342" s="36"/>
      <c r="E342" s="36"/>
      <c r="G342" s="24">
        <f>B317/((G335/F335)*SQRT((1-B320)/(G337-2)))</f>
        <v>0.39411972984406962</v>
      </c>
      <c r="H342" s="36"/>
      <c r="I342" s="42">
        <f>TDIST(ABS(G342),8,2)</f>
        <v>0.70378993986324057</v>
      </c>
      <c r="J342" s="36"/>
      <c r="K342" s="36"/>
      <c r="N342" s="2"/>
      <c r="O342" s="36"/>
      <c r="P342" s="43"/>
    </row>
    <row r="343" spans="1:26" ht="12.75">
      <c r="C343" s="37"/>
      <c r="D343" s="36"/>
      <c r="E343" s="36"/>
      <c r="J343" s="36"/>
      <c r="K343" s="36"/>
      <c r="N343" s="2"/>
      <c r="O343" s="36"/>
      <c r="P343" s="43"/>
    </row>
    <row r="344" spans="1:26" ht="15.75">
      <c r="A344" s="2" t="s">
        <v>25</v>
      </c>
      <c r="B344" s="37"/>
      <c r="D344" s="38"/>
      <c r="E344" s="56">
        <f>Q344*((G335/F335)*SQRT((1-B319^2)/(G337-2)))</f>
        <v>7.9920401672054046E-3</v>
      </c>
      <c r="F344" s="51" t="s">
        <v>26</v>
      </c>
      <c r="G344" s="98">
        <f>B317-E344</f>
        <v>-6.6261186306756916E-3</v>
      </c>
      <c r="H344" s="51" t="s">
        <v>27</v>
      </c>
      <c r="I344" s="98">
        <f>B317+E344</f>
        <v>9.3579617037351185E-3</v>
      </c>
      <c r="K344" s="51" t="s">
        <v>28</v>
      </c>
      <c r="L344" s="52">
        <v>0.95</v>
      </c>
      <c r="M344" s="51" t="s">
        <v>29</v>
      </c>
      <c r="N344" s="53">
        <f>C337-2</f>
        <v>8</v>
      </c>
      <c r="P344" s="54" t="s">
        <v>30</v>
      </c>
      <c r="Q344" s="55">
        <f>TINV((1-L344),N344)</f>
        <v>2.3060041352041662</v>
      </c>
    </row>
    <row r="347" spans="1:26" ht="15">
      <c r="L347" s="117"/>
      <c r="N347" s="2"/>
      <c r="O347"/>
    </row>
    <row r="348" spans="1:26" ht="15">
      <c r="L348" s="117"/>
      <c r="N348" s="2"/>
      <c r="O348"/>
    </row>
    <row r="349" spans="1:26">
      <c r="A349" s="16" t="s">
        <v>13</v>
      </c>
      <c r="B349" s="17">
        <f>J363/L363</f>
        <v>1.4520153897304181E-4</v>
      </c>
      <c r="D349" s="94"/>
      <c r="E349" s="95"/>
      <c r="F349" s="93" t="str">
        <f>F354</f>
        <v>X = PAS alcanzada tras seguim</v>
      </c>
      <c r="G349" s="95"/>
      <c r="H349" s="15"/>
      <c r="I349" s="96" t="str">
        <f>G354</f>
        <v>Y = EfAdv grav atrib /año</v>
      </c>
      <c r="M349" s="4"/>
    </row>
    <row r="350" spans="1:26">
      <c r="A350" s="22" t="s">
        <v>14</v>
      </c>
      <c r="B350" s="23">
        <f>B352*G364/F364</f>
        <v>1.4520153897304176E-4</v>
      </c>
      <c r="D350" s="97" t="s">
        <v>37</v>
      </c>
      <c r="E350" s="128">
        <v>-1</v>
      </c>
      <c r="F350" s="93" t="s">
        <v>33</v>
      </c>
      <c r="G350" s="15" t="s">
        <v>36</v>
      </c>
      <c r="H350" s="15"/>
      <c r="I350" s="96" t="s">
        <v>166</v>
      </c>
      <c r="J350" s="126">
        <f>E350*B350</f>
        <v>-1.4520153897304176E-4</v>
      </c>
      <c r="K350" s="6" t="s">
        <v>35</v>
      </c>
      <c r="L350" s="126">
        <f>E350*G373</f>
        <v>7.6904559963725532E-4</v>
      </c>
      <c r="M350" s="6" t="s">
        <v>34</v>
      </c>
      <c r="N350" s="126">
        <f>E350*I373</f>
        <v>-1.0594486775833388E-3</v>
      </c>
    </row>
    <row r="351" spans="1:26">
      <c r="A351" s="16" t="s">
        <v>15</v>
      </c>
      <c r="B351" s="17">
        <f>G363-(F363*B349)</f>
        <v>-8.39644750916811E-3</v>
      </c>
      <c r="M351" s="4"/>
    </row>
    <row r="352" spans="1:26">
      <c r="A352" s="25" t="s">
        <v>31</v>
      </c>
      <c r="B352" s="24">
        <f>J363/SQRT(N363)</f>
        <v>0.21530768287249813</v>
      </c>
      <c r="M352" s="4"/>
    </row>
    <row r="353" spans="1:26" ht="26.25" customHeight="1" thickBot="1">
      <c r="A353" s="108" t="s">
        <v>32</v>
      </c>
      <c r="B353" s="109">
        <f>B352^2</f>
        <v>4.6357398303924227E-2</v>
      </c>
      <c r="C353" s="110">
        <f>1-B353</f>
        <v>0.95364260169607573</v>
      </c>
      <c r="F353" s="7"/>
      <c r="G353" s="8"/>
      <c r="H353" s="269" t="s">
        <v>1</v>
      </c>
      <c r="I353" s="270"/>
      <c r="J353" s="9" t="s">
        <v>2</v>
      </c>
      <c r="K353" s="10"/>
      <c r="L353" s="9" t="s">
        <v>3</v>
      </c>
      <c r="M353" s="9" t="s">
        <v>4</v>
      </c>
      <c r="N353" s="9" t="s">
        <v>5</v>
      </c>
      <c r="Q353" s="41"/>
      <c r="R353" s="41"/>
      <c r="S353" s="41"/>
      <c r="T353" s="41"/>
      <c r="U353" s="43"/>
      <c r="V353" s="68"/>
      <c r="W353" s="68"/>
      <c r="X353" s="41"/>
      <c r="Y353" s="41"/>
      <c r="Z353" s="69"/>
    </row>
    <row r="354" spans="1:26" ht="37.5" customHeight="1" thickBot="1">
      <c r="A354" s="113" t="s">
        <v>81</v>
      </c>
      <c r="C354" s="11" t="s">
        <v>174</v>
      </c>
      <c r="D354" s="12" t="s">
        <v>6</v>
      </c>
      <c r="E354" s="12" t="s">
        <v>39</v>
      </c>
      <c r="F354" s="44" t="s">
        <v>190</v>
      </c>
      <c r="G354" s="45" t="s">
        <v>188</v>
      </c>
      <c r="H354" s="13" t="s">
        <v>7</v>
      </c>
      <c r="I354" s="14" t="s">
        <v>8</v>
      </c>
      <c r="J354" s="14" t="s">
        <v>9</v>
      </c>
      <c r="L354" s="14" t="s">
        <v>10</v>
      </c>
      <c r="M354" s="14" t="s">
        <v>11</v>
      </c>
      <c r="N354" s="14" t="s">
        <v>12</v>
      </c>
      <c r="Q354" s="41"/>
      <c r="R354" s="41"/>
      <c r="S354" s="70"/>
      <c r="T354" s="71"/>
      <c r="U354" s="41"/>
      <c r="V354" s="111"/>
      <c r="W354" s="111"/>
      <c r="X354" s="73"/>
      <c r="Y354" s="74"/>
      <c r="Z354" s="111"/>
    </row>
    <row r="355" spans="1:26" ht="15">
      <c r="A355" s="130" t="s">
        <v>58</v>
      </c>
      <c r="C355" s="268">
        <f>B351+(B350*F355)</f>
        <v>9.100337937083423E-3</v>
      </c>
      <c r="D355" s="340">
        <f>C355-G355</f>
        <v>2.1642758187920361E-3</v>
      </c>
      <c r="E355" s="6">
        <v>1</v>
      </c>
      <c r="F355" s="46">
        <v>120.5</v>
      </c>
      <c r="G355" s="61">
        <v>6.9360621182913869E-3</v>
      </c>
      <c r="H355" s="19">
        <f>F355-F363</f>
        <v>-10.950000000000017</v>
      </c>
      <c r="I355" s="63">
        <f>G355-G363</f>
        <v>-3.7542326705468521E-3</v>
      </c>
      <c r="J355" s="19">
        <f>H355*I355</f>
        <v>4.1108847742488096E-2</v>
      </c>
      <c r="K355" s="20"/>
      <c r="L355" s="20">
        <f>H355^2</f>
        <v>119.90250000000037</v>
      </c>
      <c r="M355" s="38">
        <f t="shared" ref="M355:M360" si="21">I355^2</f>
        <v>1.4094262944601349E-5</v>
      </c>
      <c r="N355" s="21"/>
      <c r="Q355" s="75"/>
      <c r="R355" s="76"/>
      <c r="S355" s="41"/>
      <c r="T355" s="41"/>
      <c r="U355" s="41"/>
      <c r="V355" s="58"/>
      <c r="W355" s="58"/>
      <c r="X355" s="77"/>
      <c r="Y355" s="74"/>
      <c r="Z355" s="58"/>
    </row>
    <row r="356" spans="1:26" ht="15">
      <c r="A356" s="130" t="s">
        <v>59</v>
      </c>
      <c r="C356" s="268">
        <f>B351+(B350*F356)</f>
        <v>1.1438082714549392E-2</v>
      </c>
      <c r="D356" s="340">
        <f t="shared" ref="D356:D360" si="22">C356-G356</f>
        <v>-6.6933278459431079E-3</v>
      </c>
      <c r="E356" s="6">
        <v>2</v>
      </c>
      <c r="F356" s="46">
        <v>136.6</v>
      </c>
      <c r="G356" s="61">
        <v>1.81314105604925E-2</v>
      </c>
      <c r="H356" s="19">
        <f>F356-F363</f>
        <v>5.1499999999999773</v>
      </c>
      <c r="I356" s="63">
        <f>G356-G363</f>
        <v>7.4411157716542612E-3</v>
      </c>
      <c r="J356" s="19">
        <f t="shared" ref="J356:J360" si="23">H356*I356</f>
        <v>3.8321746224019279E-2</v>
      </c>
      <c r="K356" s="20"/>
      <c r="L356" s="20">
        <f t="shared" ref="L356:L360" si="24">H356^2</f>
        <v>26.522499999999766</v>
      </c>
      <c r="M356" s="38">
        <f t="shared" si="21"/>
        <v>5.5370203927161792E-5</v>
      </c>
      <c r="N356" s="21"/>
      <c r="Q356" s="75"/>
      <c r="R356" s="76"/>
      <c r="S356" s="41"/>
      <c r="T356" s="41"/>
      <c r="U356" s="41"/>
      <c r="V356" s="58"/>
      <c r="W356" s="58"/>
      <c r="X356" s="77"/>
      <c r="Y356" s="74"/>
      <c r="Z356" s="58"/>
    </row>
    <row r="357" spans="1:26" ht="15">
      <c r="A357" s="130" t="s">
        <v>60</v>
      </c>
      <c r="C357" s="268">
        <f>B351+(B350*F357)</f>
        <v>9.2455394760564639E-3</v>
      </c>
      <c r="D357" s="340">
        <f t="shared" si="22"/>
        <v>-5.1804251619698548E-3</v>
      </c>
      <c r="E357" s="6">
        <v>3</v>
      </c>
      <c r="F357" s="46">
        <v>121.5</v>
      </c>
      <c r="G357" s="61">
        <v>1.4425964638026319E-2</v>
      </c>
      <c r="H357" s="19">
        <f>F357-F363</f>
        <v>-9.9500000000000171</v>
      </c>
      <c r="I357" s="63">
        <f>G357-G363</f>
        <v>3.7356698491880797E-3</v>
      </c>
      <c r="J357" s="19">
        <f t="shared" si="23"/>
        <v>-3.7169914999421454E-2</v>
      </c>
      <c r="K357" s="20"/>
      <c r="L357" s="20">
        <f t="shared" si="24"/>
        <v>99.002500000000339</v>
      </c>
      <c r="M357" s="38">
        <f t="shared" si="21"/>
        <v>1.395522922213289E-5</v>
      </c>
      <c r="N357" s="21"/>
      <c r="Q357" s="75"/>
      <c r="R357" s="76"/>
      <c r="S357" s="41"/>
      <c r="T357" s="41"/>
      <c r="U357" s="41"/>
      <c r="V357" s="58"/>
      <c r="W357" s="58"/>
      <c r="X357" s="77"/>
      <c r="Y357" s="74"/>
      <c r="Z357" s="58"/>
    </row>
    <row r="358" spans="1:26" ht="15">
      <c r="A358" s="130" t="s">
        <v>58</v>
      </c>
      <c r="C358" s="268">
        <f>B351+(B350*F358)</f>
        <v>1.0987957943732965E-2</v>
      </c>
      <c r="D358" s="340">
        <f t="shared" si="22"/>
        <v>8.2958538849374121E-3</v>
      </c>
      <c r="E358" s="6">
        <v>4</v>
      </c>
      <c r="F358" s="46">
        <v>133.5</v>
      </c>
      <c r="G358" s="61">
        <v>2.6921040587955525E-3</v>
      </c>
      <c r="H358" s="19">
        <f>F358-F363</f>
        <v>2.0499999999999829</v>
      </c>
      <c r="I358" s="63">
        <f>G358-G363</f>
        <v>-7.9981907300426865E-3</v>
      </c>
      <c r="J358" s="19">
        <f t="shared" si="23"/>
        <v>-1.6396290996587373E-2</v>
      </c>
      <c r="K358" s="20"/>
      <c r="L358" s="20">
        <f t="shared" si="24"/>
        <v>4.2024999999999304</v>
      </c>
      <c r="M358" s="38">
        <f t="shared" si="21"/>
        <v>6.3971054954140767E-5</v>
      </c>
      <c r="N358" s="21"/>
      <c r="P358" s="15"/>
      <c r="Q358" s="75"/>
      <c r="R358" s="76"/>
      <c r="S358" s="41"/>
      <c r="T358" s="41"/>
      <c r="U358" s="41"/>
      <c r="V358" s="58"/>
      <c r="W358" s="58"/>
      <c r="X358" s="77"/>
      <c r="Y358" s="74"/>
      <c r="Z358" s="58"/>
    </row>
    <row r="359" spans="1:26" ht="14.25" customHeight="1">
      <c r="A359" s="130" t="s">
        <v>59</v>
      </c>
      <c r="C359" s="268">
        <f>B351+(B350*F359)</f>
        <v>1.2222171025003821E-2</v>
      </c>
      <c r="D359" s="340">
        <f t="shared" si="22"/>
        <v>-2.0047548123675527E-3</v>
      </c>
      <c r="E359" s="6">
        <v>5</v>
      </c>
      <c r="F359" s="46">
        <v>142</v>
      </c>
      <c r="G359" s="61">
        <v>1.4226925837371373E-2</v>
      </c>
      <c r="H359" s="19">
        <f>F359-F363</f>
        <v>10.549999999999983</v>
      </c>
      <c r="I359" s="63">
        <f>G359-G363</f>
        <v>3.5366310485331343E-3</v>
      </c>
      <c r="J359" s="19">
        <f t="shared" si="23"/>
        <v>3.731145756202451E-2</v>
      </c>
      <c r="K359" s="20"/>
      <c r="L359" s="20">
        <f t="shared" si="24"/>
        <v>111.30249999999964</v>
      </c>
      <c r="M359" s="38">
        <f t="shared" si="21"/>
        <v>1.2507759173448577E-5</v>
      </c>
      <c r="N359" s="21"/>
      <c r="P359" s="107"/>
      <c r="Q359" s="107"/>
      <c r="R359" s="107"/>
      <c r="S359" s="107"/>
      <c r="T359" s="107"/>
      <c r="U359" s="107"/>
      <c r="V359" s="107"/>
      <c r="W359" s="107"/>
      <c r="X359" s="107"/>
      <c r="Y359" s="74"/>
      <c r="Z359" s="58"/>
    </row>
    <row r="360" spans="1:26" ht="15">
      <c r="A360" s="130" t="s">
        <v>60</v>
      </c>
      <c r="C360" s="268">
        <f>B351+(B350*F360)</f>
        <v>1.1147679636603311E-2</v>
      </c>
      <c r="D360" s="340">
        <f t="shared" si="22"/>
        <v>3.4183781165510125E-3</v>
      </c>
      <c r="E360" s="6">
        <v>6</v>
      </c>
      <c r="F360" s="46">
        <v>134.6</v>
      </c>
      <c r="G360" s="61">
        <v>7.7293015200522982E-3</v>
      </c>
      <c r="H360" s="19">
        <f>F360-F363</f>
        <v>3.1499999999999773</v>
      </c>
      <c r="I360" s="63">
        <f>G360-G363</f>
        <v>-2.9609932687859409E-3</v>
      </c>
      <c r="J360" s="19">
        <f t="shared" si="23"/>
        <v>-9.3271287966756461E-3</v>
      </c>
      <c r="K360" s="20"/>
      <c r="L360" s="20">
        <f t="shared" si="24"/>
        <v>9.9224999999998573</v>
      </c>
      <c r="M360" s="38">
        <f t="shared" si="21"/>
        <v>8.7674811377956502E-6</v>
      </c>
      <c r="N360" s="21"/>
      <c r="P360" s="107"/>
      <c r="Q360" s="107"/>
      <c r="R360" s="107"/>
      <c r="S360" s="107"/>
      <c r="T360" s="107"/>
      <c r="U360" s="107"/>
      <c r="V360" s="107"/>
      <c r="W360" s="107"/>
      <c r="X360" s="107"/>
      <c r="Y360" s="74"/>
      <c r="Z360" s="58"/>
    </row>
    <row r="361" spans="1:26" ht="12.75">
      <c r="C361" s="340"/>
      <c r="D361" s="340"/>
      <c r="E361" s="6"/>
      <c r="F361" s="91"/>
      <c r="G361" s="92"/>
      <c r="H361" s="65"/>
      <c r="J361" s="60"/>
      <c r="K361" s="6"/>
      <c r="L361" s="6"/>
      <c r="M361" s="18"/>
      <c r="N361" s="6"/>
      <c r="Q361" s="41"/>
      <c r="R361" s="83"/>
      <c r="S361" s="41"/>
      <c r="T361" s="41"/>
      <c r="U361" s="41"/>
      <c r="V361" s="58"/>
      <c r="W361" s="58"/>
      <c r="X361" s="77"/>
      <c r="Y361" s="74"/>
      <c r="Z361" s="58"/>
    </row>
    <row r="362" spans="1:26" ht="13.5" thickBot="1">
      <c r="B362" s="2" t="s">
        <v>16</v>
      </c>
      <c r="C362" s="340"/>
      <c r="D362" s="340"/>
      <c r="M362" s="18"/>
      <c r="N362" s="6"/>
      <c r="Q362" s="41"/>
      <c r="R362" s="41"/>
      <c r="S362" s="41"/>
      <c r="T362" s="41"/>
      <c r="U362" s="41"/>
      <c r="V362" s="58"/>
      <c r="W362" s="58"/>
      <c r="X362" s="77"/>
      <c r="Y362" s="74"/>
      <c r="Z362" s="58"/>
    </row>
    <row r="363" spans="1:26" ht="13.5" thickBot="1">
      <c r="B363" s="2" t="s">
        <v>0</v>
      </c>
      <c r="C363" s="340">
        <f>AVERAGE(C355:C360)</f>
        <v>1.0690294788838229E-2</v>
      </c>
      <c r="D363" s="340">
        <f>AVERAGE(D355:D360)</f>
        <v>-9.1072982488782372E-18</v>
      </c>
      <c r="F363" s="18">
        <f>AVERAGE(F355:F360)</f>
        <v>131.45000000000002</v>
      </c>
      <c r="G363" s="64">
        <f>AVERAGE(G355:G360)</f>
        <v>1.0690294788838239E-2</v>
      </c>
      <c r="H363" s="19">
        <f>AVERAGE(H355:H360)</f>
        <v>-1.8947806286936004E-14</v>
      </c>
      <c r="I363" s="19">
        <f>AVERAGE(I355:I360)</f>
        <v>-7.2280144832366965E-19</v>
      </c>
      <c r="J363" s="59">
        <f>SUM(J355:J360)</f>
        <v>5.3848716735847402E-2</v>
      </c>
      <c r="K363" s="27" t="s">
        <v>16</v>
      </c>
      <c r="L363" s="28">
        <f>SUM(L355:L360)</f>
        <v>370.85499999999985</v>
      </c>
      <c r="M363" s="28">
        <f>SUM(M355:M360)</f>
        <v>1.6866599135928104E-4</v>
      </c>
      <c r="N363" s="28">
        <f>M363*L363</f>
        <v>6.2550626225546149E-2</v>
      </c>
      <c r="Q363" s="41"/>
      <c r="R363" s="41"/>
      <c r="S363" s="41"/>
      <c r="T363" s="82"/>
      <c r="U363" s="84"/>
      <c r="V363" s="85"/>
      <c r="W363" s="86"/>
      <c r="X363" s="77"/>
      <c r="Y363" s="74"/>
      <c r="Z363" s="87"/>
    </row>
    <row r="364" spans="1:26" ht="15" thickBot="1">
      <c r="B364" s="15" t="s">
        <v>17</v>
      </c>
      <c r="C364" s="29">
        <f>STDEVA(C355:C360)</f>
        <v>1.2505132179843944E-3</v>
      </c>
      <c r="D364" s="29">
        <f>STDEVA(D355:D360)</f>
        <v>5.6718087911619974E-3</v>
      </c>
      <c r="E364" s="15"/>
      <c r="F364" s="30">
        <f>STDEVA(F355:F360)</f>
        <v>8.6122587048926924</v>
      </c>
      <c r="G364" s="29">
        <f>STDEVA(G355:G360)</f>
        <v>5.8080287767758336E-3</v>
      </c>
      <c r="H364" s="30">
        <f>STDEVA(H355:H360)</f>
        <v>8.6122587048926924</v>
      </c>
      <c r="I364" s="30">
        <f>STDEVA(I355:I360)</f>
        <v>5.8080287767758353E-3</v>
      </c>
      <c r="J364" s="31" t="s">
        <v>16</v>
      </c>
      <c r="K364" s="32"/>
      <c r="L364" s="33"/>
      <c r="M364" s="33"/>
      <c r="N364" s="34"/>
      <c r="Q364" s="41"/>
      <c r="R364" s="41"/>
      <c r="S364" s="41"/>
      <c r="T364" s="41"/>
      <c r="U364" s="84"/>
      <c r="V364" s="85"/>
      <c r="W364" s="85"/>
      <c r="X364" s="88"/>
      <c r="Y364" s="89"/>
      <c r="Z364" s="41"/>
    </row>
    <row r="365" spans="1:26" ht="15.75" customHeight="1">
      <c r="B365" s="15" t="s">
        <v>18</v>
      </c>
      <c r="C365" s="35">
        <f>C364^2</f>
        <v>1.5637833083536856E-6</v>
      </c>
      <c r="D365" s="35">
        <f>D364^2</f>
        <v>3.2169414963502521E-5</v>
      </c>
      <c r="E365" s="15"/>
      <c r="F365" s="30">
        <f>F364^2</f>
        <v>74.17099999999995</v>
      </c>
      <c r="G365" s="35">
        <f>G364^2</f>
        <v>3.3733198271856185E-5</v>
      </c>
      <c r="H365" s="30">
        <f>H364^2</f>
        <v>74.17099999999995</v>
      </c>
      <c r="I365" s="30">
        <f>I364^2</f>
        <v>3.3733198271856206E-5</v>
      </c>
      <c r="J365" s="33"/>
      <c r="K365" s="27"/>
      <c r="L365" s="33"/>
      <c r="M365" s="33"/>
      <c r="N365" s="34"/>
      <c r="P365" s="271" t="s">
        <v>84</v>
      </c>
      <c r="Q365" s="272"/>
      <c r="R365" s="272"/>
      <c r="S365" s="272"/>
      <c r="T365" s="272"/>
      <c r="U365" s="272"/>
      <c r="V365" s="272"/>
      <c r="W365" s="272"/>
      <c r="X365" s="273"/>
      <c r="Y365" s="41"/>
      <c r="Z365" s="41"/>
    </row>
    <row r="366" spans="1:26">
      <c r="B366" s="2" t="s">
        <v>19</v>
      </c>
      <c r="C366" s="30">
        <f>COUNT(C355:C360)</f>
        <v>6</v>
      </c>
      <c r="D366" s="30">
        <f>COUNT(D355:D360)</f>
        <v>6</v>
      </c>
      <c r="F366" s="30">
        <f>COUNT(F355:F360)</f>
        <v>6</v>
      </c>
      <c r="G366" s="30">
        <f>COUNT(G355:G360)</f>
        <v>6</v>
      </c>
      <c r="I366" s="27"/>
      <c r="J366" s="33"/>
      <c r="K366" s="27"/>
      <c r="L366" s="33"/>
      <c r="M366" s="33"/>
      <c r="N366" s="34"/>
      <c r="P366" s="274"/>
      <c r="Q366" s="275"/>
      <c r="R366" s="275"/>
      <c r="S366" s="275"/>
      <c r="T366" s="275"/>
      <c r="U366" s="275"/>
      <c r="V366" s="275"/>
      <c r="W366" s="275"/>
      <c r="X366" s="276"/>
      <c r="Y366" s="41"/>
      <c r="Z366" s="41"/>
    </row>
    <row r="367" spans="1:26">
      <c r="B367" s="36" t="s">
        <v>20</v>
      </c>
      <c r="C367" s="37">
        <f>C363/C364</f>
        <v>8.5487259431524354</v>
      </c>
      <c r="D367" s="37">
        <f>D363/D364</f>
        <v>-1.6057132008874374E-15</v>
      </c>
      <c r="E367" s="36"/>
      <c r="F367" s="37">
        <f>F363/F364</f>
        <v>15.263127189307751</v>
      </c>
      <c r="G367" s="37">
        <f>G363/G364</f>
        <v>1.8406063743321637</v>
      </c>
      <c r="I367" s="27"/>
      <c r="J367" s="36"/>
      <c r="P367" s="274"/>
      <c r="Q367" s="275"/>
      <c r="R367" s="275"/>
      <c r="S367" s="275"/>
      <c r="T367" s="275"/>
      <c r="U367" s="275"/>
      <c r="V367" s="275"/>
      <c r="W367" s="275"/>
      <c r="X367" s="276"/>
      <c r="Y367" s="41"/>
      <c r="Z367" s="41"/>
    </row>
    <row r="368" spans="1:26">
      <c r="B368" s="36"/>
      <c r="C368" s="37"/>
      <c r="D368" s="36"/>
      <c r="E368" s="36"/>
      <c r="F368" s="37"/>
      <c r="G368" s="37"/>
      <c r="I368" s="27"/>
      <c r="J368" s="36"/>
      <c r="P368" s="274"/>
      <c r="Q368" s="275"/>
      <c r="R368" s="275"/>
      <c r="S368" s="275"/>
      <c r="T368" s="275"/>
      <c r="U368" s="275"/>
      <c r="V368" s="275"/>
      <c r="W368" s="275"/>
      <c r="X368" s="276"/>
      <c r="Y368" s="41"/>
      <c r="Z368" s="41"/>
    </row>
    <row r="369" spans="1:24">
      <c r="B369" s="36"/>
      <c r="C369" s="37"/>
      <c r="D369" s="36"/>
      <c r="E369" s="36"/>
      <c r="F369" s="37"/>
      <c r="G369" s="48" t="s">
        <v>21</v>
      </c>
      <c r="I369" s="49" t="s">
        <v>22</v>
      </c>
      <c r="J369" s="36"/>
      <c r="P369" s="277"/>
      <c r="Q369" s="278"/>
      <c r="R369" s="278"/>
      <c r="S369" s="278"/>
      <c r="T369" s="278"/>
      <c r="U369" s="278"/>
      <c r="V369" s="278"/>
      <c r="W369" s="278"/>
      <c r="X369" s="279"/>
    </row>
    <row r="370" spans="1:24" ht="15.75">
      <c r="A370" s="2" t="s">
        <v>23</v>
      </c>
      <c r="C370" s="37"/>
      <c r="D370" s="36"/>
      <c r="E370" s="36"/>
      <c r="G370" s="24">
        <f>B352*(SQRT((C366-2)/(1-B353)))</f>
        <v>0.44095746666671354</v>
      </c>
      <c r="H370" s="40"/>
      <c r="I370" s="42">
        <f>TDIST(ABS(G370),8,2)</f>
        <v>0.67091736802892443</v>
      </c>
      <c r="J370" s="50" t="s">
        <v>57</v>
      </c>
      <c r="N370" s="2"/>
      <c r="O370" s="41"/>
      <c r="P370" s="43"/>
    </row>
    <row r="371" spans="1:24" ht="15.75">
      <c r="A371" s="2" t="s">
        <v>24</v>
      </c>
      <c r="C371" s="37"/>
      <c r="D371" s="36"/>
      <c r="E371" s="36"/>
      <c r="G371" s="24">
        <f>B350/((G364/F364)*SQRT((1-B353)/(G366-2)))</f>
        <v>0.44095746666671365</v>
      </c>
      <c r="H371" s="36"/>
      <c r="I371" s="42">
        <f>TDIST(ABS(G371),8,2)</f>
        <v>0.67091736802892443</v>
      </c>
      <c r="J371" s="36"/>
      <c r="K371" s="36"/>
      <c r="N371" s="2"/>
      <c r="O371" s="36"/>
      <c r="P371" s="43"/>
    </row>
    <row r="372" spans="1:24" ht="12.75">
      <c r="C372" s="37"/>
      <c r="D372" s="36"/>
      <c r="E372" s="36"/>
      <c r="J372" s="36"/>
      <c r="K372" s="36"/>
      <c r="N372" s="2"/>
      <c r="O372" s="36"/>
      <c r="P372" s="43"/>
    </row>
    <row r="373" spans="1:24" ht="15.75">
      <c r="A373" s="2" t="s">
        <v>25</v>
      </c>
      <c r="B373" s="37"/>
      <c r="D373" s="38"/>
      <c r="E373" s="56">
        <f>Q373*((G364/F364)*SQRT((1-B352^2)/(G366-2)))</f>
        <v>9.1424713861029704E-4</v>
      </c>
      <c r="F373" s="51" t="s">
        <v>26</v>
      </c>
      <c r="G373" s="98">
        <f>B350-E373</f>
        <v>-7.6904559963725532E-4</v>
      </c>
      <c r="H373" s="51" t="s">
        <v>27</v>
      </c>
      <c r="I373" s="98">
        <f>B350+E373</f>
        <v>1.0594486775833388E-3</v>
      </c>
      <c r="K373" s="51" t="s">
        <v>28</v>
      </c>
      <c r="L373" s="52">
        <v>0.95</v>
      </c>
      <c r="M373" s="51" t="s">
        <v>29</v>
      </c>
      <c r="N373" s="53">
        <f>C366-2</f>
        <v>4</v>
      </c>
      <c r="P373" s="54" t="s">
        <v>30</v>
      </c>
      <c r="Q373" s="55">
        <f>TINV((1-L373),N373)</f>
        <v>2.776445105197793</v>
      </c>
    </row>
    <row r="374" spans="1:24" ht="15">
      <c r="J374" s="117"/>
      <c r="M374" s="15"/>
      <c r="N374" s="118"/>
      <c r="O374" s="15"/>
      <c r="P374" s="116"/>
    </row>
    <row r="375" spans="1:24" ht="15">
      <c r="J375" s="117"/>
      <c r="M375" s="15"/>
      <c r="N375" s="118"/>
      <c r="O375" s="15"/>
      <c r="P375" s="116"/>
    </row>
    <row r="376" spans="1:24" ht="15">
      <c r="J376" s="117"/>
      <c r="M376" s="15"/>
      <c r="N376" s="118"/>
      <c r="O376" s="15"/>
      <c r="P376" s="116"/>
    </row>
    <row r="377" spans="1:24" ht="15">
      <c r="J377" s="117"/>
      <c r="M377" s="15"/>
      <c r="N377" s="118"/>
      <c r="O377" s="15"/>
      <c r="P377" s="116"/>
    </row>
  </sheetData>
  <mergeCells count="78">
    <mergeCell ref="A268:A270"/>
    <mergeCell ref="A271:G271"/>
    <mergeCell ref="A272:G272"/>
    <mergeCell ref="A261:A262"/>
    <mergeCell ref="A263:I263"/>
    <mergeCell ref="A265:G265"/>
    <mergeCell ref="A266:B267"/>
    <mergeCell ref="C266:C267"/>
    <mergeCell ref="D266:D267"/>
    <mergeCell ref="E266:E267"/>
    <mergeCell ref="F266:F267"/>
    <mergeCell ref="A252:A254"/>
    <mergeCell ref="A255:G255"/>
    <mergeCell ref="A256:G256"/>
    <mergeCell ref="A258:I258"/>
    <mergeCell ref="A259:B260"/>
    <mergeCell ref="C259:D259"/>
    <mergeCell ref="F259:F260"/>
    <mergeCell ref="G259:G260"/>
    <mergeCell ref="H259:I259"/>
    <mergeCell ref="A87:A89"/>
    <mergeCell ref="A90:G90"/>
    <mergeCell ref="A91:G91"/>
    <mergeCell ref="A243:K243"/>
    <mergeCell ref="A244:A245"/>
    <mergeCell ref="B244:B245"/>
    <mergeCell ref="C244:C245"/>
    <mergeCell ref="D244:D245"/>
    <mergeCell ref="E244:E245"/>
    <mergeCell ref="F244:J244"/>
    <mergeCell ref="K244:K245"/>
    <mergeCell ref="A80:A81"/>
    <mergeCell ref="A82:I82"/>
    <mergeCell ref="A84:G84"/>
    <mergeCell ref="A85:B86"/>
    <mergeCell ref="C85:C86"/>
    <mergeCell ref="D85:D86"/>
    <mergeCell ref="E85:E86"/>
    <mergeCell ref="F85:F86"/>
    <mergeCell ref="A75:G75"/>
    <mergeCell ref="A77:I77"/>
    <mergeCell ref="A78:B79"/>
    <mergeCell ref="C78:D78"/>
    <mergeCell ref="F78:F79"/>
    <mergeCell ref="G78:G79"/>
    <mergeCell ref="H78:I78"/>
    <mergeCell ref="A67:K67"/>
    <mergeCell ref="A247:K247"/>
    <mergeCell ref="A248:K248"/>
    <mergeCell ref="A250:G250"/>
    <mergeCell ref="A62:K62"/>
    <mergeCell ref="A63:A64"/>
    <mergeCell ref="B63:B64"/>
    <mergeCell ref="C63:C64"/>
    <mergeCell ref="D63:D64"/>
    <mergeCell ref="E63:E64"/>
    <mergeCell ref="F63:J63"/>
    <mergeCell ref="K63:K64"/>
    <mergeCell ref="A69:G69"/>
    <mergeCell ref="A70:B70"/>
    <mergeCell ref="A71:A73"/>
    <mergeCell ref="A74:G74"/>
    <mergeCell ref="A251:B251"/>
    <mergeCell ref="H353:I353"/>
    <mergeCell ref="P365:X369"/>
    <mergeCell ref="P336:X339"/>
    <mergeCell ref="H8:I8"/>
    <mergeCell ref="P26:X29"/>
    <mergeCell ref="H100:I100"/>
    <mergeCell ref="P119:X122"/>
    <mergeCell ref="H149:I149"/>
    <mergeCell ref="P167:X170"/>
    <mergeCell ref="H198:I198"/>
    <mergeCell ref="P214:X217"/>
    <mergeCell ref="H279:I279"/>
    <mergeCell ref="P295:X298"/>
    <mergeCell ref="H320:I320"/>
    <mergeCell ref="A66:K66"/>
  </mergeCells>
  <pageMargins left="0.7" right="0.7" top="0.75" bottom="0.75" header="0.3" footer="0.3"/>
  <pageSetup paperSize="9" orientation="portrait" horizontalDpi="300" verticalDpi="300" r:id="rId1"/>
  <ignoredErrors>
    <ignoredError sqref="C175:M180 C181:H181 N179 C224:O232"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 PAS Int-Con, r RAR</vt:lpstr>
      <vt:lpstr>Dif PAS Desp-Ant, r Inc-año</vt:lpstr>
      <vt:lpstr>PAS Alcanz, r Inc-año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cp:lastModifiedBy>
  <dcterms:created xsi:type="dcterms:W3CDTF">2015-05-27T10:24:12Z</dcterms:created>
  <dcterms:modified xsi:type="dcterms:W3CDTF">2018-11-04T09:59:32Z</dcterms:modified>
</cp:coreProperties>
</file>