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1595" windowHeight="7305" activeTab="0"/>
  </bookViews>
  <sheets>
    <sheet name="Introd, desde a b c d" sheetId="1" r:id="rId1"/>
    <sheet name="Desde S, E y preval" sheetId="2" r:id="rId2"/>
    <sheet name="4 test audic" sheetId="3" r:id="rId3"/>
    <sheet name="Curvas ROC" sheetId="4" r:id="rId4"/>
    <sheet name="Concatenadas" sheetId="5" r:id="rId5"/>
  </sheets>
  <definedNames/>
  <calcPr fullCalcOnLoad="1"/>
</workbook>
</file>

<file path=xl/sharedStrings.xml><?xml version="1.0" encoding="utf-8"?>
<sst xmlns="http://schemas.openxmlformats.org/spreadsheetml/2006/main" count="1154" uniqueCount="326">
  <si>
    <t>Total</t>
  </si>
  <si>
    <t>Positivos (subjet)</t>
  </si>
  <si>
    <t>Negativos (subjet)</t>
  </si>
  <si>
    <t xml:space="preserve">Falsos (objetivamente) </t>
  </si>
  <si>
    <t>Verdaderos (objetivamente)</t>
  </si>
  <si>
    <t>Sensibilidad</t>
  </si>
  <si>
    <t>Especificidad</t>
  </si>
  <si>
    <t>Test positivo</t>
  </si>
  <si>
    <t>Test negativo</t>
  </si>
  <si>
    <t>Muestra N=</t>
  </si>
  <si>
    <t>Prevalencia=</t>
  </si>
  <si>
    <t>Sensibilidad=</t>
  </si>
  <si>
    <t>Especificidad=</t>
  </si>
  <si>
    <t>n (de muestra)</t>
  </si>
  <si>
    <t>Límite inferior del IC</t>
  </si>
  <si>
    <t>Límite superior del IC</t>
  </si>
  <si>
    <t>Nº que coinciden (ej. Verdaderos + o Verdaderos -)</t>
  </si>
  <si>
    <t>Proporción o Sensibilidad o Especificidad</t>
  </si>
  <si>
    <t>PRUEBA VOZ SUSURRADA COMO SCREENING DE LA PÉRDIDA DE AUDICIÓN POR DEBAJO DE 30 dB POR MÉDICOS DE ATENCIÓN PRIMARIA</t>
  </si>
  <si>
    <t>ESTÁNDAR: ENT Audiometer</t>
  </si>
  <si>
    <t>Prueba positiva</t>
  </si>
  <si>
    <t>Prueba negativa</t>
  </si>
  <si>
    <t>TEST PAT-225 para detectar detectar pérdida audición por debajo de 30 decibelios</t>
  </si>
  <si>
    <t>TEST MANDSEN PAT 225 COMO SCREENING DE LA PÉRDIDA DE AUDICIÓN POR DEBAJO DE 30 dB POR MÉDICOS DE ATENCIÓN PRIMARIA</t>
  </si>
  <si>
    <t>Valor Predict +</t>
  </si>
  <si>
    <t>Valor Predict -</t>
  </si>
  <si>
    <t>TEST AUDIOSCOPE-3  para detectar detectar pérdida audición por debajo de 40 decibelios</t>
  </si>
  <si>
    <t>PARA DETECTAR LA PÉRDIDA DE AUDICIÓN POR DEBAJO DE 30 DECIBELIOS</t>
  </si>
  <si>
    <t>PARA DETECTAR LA PÉRDIDA DE AUDICIÓN POR DEBAJO DE 40 DECIBELIOS</t>
  </si>
  <si>
    <t>TEST MICROMATE 304 COMO SCREENING DE LA PÉRDIDA DE AUDICIÓN POR DEBAJO DE 40 dB POR MÉDICOS DE ATENCIÓN PRIMARIA</t>
  </si>
  <si>
    <t>TEST MICROMATE 304 para detectar detectar pérdida audición por debajo de 40 decibelios</t>
  </si>
  <si>
    <t>Para calcular el IC 95% se sigue la iteración de calcular tres valores, que denominamos A, B y C. Pues bien, el IC = (A+-B) / C; y sale directamente sin sumar ni restar a la estimación puntual. Se observará que los extremos tienen distinta extensión.</t>
  </si>
  <si>
    <t>A= 2*eventos + z^2</t>
  </si>
  <si>
    <t>C= 2(n+z^2)</t>
  </si>
  <si>
    <t>IC = (A+-B)/C</t>
  </si>
  <si>
    <t>p (proporción) = eventos / n</t>
  </si>
  <si>
    <t>Sensibil</t>
  </si>
  <si>
    <t>Operar</t>
  </si>
  <si>
    <t>TEST AUDIOSCOPE-3 COMO SCREENING DE LA PÉRDIDA DE AUDICIÓN POR DEBAJO DE 40 dB POR MÉDICOS DE ATENCIÓN PRIMARIA</t>
  </si>
  <si>
    <t>Objetividad</t>
  </si>
  <si>
    <t>Sujetividad</t>
  </si>
  <si>
    <t>Supongamos que el test tiene una sensibilidad del 98% y una especificidad del 98%.</t>
  </si>
  <si>
    <t>Supongamos que el test se ha hecho a 10.000 personas. Como la prevalencia es 0,5%, habrá 50 enfermas y 9950 sanas.</t>
  </si>
  <si>
    <t>Supongamos que a uno de esos 10.000 individuos se le dice que ha tenido un positivo. ¿Cuál es la probabilidad de que tenga cáncer?</t>
  </si>
  <si>
    <t>Cáncer +</t>
  </si>
  <si>
    <t>Cáncer -</t>
  </si>
  <si>
    <t>Z α/2 (0,05)</t>
  </si>
  <si>
    <t xml:space="preserve">Conviene insistir en que lo que realmente obtenemos son estimaciones de los verdaderos valores de sensibilidad y especificidad para una población teórica de la que suponemos </t>
  </si>
  <si>
    <t>Resultados de un estudio que evalúa un nuevo método de diagnóstico de infección urinaria.</t>
  </si>
  <si>
    <t>que nuestro grupo de pacientes constituye una muestra aleatoria. Por tanto, un tratamiento estadístico correcto exigiría incluir medidas de su precisión como estimadores,</t>
  </si>
  <si>
    <t>y, mejor aún, utilizarlas para construir intervalos de confianza para los verdaderos valores de sensibilidad y especificidad.</t>
  </si>
  <si>
    <t>Cultivo positivo = Bacteriuria Verdadero (Gold standard)</t>
  </si>
  <si>
    <t>Cultivo negativo = Bacteriuria Falso (Gold standard)</t>
  </si>
  <si>
    <t>Tinción "Positivo"</t>
  </si>
  <si>
    <t>Tinción "Negativo"</t>
  </si>
  <si>
    <t>Valor predictivo (-)</t>
  </si>
  <si>
    <t>S= (285 / 1064) / (346 / 1064) = 285 / 346 = 82,4%</t>
  </si>
  <si>
    <t>Una likelihood ratio &gt; 1 indica que el resultado del test está asociado con la enfermedad. Un likelihood &lt; 1 indica que el resultado está asociado con la ausencia de enfermedad</t>
  </si>
  <si>
    <t>Por tanto, la odds postprueba = odds preprueba x Factor Bayes = 0,48 x 49,3 = 23,75, lo que se traduce en un Valor Predictivo Positivo = 23,75 / (23,75 +1) = 96%, justo el mismo obtenido anteriormente</t>
  </si>
  <si>
    <t>Probemos con el punto de corte en VCM 90</t>
  </si>
  <si>
    <t>La curva ROC es también independiente de la distribución de las clases en la población (en diagnóstico, la prevalencia de una enfermedad en la población).</t>
  </si>
  <si>
    <t>El análisis ROC se relaciona de forma directa y natural con el análisis de coste/beneficio en toma de decisiones diagnósticas.</t>
  </si>
  <si>
    <t>1- Espcif</t>
  </si>
  <si>
    <t>Corte VCM 90</t>
  </si>
  <si>
    <t>Probemos con el punto de corte en VCM 80</t>
  </si>
  <si>
    <t>Corte VCM 80</t>
  </si>
  <si>
    <t>Corte VCM 75</t>
  </si>
  <si>
    <t>Corte VCM 70</t>
  </si>
  <si>
    <t>Corte VCM 65</t>
  </si>
  <si>
    <t>Probemos con el punto de corte en VCM 75</t>
  </si>
  <si>
    <t>APLICACIÓN PRÁCTICA DE UN TEST DIAGNÓSTICO DE CÁNCER: QUÉ SUCEDE CUANDO A UN INDIVIDUO SE LE DICE QUE TIENE UN RESULTADO POSITIVO.</t>
  </si>
  <si>
    <t>IMPLICACIONES DERIVADAS DE LA PROBABILIDAD CONDICIONADA, CUANDO LA CONDICIÓN SUYACENTE ES QUE LA PREVALENCIA DE CÁNCER EN LA POBLACIÓN ES 0,5%</t>
  </si>
  <si>
    <t>Probemos con el punto de corte en VCM 70</t>
  </si>
  <si>
    <t>Probemos con el punto de corte en VCM 65</t>
  </si>
  <si>
    <t xml:space="preserve">Gigerenzer G et all. Helping Doctors and Patients Make Sense of Health Statistics. Association for Psychological Science. 2008;8:2, 53-96. </t>
  </si>
  <si>
    <t>EJEMPLO Nº 1 DE PLANTEAMIENTO BAYESIANO</t>
  </si>
  <si>
    <t>EJEMPLO Nº 2 DE PLANTEAMIENTO BAYESIANO</t>
  </si>
  <si>
    <t>Enfermos</t>
  </si>
  <si>
    <t>Sanos</t>
  </si>
  <si>
    <t>Objetividad (REALIDAD REAL)</t>
  </si>
  <si>
    <t>a</t>
  </si>
  <si>
    <t>b</t>
  </si>
  <si>
    <t>c</t>
  </si>
  <si>
    <t>d</t>
  </si>
  <si>
    <t>a+b</t>
  </si>
  <si>
    <t>c+d</t>
  </si>
  <si>
    <t>a+b+c+d</t>
  </si>
  <si>
    <t>a+c</t>
  </si>
  <si>
    <t>b+d</t>
  </si>
  <si>
    <t>a / (a+c)</t>
  </si>
  <si>
    <t>d / (b+d)</t>
  </si>
  <si>
    <t>a / (a+b)</t>
  </si>
  <si>
    <t>d / (c+d)</t>
  </si>
  <si>
    <t>Valor predictivo (+)</t>
  </si>
  <si>
    <t>Sujetividad (REALIDAD INGENUA = lo que yo creo, lo que detecto con mi técnica)</t>
  </si>
  <si>
    <t>"Yo creo o detecto como enfermos" (Positivo)</t>
  </si>
  <si>
    <t>"Yo creo o detecto como sanos" (Negativo)</t>
  </si>
  <si>
    <t>Verdaderos enfermos</t>
  </si>
  <si>
    <t>% de REALIDAD REAL en lo que subjetivamente yo creo o detecto ("realidad ingenua")</t>
  </si>
  <si>
    <t>Verdaderos sanos</t>
  </si>
  <si>
    <t>En la prueba anterior la prevalencia es 346 / 1064 = 32,5%, lo que se traduce en una odds previa (odds preprueba) = 0,325 / (1-0,325) = 0,48.</t>
  </si>
  <si>
    <t>Al disminuir la prevalencia, por lo general, el Valor Predict (-) suele aumentar (porque tiende a descartar la ausencia).</t>
  </si>
  <si>
    <t>Al aumentar la prevalencia, por lo general, el Valor Predict (+) suele aumentar (porque tiende a mejorar la presencia),</t>
  </si>
  <si>
    <t>Diagonal</t>
  </si>
  <si>
    <t xml:space="preserve"> Verd (+) / Falso (+)</t>
  </si>
  <si>
    <t xml:space="preserve">Factor de Bayes = Likelihood ratio (+) = </t>
  </si>
  <si>
    <t xml:space="preserve"> Falso (-) / Verd (-)</t>
  </si>
  <si>
    <t>RPP= Likelihood ratio (+) =:Verd (+) / Falso (+) = sensibilidad / 1-especificidad)=</t>
  </si>
  <si>
    <t>RPN= Likelihood ratio (-) = Falso (-) / Verd (-) = (1-sensibilidad) / especificidad =</t>
  </si>
  <si>
    <t>= Lilelihood ratio (-)</t>
  </si>
  <si>
    <t>La prevalencia no debe modificar la S y E, aunque en la práctica se mueven un poquito (si aumenta prevalencia, aumenta S y disminuye E)..</t>
  </si>
  <si>
    <t>RAZÓN DE PROBABILIDAD POSITIVA (RPP) Y NEGATIVA (RPN)</t>
  </si>
  <si>
    <t>ENFERMOS REALES que "yo detecto como enfermos" = Verdaderos Positivos</t>
  </si>
  <si>
    <t>SANOS REALES que "yo detecto como enfermos" = Falsos Positivos</t>
  </si>
  <si>
    <t>ENFERMOS REALES que "yo detecto como sanos" = Falsos Negativos</t>
  </si>
  <si>
    <t>SANOS REALES que "yo detecto como sanos" = Verdaderos Negativos</t>
  </si>
  <si>
    <t>La prueba, con un AUC 0,92 (0,89-0,96), es informativa porque su intervalo de confianza no incluye el 0,5; que es la diagonal de no discriminación.</t>
  </si>
  <si>
    <t>MÉTODO DE WILSON: Que puede utilizarse sin necesidad de estar pendientes del tamaño del amuestra o de proporciones cuyo p &lt;5 / n. Por ello puede utilizarse para las excepciones anteriores y para todas todas</t>
  </si>
  <si>
    <t>Prevalencia: 0,15%, Sensibilidad 80%; Especificidad 92%</t>
  </si>
  <si>
    <t>para la probabilidad post test de pacientes que tienen la enfermedad testada, con el fin de estimar la probabilidad post-test</t>
  </si>
  <si>
    <t>Tengo una Odds de 0,25 y quero calcular la Probablidad. Pues bien, Probabilidad = Odds / (Odds+1) = 0,25 / (1,25) = 0,2</t>
  </si>
  <si>
    <t>Tengo una Probabilidad 0,2 y quero calcular la Odds. Pues bien, Odds = Probabilidad / (1-Probabilidad) = 0,2 / (0,8) = 0,25</t>
  </si>
  <si>
    <t xml:space="preserve">Cuando está cercano al 1, la significación como probabilidad post-test es poco diferente a la pre-test. Cuando es &gt; 5 entonces puede ser aplicado </t>
  </si>
  <si>
    <t>Obsérvese que RPP= Factor de Bayes = likelihood ratio positivo (razón de verosimilitud positiva) = señal / ruido = efecto / error (estándar). Este es el punto de corte de cada prueba</t>
  </si>
  <si>
    <t>Voz susurrada</t>
  </si>
  <si>
    <t>Factor de Bayes</t>
  </si>
  <si>
    <t>PAT-225</t>
  </si>
  <si>
    <t>AIDIOSCOPE 3</t>
  </si>
  <si>
    <t>MICROMATE 304</t>
  </si>
  <si>
    <t>Prueba diagnóstica</t>
  </si>
  <si>
    <t>COMPARACIÓN DEL FACTOR DE BAYES DE LAS CUATRO PRUEBAS DIAGNÓSTICAS</t>
  </si>
  <si>
    <t>UTLIIDAD PRETEST POSTEST DEL VALOR DEL FACTOR DE BAYES</t>
  </si>
  <si>
    <t>INTERPRETACIÓN DEL VALOR PREDICTIVO POSITIVO PARA EL SCREENING CÁNCER DE LA TABLA</t>
  </si>
  <si>
    <t>Escribiendo aquí los 4 datos, se obtienen automáticamente S, E, VP+ y VP- con sus intervalos de confianza, así como el Factor de Bayes</t>
  </si>
  <si>
    <t>En cada prueba que yo detecto como "enfermo" hay 49,3 veces más posibilidades de que sea enfermo (Verd Posit) a que sea sano (Falso Posit).</t>
  </si>
  <si>
    <t>RECORDATORIO: Sanos: 20, Enfermos: 80; Probabilidad = 20 / (20+80) = 0,2; Odds = 20 / 80 = 0,25. Puedo deducir la una de la otra.</t>
  </si>
  <si>
    <t>RESUMEN DE LOS RESULTADOS DE LOS CINCO CORTES QUE ESTAMOS EXPLORANDO</t>
  </si>
  <si>
    <t xml:space="preserve">y así, de los 248 que yo creo detectar como "positivos", la probabilidad condicional de padecer cáncer de mi observación es 49/248= 19,8% </t>
  </si>
  <si>
    <t xml:space="preserve">De cada 100 que yo creo positivos, 19,8 son verdaderos positivos y 81,2 son falsos positivos. Pero yo etiqueto al 100% como positivos, lo cual supone </t>
  </si>
  <si>
    <t>La prevalencia no debe modificar la S y E, aunque en la práctica se mueven un poquito (si aumenta prevalencia, aumenta S y disminuye E).</t>
  </si>
  <si>
    <t>Como puede verse,  yo creo detectar 248 "positivos", que resultaron ser 199 falsos positivos y 49 verdaderos positivos;</t>
  </si>
  <si>
    <t>trastornos psicológicos como la ansiedad y la incertidumbre durante años debido a los resultados falsos positivos, a los que se sumarán</t>
  </si>
  <si>
    <t>los riesgos del sobretratamiento, es decir más morbilidad y mortalidad asociada a las intervenciones médicas y quirúrgicas propias del tratamiento anticanceroso.</t>
  </si>
  <si>
    <t>Tiene Sínd Down</t>
  </si>
  <si>
    <t>NO tiene Sínd Down</t>
  </si>
  <si>
    <t>No procede</t>
  </si>
  <si>
    <t>Expresado en forma de odds: Tras las dos pruebas consecutivas que yo detecto como enfermo, es 1,575 veces más probable estar enfermo frente a 1 de no estarlo.</t>
  </si>
  <si>
    <t>En cada prueba que yo detecto como "sano" hay 5,58 (0,18 / 1) veces más de posibilidades de que sea sano (Verd Neg) a que sea enfermo (Falso Neg)</t>
  </si>
  <si>
    <t>Baines CJ, McFarlane DV, Miller AB. Sensitivity and specificity of first screen mammography in 15 NBSS centres. Canadian Association of Radiologists Journal 1988;39(4):273–6.</t>
  </si>
  <si>
    <t>Verdaderos Positivos</t>
  </si>
  <si>
    <t>Falsos Positivos</t>
  </si>
  <si>
    <t>Falsos Negativos</t>
  </si>
  <si>
    <t>Verdaderos Negativos</t>
  </si>
  <si>
    <t>Odds previa=</t>
  </si>
  <si>
    <t>Odds posterior=</t>
  </si>
  <si>
    <t>Prevalencia previa=</t>
  </si>
  <si>
    <t>Prevalencia posterior=</t>
  </si>
  <si>
    <t>Odds posterior</t>
  </si>
  <si>
    <t>PRIMERA PRUEBA DIAGNÓSTICA</t>
  </si>
  <si>
    <t>SEGUNDA PRUEBA DIAGNÓSTICA (que debe ser independiente de la anterior)</t>
  </si>
  <si>
    <t>Odds previa * Factor de Bayes = Odds posterior</t>
  </si>
  <si>
    <t>Odds previa</t>
  </si>
  <si>
    <t>Paso de Odds a Probabilidad</t>
  </si>
  <si>
    <t>Paso de Probabilidad a Odds</t>
  </si>
  <si>
    <t>VISTO EN FORMA DE PLANTEAMIENTO BAYESIANO</t>
  </si>
  <si>
    <t xml:space="preserve">Expresado en forma de probabilidad: Tras las dos pruebas consecutivas que yo detecto como enfermo, hay una probabilidad del 61,2% de que esté enfermo. </t>
  </si>
  <si>
    <t>TEST DE LA VOZ SUSURRADA para detectar pérdida audición por debajo de 30 decibelios</t>
  </si>
  <si>
    <t>Valor Predictivo Negativo</t>
  </si>
  <si>
    <t>Valor Predictivo Positivo</t>
  </si>
  <si>
    <t>=&gt; Probablidad =</t>
  </si>
  <si>
    <t>=&gt; Odds =</t>
  </si>
  <si>
    <t>VCM &gt;= 90 "No anemia"</t>
  </si>
  <si>
    <t>VCM &lt; 90 "Sí anemia"</t>
  </si>
  <si>
    <t>Biopsia No anemia fer</t>
  </si>
  <si>
    <t>Biopsia Sí anemia fer</t>
  </si>
  <si>
    <t>VCM &gt;= 80 No anemia fer</t>
  </si>
  <si>
    <t>VCM &lt; 80 Sí anemia fer</t>
  </si>
  <si>
    <t>VCM &gt;= 75 No amenia fer</t>
  </si>
  <si>
    <t>VCM &lt; 75 Sí anemia fer</t>
  </si>
  <si>
    <t>VCM &gt;= 70 No anemia fer</t>
  </si>
  <si>
    <t>VCM &lt; 70 Sí anemia fer</t>
  </si>
  <si>
    <t>VCM &gt;= 65 No anemia fer</t>
  </si>
  <si>
    <t>VCM &lt; 65 Sí anemia fer</t>
  </si>
  <si>
    <t>Un AUC del 80% podemos considerar que discrimina bien, pues discrimina el 80% de máximo posible.</t>
  </si>
  <si>
    <t xml:space="preserve">Cuando se quiera comparar 2 curvas ROC para ver si la diferencia es estadísticamente significativa , se puede utilizar la siguiente prueba sistemática que, </t>
  </si>
  <si>
    <t>en muestras grandes segurá aproximadamente una distribución normal (AUC1= area under curve muestra 1; EE1: error estándar de la muestra 1)</t>
  </si>
  <si>
    <t>Imaginemos que en con dos pruebas diagnósticas hemos encontrado las dos siguientes AUC1 = 0,868 (EE1 = 0,0339) y AUC2 = 0,834 (EE2 = 0,0390). ¿Es significativa la diferencia?</t>
  </si>
  <si>
    <t>p =(AUC)</t>
  </si>
  <si>
    <t>q = 1-p</t>
  </si>
  <si>
    <t>n (muestra)</t>
  </si>
  <si>
    <t>EE Raíz (p*q/n)</t>
  </si>
  <si>
    <t>NOTA: Damos por supuesto que el EE del AUC se calcularía así:</t>
  </si>
  <si>
    <t>Sensibilidad (S) =  "verdaderos enfermos que yo detecto" por cada 100 que están "ENFERMOS OBJETIVAMENTE"</t>
  </si>
  <si>
    <t>Sensibilidad (S) = Probabilidad de "Tinción Positivo (subjetividad)" condicionada a "Cultivo positivo (objetividad)"</t>
  </si>
  <si>
    <t>Valor Predictivo Positivo (VPP)  = "verdaderos enfermos que yo detecto " por cada 100 que "yo detecto subjetivamente como enfermos"</t>
  </si>
  <si>
    <t>Valor Predictiv Positivo (VPP) = Probabilidad de "Cultivo positivo (objetividad)" condicionada a "Tinción Positivo (subjetividad)"</t>
  </si>
  <si>
    <t>Wald NJ, Rodeck C, Hackshaw AK, Walters J, Chitty L, Mackinson AM; SURUSS Research Group. First and second trimester antenatal screening for Down's syndrome: the results of the Serum, Urine and Ultrasound Screening Study (SURUSS). Health Technol Assess. 2003;7(11):1-77.</t>
  </si>
  <si>
    <t>20030430-Est SURUSS, Screening Síndrome Down 1º y 2º trimest embaraz. Wald</t>
  </si>
  <si>
    <t>19960518-MA EstPros, VPP DMO ocurrencia fract. Marshall</t>
  </si>
  <si>
    <t>INCIDENCIA DE FRACTURA DE CADERA EN LOS PRÓXIMOS 10 AÑOS</t>
  </si>
  <si>
    <t>Yo creo enfermos</t>
  </si>
  <si>
    <t>Yo creo sanos</t>
  </si>
  <si>
    <t>CONSTRÚYASE UNA TABLA PARA EL test de detección síndrome Down en 1000 embarazadas de 30 años</t>
  </si>
  <si>
    <t>DESDE LA SUBJETIVIDAD</t>
  </si>
  <si>
    <r>
      <rPr>
        <b/>
        <sz val="12"/>
        <color indexed="12"/>
        <rFont val="Calibri"/>
        <family val="2"/>
      </rPr>
      <t xml:space="preserve">SIGNIFICADO PRÁCTICO </t>
    </r>
    <r>
      <rPr>
        <b/>
        <sz val="12"/>
        <rFont val="Calibri"/>
        <family val="2"/>
      </rPr>
      <t xml:space="preserve">Y </t>
    </r>
    <r>
      <rPr>
        <b/>
        <sz val="12"/>
        <color indexed="60"/>
        <rFont val="Calibri"/>
        <family val="2"/>
      </rPr>
      <t>FORMULACIÓN MATEMÁTICA SEGÚN LA TEORÍA DE LA PROBABILIDAD</t>
    </r>
  </si>
  <si>
    <r>
      <t>p</t>
    </r>
    <r>
      <rPr>
        <b/>
        <sz val="12"/>
        <color indexed="60"/>
        <rFont val="Calibri"/>
        <family val="2"/>
      </rPr>
      <t xml:space="preserve">(S) = </t>
    </r>
    <r>
      <rPr>
        <b/>
        <i/>
        <sz val="12"/>
        <color indexed="60"/>
        <rFont val="Calibri"/>
        <family val="2"/>
      </rPr>
      <t>p</t>
    </r>
    <r>
      <rPr>
        <b/>
        <sz val="12"/>
        <color indexed="60"/>
        <rFont val="Calibri"/>
        <family val="2"/>
      </rPr>
      <t xml:space="preserve">("Tinción Positivo" ¡ "Cultivo positivo) = </t>
    </r>
    <r>
      <rPr>
        <b/>
        <i/>
        <sz val="12"/>
        <color indexed="60"/>
        <rFont val="Calibri"/>
        <family val="2"/>
      </rPr>
      <t>p</t>
    </r>
    <r>
      <rPr>
        <b/>
        <sz val="12"/>
        <color indexed="60"/>
        <rFont val="Calibri"/>
        <family val="2"/>
      </rPr>
      <t xml:space="preserve">("Tinción Positivo" intersec "Cultivo positivo) / </t>
    </r>
    <r>
      <rPr>
        <b/>
        <i/>
        <sz val="12"/>
        <color indexed="60"/>
        <rFont val="Calibri"/>
        <family val="2"/>
      </rPr>
      <t>p</t>
    </r>
    <r>
      <rPr>
        <b/>
        <sz val="12"/>
        <color indexed="60"/>
        <rFont val="Calibri"/>
        <family val="2"/>
      </rPr>
      <t>("Cultivo positivo)</t>
    </r>
  </si>
  <si>
    <r>
      <t>p</t>
    </r>
    <r>
      <rPr>
        <b/>
        <sz val="12"/>
        <color indexed="60"/>
        <rFont val="Calibri"/>
        <family val="2"/>
      </rPr>
      <t xml:space="preserve">(VP+) = </t>
    </r>
    <r>
      <rPr>
        <b/>
        <i/>
        <sz val="12"/>
        <color indexed="60"/>
        <rFont val="Calibri"/>
        <family val="2"/>
      </rPr>
      <t>p</t>
    </r>
    <r>
      <rPr>
        <b/>
        <sz val="12"/>
        <color indexed="60"/>
        <rFont val="Calibri"/>
        <family val="2"/>
      </rPr>
      <t xml:space="preserve">("Cultivo positivo" ¡ "Tinción positivo) = </t>
    </r>
    <r>
      <rPr>
        <b/>
        <i/>
        <sz val="12"/>
        <color indexed="60"/>
        <rFont val="Calibri"/>
        <family val="2"/>
      </rPr>
      <t>p</t>
    </r>
    <r>
      <rPr>
        <b/>
        <sz val="12"/>
        <color indexed="60"/>
        <rFont val="Calibri"/>
        <family val="2"/>
      </rPr>
      <t xml:space="preserve">("Cultivo positivo" intersec "Tinción positivo) / </t>
    </r>
    <r>
      <rPr>
        <b/>
        <i/>
        <sz val="12"/>
        <color indexed="60"/>
        <rFont val="Calibri"/>
        <family val="2"/>
      </rPr>
      <t>p</t>
    </r>
    <r>
      <rPr>
        <b/>
        <sz val="12"/>
        <color indexed="60"/>
        <rFont val="Calibri"/>
        <family val="2"/>
      </rPr>
      <t>("Tinción positivo)</t>
    </r>
  </si>
  <si>
    <r>
      <t xml:space="preserve">ENFERMOS REALES que "yo detecto como enfermos" = </t>
    </r>
    <r>
      <rPr>
        <b/>
        <sz val="10"/>
        <color indexed="17"/>
        <rFont val="Calibri"/>
        <family val="2"/>
      </rPr>
      <t>Verdaderos Positivos</t>
    </r>
  </si>
  <si>
    <r>
      <t xml:space="preserve">SANOS REALES que "yo detecto como enfermos" = </t>
    </r>
    <r>
      <rPr>
        <b/>
        <sz val="10"/>
        <color indexed="10"/>
        <rFont val="Calibri"/>
        <family val="2"/>
      </rPr>
      <t>Falsos Positivos</t>
    </r>
  </si>
  <si>
    <r>
      <t xml:space="preserve">ENFERMOS REALES que "yo detecto como sanos" = </t>
    </r>
    <r>
      <rPr>
        <b/>
        <sz val="10"/>
        <color indexed="10"/>
        <rFont val="Calibri"/>
        <family val="2"/>
      </rPr>
      <t>Falsos Negativos</t>
    </r>
  </si>
  <si>
    <r>
      <t>SANOS REALES que "yo detecto como sanos" =</t>
    </r>
    <r>
      <rPr>
        <b/>
        <sz val="10"/>
        <color indexed="17"/>
        <rFont val="Calibri"/>
        <family val="2"/>
      </rPr>
      <t xml:space="preserve"> Verdaderos Negativos</t>
    </r>
  </si>
  <si>
    <r>
      <t xml:space="preserve">MÉTODO DE WILSON: </t>
    </r>
    <r>
      <rPr>
        <sz val="10"/>
        <rFont val="Calibri"/>
        <family val="2"/>
      </rPr>
      <t>Que puede utilizarse sin necesidad de estar pendientes del tamaño del amuestra o de proporciones cuyo p &lt;5 / n. Por ello puede utilizarse para las excepciones anteriores y para todas todas</t>
    </r>
  </si>
  <si>
    <r>
      <t>p</t>
    </r>
    <r>
      <rPr>
        <sz val="10"/>
        <rFont val="Calibri"/>
        <family val="2"/>
      </rPr>
      <t xml:space="preserve"> = eventos / n</t>
    </r>
  </si>
  <si>
    <r>
      <t xml:space="preserve">B= z * Raíz [z^2 + 4*eventos (1 - </t>
    </r>
    <r>
      <rPr>
        <i/>
        <sz val="10"/>
        <rFont val="Calibri"/>
        <family val="2"/>
      </rPr>
      <t>p</t>
    </r>
    <r>
      <rPr>
        <sz val="10"/>
        <rFont val="Calibri"/>
        <family val="2"/>
      </rPr>
      <t xml:space="preserve">)] </t>
    </r>
  </si>
  <si>
    <r>
      <t xml:space="preserve">B= z * Raíz [z^2 + 4*eventos (1 - </t>
    </r>
    <r>
      <rPr>
        <b/>
        <i/>
        <sz val="10"/>
        <rFont val="Calibri"/>
        <family val="2"/>
      </rPr>
      <t>p</t>
    </r>
    <r>
      <rPr>
        <b/>
        <sz val="10"/>
        <rFont val="Calibri"/>
        <family val="2"/>
      </rPr>
      <t xml:space="preserve">)] </t>
    </r>
  </si>
  <si>
    <r>
      <rPr>
        <sz val="11"/>
        <color indexed="12"/>
        <rFont val="Calibri"/>
        <family val="2"/>
      </rPr>
      <t xml:space="preserve"> A igual odds previa o prevalencia previa</t>
    </r>
    <r>
      <rPr>
        <sz val="11"/>
        <rFont val="Calibri"/>
        <family val="2"/>
      </rPr>
      <t xml:space="preserve">, </t>
    </r>
    <r>
      <rPr>
        <sz val="11"/>
        <color indexed="17"/>
        <rFont val="Calibri"/>
        <family val="2"/>
      </rPr>
      <t>éste es el de elección porque es el que detecta más verdaderos positivos por cada falso positivo</t>
    </r>
  </si>
  <si>
    <r>
      <rPr>
        <b/>
        <sz val="10"/>
        <rFont val="Calibri"/>
        <family val="2"/>
      </rPr>
      <t xml:space="preserve">Si </t>
    </r>
    <r>
      <rPr>
        <b/>
        <sz val="10"/>
        <color indexed="12"/>
        <rFont val="Calibri"/>
        <family val="2"/>
      </rPr>
      <t>Odds =</t>
    </r>
  </si>
  <si>
    <r>
      <rPr>
        <b/>
        <sz val="10"/>
        <rFont val="Calibri"/>
        <family val="2"/>
      </rPr>
      <t xml:space="preserve">Si </t>
    </r>
    <r>
      <rPr>
        <b/>
        <sz val="10"/>
        <color indexed="14"/>
        <rFont val="Calibri"/>
        <family val="2"/>
      </rPr>
      <t>Probablidad =</t>
    </r>
  </si>
  <si>
    <t>= Likelihood ratio (-)</t>
  </si>
  <si>
    <t>Escribiendo aquí el número de muestra, la prevalencia, la S y la E, se obtienen S, E, VP+ y VP- con sus intervalos de confianza, así como el Factor de Bayes</t>
  </si>
  <si>
    <t>Conviene insistir en que lo que realmente obtenemos son estimaciones de los verdaderos valores de sensibilidad y especificidad para una población teórica de la que suponemos que nuestro grupo de pacientes constituye una muestra aleatoria. Por tanto, un tratamiento estadístico correcto exigiría incluir intervalos de confianza para los verdaderos valores de S, E, VPP y VPN.</t>
  </si>
  <si>
    <r>
      <t>p</t>
    </r>
    <r>
      <rPr>
        <b/>
        <sz val="10"/>
        <rFont val="Calibri"/>
        <family val="2"/>
      </rPr>
      <t xml:space="preserve"> = eventos / n</t>
    </r>
  </si>
  <si>
    <r>
      <t xml:space="preserve">B= z * Raíz [z^2 + 4*eventos (1 - </t>
    </r>
    <r>
      <rPr>
        <b/>
        <i/>
        <sz val="10"/>
        <rFont val="Calibri"/>
        <family val="2"/>
      </rPr>
      <t>p</t>
    </r>
    <r>
      <rPr>
        <b/>
        <sz val="10"/>
        <rFont val="Calibri"/>
        <family val="2"/>
      </rPr>
      <t xml:space="preserve">)] </t>
    </r>
  </si>
  <si>
    <t xml:space="preserve">en </t>
  </si>
  <si>
    <t>…….</t>
  </si>
  <si>
    <t>años</t>
  </si>
  <si>
    <t>(</t>
  </si>
  <si>
    <t>-</t>
  </si>
  <si>
    <t>)</t>
  </si>
  <si>
    <t>%</t>
  </si>
  <si>
    <t>Prevalencia</t>
  </si>
  <si>
    <t>VPP</t>
  </si>
  <si>
    <t>VPN</t>
  </si>
  <si>
    <t>Factor Bayes +</t>
  </si>
  <si>
    <t>/</t>
  </si>
  <si>
    <t>CONSTRÚYASE UNA TABLA PARA EL screening del estudio canadiense de Baines (1988); Prevalencia 0,6%, Sensibilidad: 75%; Especificidad: 94%, N: 44.718 mujeres.</t>
  </si>
  <si>
    <t>ENFERMOS</t>
  </si>
  <si>
    <t>SANOS</t>
  </si>
  <si>
    <t>Prevalencia: 0,25%, Sensibilidad: 86%; Especificidad: 93,9%. N: 20.000 mujeres</t>
  </si>
  <si>
    <t>De estos 1217, se hizo una amniocentesis, con resultado de 12 fracasos, es decir abortos de un feto sano</t>
  </si>
  <si>
    <r>
      <t>Marshall D, Johnell O, Wedel H.</t>
    </r>
    <r>
      <rPr>
        <sz val="7.5"/>
        <color indexed="12"/>
        <rFont val="Calibri"/>
        <family val="2"/>
      </rPr>
      <t xml:space="preserve"> </t>
    </r>
    <r>
      <rPr>
        <sz val="12"/>
        <color indexed="12"/>
        <rFont val="Calibri"/>
        <family val="2"/>
      </rPr>
      <t>Meta-analysis of how well measures of bone mineral density predict occurrence of osteoporotic fractures. BMJ 1996 May 18;312(7041):1254-9</t>
    </r>
  </si>
  <si>
    <t>NOTA: 3% es equivalente a una mujer de 70 años en la Comunidad de Madrid, y 15% a una mujer de 80 años..</t>
  </si>
  <si>
    <t>VPP = (285 / 1064) / (297/ 1064) = 285 / 297 = 96%</t>
  </si>
  <si>
    <t xml:space="preserve"> Sensibilidad, especificidad, valor predictivo positivo y el riesgo atribuible poblacional para un punto de corte de la densidad ósea de 1 DE por debajo del que corresponde a la media de la edad en cuestión. Veamos dos ejemplos: 1) cuando el riesgo basal de incidencia de fractura de cadera en 10 años es el 3%, correspondiente a mujeres en la Comunidad de Madrid de 70 años; y 2) riesgo basal 15%, correspondiente a mujeres de 80 años.</t>
  </si>
  <si>
    <t>Prevalencia en mujeres Co-Madrid de 70 años: 3%; Sensibilidad 47%, Especificidad 83%, N: 1000 mujeres de 70 años</t>
  </si>
  <si>
    <t>Prevalencia en mujeres Co-Madrid de 80 años: 15%; Sensibilidad 37%, Especificidad 88%, N: 1000 mujeres de 80 años</t>
  </si>
  <si>
    <t>CURVAS ROC (Receiver Operating Characteristics, características operativas para el receptor)</t>
  </si>
  <si>
    <t>El análisis de la curva ROC, o simplemente análisis ROC, proporciona herramientas para seleccionar los modelos posiblemente óptimos y descartar modelos subóptimos, independientemente de (y antes de especificar) el corte de la distribución de las dos clases sobre las que se decide.</t>
  </si>
  <si>
    <t>Dibujar la curva ROC consiste en poner juntos todos los puntos correspondientes a todos los umbrales o puntos de corte, de tal modo que ese conjunto de puntos se parecerá más o menos a una curva en el espacio cuadrado entre (0 , 0) y (1 , 1). Dependiendo del tipo de modelo la curva se parecerá más a una escalera (métodos no paramétricos) o una verdadera curva (métodos paramétricos)</t>
  </si>
  <si>
    <t>Esta disposición es una inteligente forma de discriminar los verdaderos positivos de los falsos positivos. Y, efectivamente, el Área Bajo la Curva (AUC) nos da idea del poder de la curva como prueba diagnóstica. El máximo poder de discriminación es una AUC del 100%, pues ocupa todo el cuadrilátero y no deja nada por encima.</t>
  </si>
  <si>
    <t>De la misma forma, el mínimo poder de discriminación es un AUC del 50%, porque es igual que el azar (lanzar una moneda) ya que el % de Verdaderos positivos es igual que el % de Falsos positivos.</t>
  </si>
  <si>
    <t>Ejemplo: Un área bajo la curva (AUC) de 0,92 (IC 95%, 0,89-0,96) significa que si clasifico a un individuo como enfermo, en el 92% de las ocasiones será verdadero enfermo, y si clasifico a otro individuo como sano, en el 92% de las ocasiones será verdadero sano. Es decir, que lo que yo clasifico, acierta en el 92% de las ocasiones.</t>
  </si>
  <si>
    <t>El VCM mide el volumen medio de los glóbulos rojos.</t>
  </si>
  <si>
    <t>con el VCM no tiene un buen poder de discriminación.</t>
  </si>
  <si>
    <t>El planteamiento bayesiano tiene en cuenta los datos observados (la condición subjetiva) y con éstos infiere la probabilidad de estar enfermo (la condición objetiva).</t>
  </si>
  <si>
    <r>
      <t>A partir de ahora empezamos a utilizar nuestra subjetividad</t>
    </r>
    <r>
      <rPr>
        <sz val="11"/>
        <rFont val="Calibri"/>
        <family val="2"/>
      </rPr>
      <t xml:space="preserve"> con el paciente, como por ejemplo que le aplicamos dos pruebas sucesivas y que ambas las detectamos positivas.</t>
    </r>
  </si>
  <si>
    <r>
      <t xml:space="preserve">Estamos, de momento, en una </t>
    </r>
    <r>
      <rPr>
        <b/>
        <sz val="11"/>
        <rFont val="Calibri"/>
        <family val="2"/>
      </rPr>
      <t>condición objetiva</t>
    </r>
    <r>
      <rPr>
        <sz val="11"/>
        <rFont val="Calibri"/>
        <family val="2"/>
      </rPr>
      <t xml:space="preserve">, por lo que nuestra presunción de que padezca la enfermedad un paciente que entra a urgencias será 1 SÍ y 200 NO. Por lo tanto, </t>
    </r>
    <r>
      <rPr>
        <b/>
        <sz val="11"/>
        <color indexed="12"/>
        <rFont val="Calibri"/>
        <family val="2"/>
      </rPr>
      <t>Odds previa = 1/200 = 0,005</t>
    </r>
    <r>
      <rPr>
        <sz val="11"/>
        <rFont val="Calibri"/>
        <family val="2"/>
      </rPr>
      <t xml:space="preserve"> =&gt; </t>
    </r>
    <r>
      <rPr>
        <sz val="11"/>
        <color indexed="14"/>
        <rFont val="Calibri"/>
        <family val="2"/>
      </rPr>
      <t>Prevalencia previa = 1/201 = 0,498%</t>
    </r>
    <r>
      <rPr>
        <sz val="11"/>
        <rFont val="Calibri"/>
        <family val="2"/>
      </rPr>
      <t>.</t>
    </r>
  </si>
  <si>
    <t>RECORDATORIO: Enfermos: 20, Sanos: 80; Total = Enfermos + Sanos = 20 + 80 = 100</t>
  </si>
  <si>
    <r>
      <t xml:space="preserve">Si Odds= 0,25 =&gt; 0,25 Enfermos / 1 Sanos =&gt;  </t>
    </r>
    <r>
      <rPr>
        <sz val="10"/>
        <color indexed="14"/>
        <rFont val="Calibri"/>
        <family val="2"/>
      </rPr>
      <t>Probabilidad = Odds / (Odds+1) = 0,25 / (1,25) = 0,2.</t>
    </r>
  </si>
  <si>
    <r>
      <t>Si Probabilidad= 0,2</t>
    </r>
    <r>
      <rPr>
        <sz val="10"/>
        <color indexed="25"/>
        <rFont val="Calibri"/>
        <family val="2"/>
      </rPr>
      <t xml:space="preserve"> =&gt;</t>
    </r>
    <r>
      <rPr>
        <sz val="10"/>
        <color indexed="12"/>
        <rFont val="Calibri"/>
        <family val="2"/>
      </rPr>
      <t xml:space="preserve"> Odds = Probabilidad / (1-Probabilidad) = 0,2 / (0,8) = 0,25.</t>
    </r>
  </si>
  <si>
    <t>El diagnóstico de la anemia ferropénica mediante la prueba de la ferritina sérica tiene una S=90% y una E=85,5%. Esto implica un Factor de Bayes = 0,9 / (1-0,855) = 6,2.</t>
  </si>
  <si>
    <t>Si la prevalencia de la enfermedad es del 10% (=&gt; odds previa = 0,1/(1-0,1)=0,11), ¿cuál es la probabilidad postprueba de presentar anemia ferropénica?</t>
  </si>
  <si>
    <t>La odds postprueba = odds previa * Factor de Bayes = 0,11*6,2= 0,68, que expresado en Valor Predictivo Positivo = 0,68 / 0,68+1) = 40,5%.</t>
  </si>
  <si>
    <t>Observamos que la odds posprueba (0,68) ha mejorado mucho desde la odds previa (0,11), que expresado en probabilidad equivale a que la prevalencia (10%) mejora con el Valor Predictivo Positivo (40,4%).</t>
  </si>
  <si>
    <t>Cocientes de probabilidad &gt; 10 ó &lt;0,1 generan variaciones importantes de la probabilidad pretest a la postest, a menudo concluyentes.</t>
  </si>
  <si>
    <t>Entre 5-10 y de 0,1-0,2: cambios moderados.</t>
  </si>
  <si>
    <t xml:space="preserve">Entre 2-5 y de 0,5-0,2: variaciones pequeñas, pero en ocasiones importantes. </t>
  </si>
  <si>
    <t xml:space="preserve">Entre 1-2 y de 0,5-1, alteran la probabilidad poco; rara vez de forma importante. </t>
  </si>
  <si>
    <t>Tambien en 20110512-Analfabet estadístico en médicos.Wegwarth+Gigerenzer</t>
  </si>
  <si>
    <t>Otros falsos positivos perdieron sus puestos de trabajo y / o familias y sufrieron daño emocional extremo.</t>
  </si>
  <si>
    <t>Prevalencia: 0,01%, Sensibilidad 99,9%; Especificidad 99,99%; N: 20.000</t>
  </si>
  <si>
    <r>
      <t>Imaginemos que la enfermedad E se da en los pacientes que acuden a urgencias, y "se sabe" (objetivamente) que</t>
    </r>
    <r>
      <rPr>
        <b/>
        <sz val="11"/>
        <rFont val="Calibri"/>
        <family val="2"/>
      </rPr>
      <t xml:space="preserve"> hay 1 persona con esa enfermedad por cada 200 que no la padecen</t>
    </r>
    <r>
      <rPr>
        <sz val="11"/>
        <rFont val="Calibri"/>
        <family val="2"/>
      </rPr>
      <t>. Esta será nuestra odds previa a cualquiera otra información, que consiste en la P(E) / P(noE).</t>
    </r>
  </si>
  <si>
    <t>Si prevalencia previa</t>
  </si>
  <si>
    <t xml:space="preserve">El punto de máxima discriminación es el 100% de Verdaderos Positivos y 0% de Falsos positivos. Los puntos que </t>
  </si>
  <si>
    <t>forma, los puntos que están a la derecha en la horizontal son peores porque representan más falsos positivos.</t>
  </si>
  <si>
    <t xml:space="preserve">Por ello afirmamos que todo lo que queda por encima de la curva son los fallos respecto al punto de </t>
  </si>
  <si>
    <t xml:space="preserve">     Una simple visión, sin necesidad de conocer el AUC, nos revela que el poder diagnóstico de la anemia ferropénica </t>
  </si>
  <si>
    <t xml:space="preserve">     Puede observarse que la curva está bastante cerca de la diagonal, que es la línea de no discriminación.</t>
  </si>
  <si>
    <t>Probabilidad = Enfermos / [Enfermos + Sanos] = 20 / (20+80) = 0,2. La probabilidad toma valores de 0 a 1.</t>
  </si>
  <si>
    <t>Odds = Enfermos / Sanos = 20 / 80 = 0,25. La odds toma valores de 0 a infinito.</t>
  </si>
  <si>
    <t>20110131-Cuando pac mal informados intentan tomar decisiones. Gaissmaier</t>
  </si>
  <si>
    <t xml:space="preserve">Gaissmaier W, Gigeerenzer G. When Misinformed Patients Try to Make Informed Health Decisions. Chapter (PDF Available) · January 2011. DOI: 10.13140/2.1.4709.6641. In book: Better Doctors, Better Patients, Better Decisions: Envisioning Healthcare 2020, Publisher: Cambridge, MA: MIT Press., Editors: Gerd Gigerenzer, J. A. Muir Gray, pp.29–42. </t>
  </si>
  <si>
    <t>CONSTRÚYASE UNA TABLA PARA EL screenning del síndrome de Down en el 1º y 2º mes de embarazo</t>
  </si>
  <si>
    <t>Vertical = Horiz hasta diagonal</t>
  </si>
  <si>
    <t>Área cuadrado Vert y Horiz</t>
  </si>
  <si>
    <t>Semidiagonal cuadrado Vert y Horiz</t>
  </si>
  <si>
    <t>VCM</t>
  </si>
  <si>
    <t>Sí anemia</t>
  </si>
  <si>
    <t>No anemia</t>
  </si>
  <si>
    <t>Biopsia Sí anemia ferropénica</t>
  </si>
  <si>
    <t>Biopsia No anemia ferropénica</t>
  </si>
  <si>
    <t>VCM Sí anemia</t>
  </si>
  <si>
    <t>Verdaderos positivos</t>
  </si>
  <si>
    <t>VCM No anemia</t>
  </si>
  <si>
    <t>Verdaderos negativos</t>
  </si>
  <si>
    <r>
      <t xml:space="preserve">Si para una variable cuantitativa represento en abscisas (eje x) los </t>
    </r>
    <r>
      <rPr>
        <b/>
        <sz val="11"/>
        <color indexed="10"/>
        <rFont val="Calibri"/>
        <family val="2"/>
      </rPr>
      <t>falsos positivos</t>
    </r>
    <r>
      <rPr>
        <sz val="11"/>
        <color indexed="10"/>
        <rFont val="Calibri"/>
        <family val="2"/>
      </rPr>
      <t xml:space="preserve"> (1-especificidad) </t>
    </r>
    <r>
      <rPr>
        <sz val="11"/>
        <rFont val="Calibri"/>
        <family val="2"/>
      </rPr>
      <t xml:space="preserve">y en ordenadas (eje y) los </t>
    </r>
    <r>
      <rPr>
        <b/>
        <sz val="11"/>
        <color indexed="17"/>
        <rFont val="Calibri"/>
        <family val="2"/>
      </rPr>
      <t>verdaderos positivos</t>
    </r>
    <r>
      <rPr>
        <sz val="11"/>
        <rFont val="Calibri"/>
        <family val="2"/>
      </rPr>
      <t xml:space="preserve"> </t>
    </r>
    <r>
      <rPr>
        <sz val="11"/>
        <color indexed="17"/>
        <rFont val="Calibri"/>
        <family val="2"/>
      </rPr>
      <t>(sensibilidad)</t>
    </r>
    <r>
      <rPr>
        <sz val="11"/>
        <rFont val="Calibri"/>
        <family val="2"/>
      </rPr>
      <t>, obtengo una curva ROC.</t>
    </r>
  </si>
  <si>
    <r>
      <t xml:space="preserve">El mejor método posible de predicción se situaría en un punto en la esquina superior izquierda, o coordenada (0,1) del espacio ROC (es decir x=0 e y=1), representando un 100% de sensibilidad (total verdaderos positivos) y un 100% también de especificidad (ningún falso positivo). Este punto binomial (0 , 1) de la gráfica es también llamado una </t>
    </r>
    <r>
      <rPr>
        <sz val="11"/>
        <color indexed="17"/>
        <rFont val="Calibri"/>
        <family val="2"/>
      </rPr>
      <t>clasificación perfecta</t>
    </r>
    <r>
      <rPr>
        <sz val="11"/>
        <rFont val="Calibri"/>
        <family val="2"/>
      </rPr>
      <t xml:space="preserve">. Por el contrario, una </t>
    </r>
    <r>
      <rPr>
        <sz val="11"/>
        <color indexed="52"/>
        <rFont val="Calibri"/>
        <family val="2"/>
      </rPr>
      <t>clasificación totalmente aleatoria (o adivinación aleatoria)</t>
    </r>
    <r>
      <rPr>
        <sz val="11"/>
        <rFont val="Calibri"/>
        <family val="2"/>
      </rPr>
      <t xml:space="preserve"> daría un punto a lo largo de la línea diagonal, que se llama también </t>
    </r>
    <r>
      <rPr>
        <sz val="11"/>
        <color indexed="52"/>
        <rFont val="Calibri"/>
        <family val="2"/>
      </rPr>
      <t>línea de no-discriminación</t>
    </r>
    <r>
      <rPr>
        <sz val="11"/>
        <rFont val="Calibri"/>
        <family val="2"/>
      </rPr>
      <t>, desde el vértice inferior izquierdo hasta el vértice superior derecho, como por ejemplo sería decidir a partir de los resultados de lanzar una moneda al aire (adivinación aleatoria).</t>
    </r>
  </si>
  <si>
    <r>
      <t xml:space="preserve">Fijémonos en que al representar la Sensibilidad en el eje de ordenadas y 1-Especificidad en el eje de abscisas en lugar representar la Especificidad, </t>
    </r>
    <r>
      <rPr>
        <sz val="11"/>
        <color indexed="17"/>
        <rFont val="Calibri"/>
        <family val="2"/>
      </rPr>
      <t>todos los diagnósticos correctos quedan por debajo de la curva</t>
    </r>
    <r>
      <rPr>
        <sz val="11"/>
        <color indexed="12"/>
        <rFont val="Calibri"/>
        <family val="2"/>
      </rPr>
      <t xml:space="preserve">, </t>
    </r>
    <r>
      <rPr>
        <sz val="11"/>
        <color indexed="10"/>
        <rFont val="Calibri"/>
        <family val="2"/>
      </rPr>
      <t>y por encima quedan los fallos, es decir los falsos positivos y los falsos negativos</t>
    </r>
    <r>
      <rPr>
        <sz val="11"/>
        <color indexed="12"/>
        <rFont val="Calibri"/>
        <family val="2"/>
      </rPr>
      <t>.</t>
    </r>
  </si>
  <si>
    <r>
      <t xml:space="preserve">z </t>
    </r>
    <r>
      <rPr>
        <sz val="10"/>
        <color indexed="57"/>
        <rFont val="Calibri"/>
        <family val="2"/>
      </rPr>
      <t>= (AUC1 - AUC2) / Raíz (EE1^2 + EE2^2)</t>
    </r>
  </si>
  <si>
    <r>
      <t xml:space="preserve">z </t>
    </r>
    <r>
      <rPr>
        <sz val="10"/>
        <color indexed="57"/>
        <rFont val="Calibri"/>
        <family val="2"/>
      </rPr>
      <t xml:space="preserve">= 0,868 - 0,834 / Raíz (0,0339^2 + 0,0390^2) = 0,65, significa que la diferencia no es significativa (sólo si </t>
    </r>
    <r>
      <rPr>
        <i/>
        <sz val="10"/>
        <color indexed="57"/>
        <rFont val="Calibri"/>
        <family val="2"/>
      </rPr>
      <t xml:space="preserve">z </t>
    </r>
    <r>
      <rPr>
        <sz val="10"/>
        <color indexed="57"/>
        <rFont val="Calibri"/>
        <family val="2"/>
      </rPr>
      <t>&gt; 1,96 será sifnificativa a un error alfa = 0,05 a dos colas).</t>
    </r>
  </si>
  <si>
    <r>
      <t>Se calcula dividiendo el hematocrito entre el nº de glóbulos rojos por mm</t>
    </r>
    <r>
      <rPr>
        <vertAlign val="superscript"/>
        <sz val="10"/>
        <rFont val="Calibri"/>
        <family val="2"/>
      </rPr>
      <t>3</t>
    </r>
  </si>
  <si>
    <t>CRITERIO EXTERNO</t>
  </si>
  <si>
    <t>TEST</t>
  </si>
  <si>
    <t>Explíquese cómo la baja incidencia en el criterio externo desplaza la vertical de corte a la izquierda, aumentando los falsos positivos</t>
  </si>
  <si>
    <t>CONSTRÚYASE UNA TABLA PARA EL test de detección de VIH 10.000 homosexuales con conducta de bajo riesgo</t>
  </si>
  <si>
    <t>Pág 67, test ELISA VIH (7 suicidios en 1987 de 22 donantes Test+)</t>
  </si>
  <si>
    <t>La prevalencia de pancreatitis crónica en una cohorte de enfermos hospitalarios era del 8,5.%, y en una cohorte de atención primaria era del 0,1%. Si la muestra es de 1000 individuos, qué VPP y VPN se obtiene en ambos casos</t>
  </si>
  <si>
    <t>La prueba de la elastasa fecal se hace, por lo común, para evaluar la función exocrina del páncreas. Se ha publicado que tiene una sensibilidad del 75% y una especificidad del 95%.</t>
  </si>
  <si>
    <t>Sí VIH</t>
  </si>
  <si>
    <t>No VIH</t>
  </si>
  <si>
    <t>Cuando las variables, en lugar de dicotómicas (sí, no), son continuas, la sensibilidad y especificidad cambian según el punto de corte, con lo que cambia la RPP.</t>
  </si>
  <si>
    <r>
      <t xml:space="preserve">ROC también puede significar </t>
    </r>
    <r>
      <rPr>
        <b/>
        <sz val="11"/>
        <rFont val="Calibri"/>
        <family val="2"/>
      </rPr>
      <t>Relative Operating Characteristic</t>
    </r>
    <r>
      <rPr>
        <sz val="11"/>
        <rFont val="Calibri"/>
        <family val="2"/>
      </rPr>
      <t xml:space="preserve"> (Característica Operativa Relativa) porque es una comparación de dos características operativas verdadero positivo y falso, según cambiamos el umbral para la decisión.</t>
    </r>
  </si>
  <si>
    <t>Eventos NO</t>
  </si>
  <si>
    <t>% Eventos SÍ</t>
  </si>
  <si>
    <t>Probabilidad</t>
  </si>
  <si>
    <t>0dds</t>
  </si>
  <si>
    <t>Resultados de un test de detección de cáncer de mama a 10.000 mujeres, con una prevalencia de cáncer del 0,5%, Sensibilidad 98% y Especificidad 98%.</t>
  </si>
  <si>
    <t>Odds posterior * Factor de Bayes = Odds post-posterior</t>
  </si>
  <si>
    <t>Falsos positivos: error alfa</t>
  </si>
  <si>
    <t>Falsos negativos: error beta</t>
  </si>
  <si>
    <t>Área en el cuadrado</t>
  </si>
  <si>
    <t>Pixeles</t>
  </si>
  <si>
    <t>AUC</t>
  </si>
  <si>
    <t>máxima discriminación.</t>
  </si>
  <si>
    <t xml:space="preserve">estén por debajo en la vertical son peores porque representan menos verdaderos positivos. De la misma </t>
  </si>
  <si>
    <t>Explíquese cómo el intentar captar más verdaderos positivos aumentando el VCM como punto de corte del test, desplaza la horizontal hacia abajo (aumentando los falsos positivos)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</si>
</sst>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 _€_-;\-* #,##0\ _€_-;_-* &quot;-&quot;??\ _€_-;_-@_-"/>
    <numFmt numFmtId="169" formatCode="0.0%"/>
    <numFmt numFmtId="170" formatCode="_-* #,##0.000\ _€_-;\-* #,##0.000\ _€_-;_-* &quot;-&quot;??\ _€_-;_-@_-"/>
    <numFmt numFmtId="171" formatCode="_-* #,##0.0000\ _€_-;\-* #,##0.0000\ _€_-;_-* &quot;-&quot;??\ _€_-;_-@_-"/>
    <numFmt numFmtId="172" formatCode="#.##000\ &quot;€&quot;;\-#.##000\ &quot;€&quot;"/>
    <numFmt numFmtId="173" formatCode="_-* #,##0.0\ _€_-;\-* #,##0.0\ _€_-;_-* &quot;-&quot;??\ _€_-;_-@_-"/>
    <numFmt numFmtId="174" formatCode="0.0"/>
    <numFmt numFmtId="175" formatCode="0.000%"/>
    <numFmt numFmtId="176" formatCode="0.0000000000"/>
    <numFmt numFmtId="177" formatCode="0.0000"/>
    <numFmt numFmtId="178" formatCode="0.000"/>
    <numFmt numFmtId="179" formatCode="_-* #,##0.00\ _P_t_s_-;\-* #,##0.00\ _P_t_s_-;_-* &quot;-&quot;??\ _P_t_s_-;_-@_-"/>
    <numFmt numFmtId="180" formatCode="0.00000000"/>
    <numFmt numFmtId="181" formatCode="0.000000000"/>
    <numFmt numFmtId="182" formatCode="0.00000000000"/>
    <numFmt numFmtId="183" formatCode="0.0000000"/>
    <numFmt numFmtId="184" formatCode="0.000000"/>
    <numFmt numFmtId="185" formatCode="0.00000"/>
    <numFmt numFmtId="186" formatCode="_-* #,##0.00000\ _€_-;\-* #,##0.00000\ _€_-;_-* &quot;-&quot;??\ _€_-;_-@_-"/>
    <numFmt numFmtId="187" formatCode="_-* #,##0.00000\ _€_-;\-* #,##0.00000\ _€_-;_-* &quot;-&quot;?????\ _€_-;_-@_-"/>
    <numFmt numFmtId="188" formatCode="0.0000%"/>
    <numFmt numFmtId="189" formatCode="0.00000%"/>
    <numFmt numFmtId="190" formatCode="_-* #,##0.000000\ _€_-;\-* #,##0.000000\ _€_-;_-* &quot;-&quot;??\ _€_-;_-@_-"/>
    <numFmt numFmtId="191" formatCode="_-* #,##0.000000000\ _€_-;\-* #,##0.000000000\ _€_-;_-* &quot;-&quot;??\ _€_-;_-@_-"/>
    <numFmt numFmtId="192" formatCode="_-* #,##0.000\ _€_-;\-* #,##0.000\ _€_-;_-* &quot;-&quot;???\ _€_-;_-@_-"/>
    <numFmt numFmtId="193" formatCode="[$-C0A]dddd\,\ dd&quot; de &quot;mmmm&quot; de &quot;yyyy"/>
    <numFmt numFmtId="194" formatCode="[$-C0A]dddd\,\ d&quot; de &quot;mmmm&quot; de &quot;yyyy"/>
    <numFmt numFmtId="195" formatCode="_-* #,##0.0000000\ _€_-;\-* #,##0.0000000\ _€_-;_-* &quot;-&quot;??\ _€_-;_-@_-"/>
  </numFmts>
  <fonts count="114">
    <font>
      <sz val="10"/>
      <name val="Arial"/>
      <family val="0"/>
    </font>
    <font>
      <sz val="8"/>
      <name val="Arial"/>
      <family val="2"/>
    </font>
    <font>
      <u val="single"/>
      <sz val="10"/>
      <color indexed="12"/>
      <name val="Arial"/>
      <family val="2"/>
    </font>
    <font>
      <u val="single"/>
      <sz val="10"/>
      <color indexed="36"/>
      <name val="Arial"/>
      <family val="2"/>
    </font>
    <font>
      <b/>
      <sz val="10"/>
      <name val="Calibri"/>
      <family val="2"/>
    </font>
    <font>
      <b/>
      <sz val="10"/>
      <color indexed="10"/>
      <name val="Calibri"/>
      <family val="2"/>
    </font>
    <font>
      <b/>
      <sz val="12"/>
      <name val="Calibri"/>
      <family val="2"/>
    </font>
    <font>
      <b/>
      <sz val="12"/>
      <color indexed="12"/>
      <name val="Calibri"/>
      <family val="2"/>
    </font>
    <font>
      <b/>
      <sz val="12"/>
      <color indexed="60"/>
      <name val="Calibri"/>
      <family val="2"/>
    </font>
    <font>
      <sz val="10"/>
      <name val="Calibri"/>
      <family val="2"/>
    </font>
    <font>
      <b/>
      <i/>
      <sz val="12"/>
      <color indexed="60"/>
      <name val="Calibri"/>
      <family val="2"/>
    </font>
    <font>
      <b/>
      <sz val="10"/>
      <color indexed="17"/>
      <name val="Calibri"/>
      <family val="2"/>
    </font>
    <font>
      <i/>
      <sz val="10"/>
      <name val="Calibri"/>
      <family val="2"/>
    </font>
    <font>
      <b/>
      <i/>
      <sz val="10"/>
      <name val="Calibri"/>
      <family val="2"/>
    </font>
    <font>
      <b/>
      <sz val="10"/>
      <color indexed="50"/>
      <name val="Calibri"/>
      <family val="2"/>
    </font>
    <font>
      <b/>
      <sz val="10"/>
      <color indexed="57"/>
      <name val="Calibri"/>
      <family val="2"/>
    </font>
    <font>
      <b/>
      <sz val="10"/>
      <color indexed="12"/>
      <name val="Calibri"/>
      <family val="2"/>
    </font>
    <font>
      <sz val="11"/>
      <color indexed="12"/>
      <name val="Calibri"/>
      <family val="2"/>
    </font>
    <font>
      <sz val="11"/>
      <name val="Calibri"/>
      <family val="2"/>
    </font>
    <font>
      <sz val="11"/>
      <color indexed="17"/>
      <name val="Calibri"/>
      <family val="2"/>
    </font>
    <font>
      <b/>
      <sz val="10"/>
      <color indexed="14"/>
      <name val="Calibri"/>
      <family val="2"/>
    </font>
    <font>
      <b/>
      <sz val="10"/>
      <color indexed="61"/>
      <name val="Calibri"/>
      <family val="2"/>
    </font>
    <font>
      <sz val="12"/>
      <color indexed="12"/>
      <name val="Calibri"/>
      <family val="2"/>
    </font>
    <font>
      <sz val="7.5"/>
      <color indexed="12"/>
      <name val="Calibri"/>
      <family val="2"/>
    </font>
    <font>
      <b/>
      <u val="single"/>
      <sz val="11"/>
      <name val="Calibri"/>
      <family val="2"/>
    </font>
    <font>
      <b/>
      <sz val="11"/>
      <name val="Calibri"/>
      <family val="2"/>
    </font>
    <font>
      <b/>
      <sz val="11"/>
      <color indexed="12"/>
      <name val="Calibri"/>
      <family val="2"/>
    </font>
    <font>
      <sz val="11"/>
      <color indexed="14"/>
      <name val="Calibri"/>
      <family val="2"/>
    </font>
    <font>
      <sz val="10"/>
      <color indexed="14"/>
      <name val="Calibri"/>
      <family val="2"/>
    </font>
    <font>
      <sz val="10"/>
      <color indexed="12"/>
      <name val="Calibri"/>
      <family val="2"/>
    </font>
    <font>
      <sz val="10"/>
      <color indexed="25"/>
      <name val="Calibri"/>
      <family val="2"/>
    </font>
    <font>
      <sz val="11"/>
      <name val="Times New Roman"/>
      <family val="1"/>
    </font>
    <font>
      <b/>
      <sz val="11"/>
      <color indexed="17"/>
      <name val="Calibri"/>
      <family val="2"/>
    </font>
    <font>
      <sz val="10"/>
      <color indexed="57"/>
      <name val="Calibri"/>
      <family val="2"/>
    </font>
    <font>
      <i/>
      <sz val="10"/>
      <color indexed="57"/>
      <name val="Calibri"/>
      <family val="2"/>
    </font>
    <font>
      <b/>
      <sz val="11"/>
      <color indexed="10"/>
      <name val="Calibri"/>
      <family val="2"/>
    </font>
    <font>
      <sz val="11"/>
      <color indexed="10"/>
      <name val="Calibri"/>
      <family val="2"/>
    </font>
    <font>
      <sz val="11"/>
      <color indexed="52"/>
      <name val="Calibri"/>
      <family val="2"/>
    </font>
    <font>
      <vertAlign val="superscript"/>
      <sz val="10"/>
      <name val="Calibri"/>
      <family val="2"/>
    </font>
    <font>
      <sz val="10"/>
      <color indexed="8"/>
      <name val="Arial"/>
      <family val="2"/>
    </font>
    <font>
      <sz val="8"/>
      <color indexed="8"/>
      <name val="Trebuchet MS"/>
      <family val="2"/>
    </font>
    <font>
      <sz val="10"/>
      <color indexed="8"/>
      <name val="Trebuchet MS"/>
      <family val="2"/>
    </font>
    <font>
      <sz val="10"/>
      <color indexed="8"/>
      <name val="Calibri"/>
      <family val="2"/>
    </font>
    <font>
      <sz val="9"/>
      <color indexed="63"/>
      <name val="Calibri"/>
      <family val="2"/>
    </font>
    <font>
      <sz val="14"/>
      <color indexed="63"/>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name val="Calibri"/>
      <family val="2"/>
    </font>
    <font>
      <sz val="14"/>
      <name val="Calibri"/>
      <family val="2"/>
    </font>
    <font>
      <sz val="10"/>
      <color indexed="60"/>
      <name val="Calibri"/>
      <family val="2"/>
    </font>
    <font>
      <b/>
      <sz val="10"/>
      <color indexed="52"/>
      <name val="Calibri"/>
      <family val="2"/>
    </font>
    <font>
      <sz val="12"/>
      <name val="Calibri"/>
      <family val="2"/>
    </font>
    <font>
      <b/>
      <i/>
      <sz val="12"/>
      <name val="Calibri"/>
      <family val="2"/>
    </font>
    <font>
      <sz val="10"/>
      <color indexed="17"/>
      <name val="Calibri"/>
      <family val="2"/>
    </font>
    <font>
      <sz val="10"/>
      <color indexed="10"/>
      <name val="Calibri"/>
      <family val="2"/>
    </font>
    <font>
      <sz val="10"/>
      <color indexed="54"/>
      <name val="Calibri"/>
      <family val="2"/>
    </font>
    <font>
      <b/>
      <u val="single"/>
      <sz val="14"/>
      <name val="Calibri"/>
      <family val="2"/>
    </font>
    <font>
      <b/>
      <u val="single"/>
      <sz val="12"/>
      <name val="Calibri"/>
      <family val="2"/>
    </font>
    <font>
      <b/>
      <sz val="10"/>
      <color indexed="60"/>
      <name val="Calibri"/>
      <family val="2"/>
    </font>
    <font>
      <b/>
      <i/>
      <sz val="10"/>
      <color indexed="57"/>
      <name val="Calibri"/>
      <family val="2"/>
    </font>
    <font>
      <sz val="10"/>
      <color indexed="52"/>
      <name val="Calibri"/>
      <family val="2"/>
    </font>
    <font>
      <u val="single"/>
      <sz val="10"/>
      <name val="Calibri"/>
      <family val="2"/>
    </font>
    <font>
      <sz val="10"/>
      <color indexed="36"/>
      <name val="Calibri"/>
      <family val="2"/>
    </font>
    <font>
      <b/>
      <sz val="9"/>
      <name val="Calibri"/>
      <family val="2"/>
    </font>
    <font>
      <sz val="9"/>
      <name val="Calibri"/>
      <family val="2"/>
    </font>
    <font>
      <sz val="11"/>
      <color indexed="51"/>
      <name val="Calibri"/>
      <family val="2"/>
    </font>
    <font>
      <b/>
      <sz val="8.75"/>
      <color indexed="8"/>
      <name val="Trebuchet MS"/>
      <family val="2"/>
    </font>
    <font>
      <b/>
      <sz val="10"/>
      <color indexed="8"/>
      <name val="Trebuchet MS"/>
      <family val="2"/>
    </font>
    <font>
      <sz val="6.75"/>
      <color indexed="8"/>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0000CC"/>
      <name val="Calibri"/>
      <family val="2"/>
    </font>
    <font>
      <b/>
      <sz val="12"/>
      <color theme="9" tint="-0.4999699890613556"/>
      <name val="Calibri"/>
      <family val="2"/>
    </font>
    <font>
      <sz val="10"/>
      <color theme="9" tint="-0.4999699890613556"/>
      <name val="Calibri"/>
      <family val="2"/>
    </font>
    <font>
      <b/>
      <i/>
      <sz val="12"/>
      <color theme="9" tint="-0.4999699890613556"/>
      <name val="Calibri"/>
      <family val="2"/>
    </font>
    <font>
      <sz val="10"/>
      <color rgb="FF0000FF"/>
      <name val="Calibri"/>
      <family val="2"/>
    </font>
    <font>
      <sz val="10"/>
      <color rgb="FF7030A0"/>
      <name val="Calibri"/>
      <family val="2"/>
    </font>
    <font>
      <sz val="11"/>
      <color rgb="FF0000FF"/>
      <name val="Calibri"/>
      <family val="2"/>
    </font>
    <font>
      <sz val="11"/>
      <color rgb="FF009900"/>
      <name val="Calibri"/>
      <family val="2"/>
    </font>
    <font>
      <b/>
      <sz val="10"/>
      <color theme="9" tint="-0.4999699890613556"/>
      <name val="Calibri"/>
      <family val="2"/>
    </font>
    <font>
      <b/>
      <sz val="10"/>
      <color rgb="FF0000FF"/>
      <name val="Calibri"/>
      <family val="2"/>
    </font>
    <font>
      <sz val="11"/>
      <color rgb="FFFF00FF"/>
      <name val="Calibri"/>
      <family val="2"/>
    </font>
    <font>
      <sz val="11"/>
      <color rgb="FF993300"/>
      <name val="Calibri"/>
      <family val="2"/>
    </font>
    <font>
      <sz val="10"/>
      <color rgb="FFFF00FF"/>
      <name val="Calibri"/>
      <family val="2"/>
    </font>
    <font>
      <sz val="11"/>
      <color rgb="FFFF9900"/>
      <name val="Calibri"/>
      <family val="2"/>
    </font>
    <font>
      <sz val="11"/>
      <color rgb="FF008000"/>
      <name val="Calibri"/>
      <family val="2"/>
    </font>
    <font>
      <sz val="11"/>
      <color rgb="FFFFCC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27"/>
        <bgColor indexed="64"/>
      </patternFill>
    </fill>
    <fill>
      <patternFill patternType="solid">
        <fgColor indexed="44"/>
        <bgColor indexed="64"/>
      </patternFill>
    </fill>
    <fill>
      <patternFill patternType="solid">
        <fgColor indexed="41"/>
        <bgColor indexed="64"/>
      </patternFill>
    </fill>
    <fill>
      <patternFill patternType="solid">
        <fgColor rgb="FFCCFFFF"/>
        <bgColor indexed="64"/>
      </patternFill>
    </fill>
    <fill>
      <patternFill patternType="solid">
        <fgColor rgb="FFFF99FF"/>
        <bgColor indexed="64"/>
      </patternFill>
    </fill>
    <fill>
      <patternFill patternType="solid">
        <fgColor rgb="FFCCFF99"/>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rgb="FF66FF3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thin"/>
      <right style="thin"/>
      <top style="medium"/>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right style="thin"/>
      <top/>
      <bottom style="medium"/>
    </border>
    <border>
      <left style="thin"/>
      <right/>
      <top/>
      <bottom style="medium"/>
    </border>
    <border>
      <left style="medium"/>
      <right>
        <color indexed="63"/>
      </right>
      <top>
        <color indexed="63"/>
      </top>
      <bottom style="thin"/>
    </border>
    <border>
      <left>
        <color indexed="63"/>
      </left>
      <right style="thin"/>
      <top style="thin"/>
      <bottom style="medium"/>
    </border>
    <border>
      <left>
        <color indexed="63"/>
      </left>
      <right style="thin"/>
      <top style="thin"/>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0" fontId="87" fillId="0" borderId="4" applyNumberFormat="0" applyFill="0" applyAlignment="0" applyProtection="0"/>
    <xf numFmtId="0" fontId="88"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2" fillId="21" borderId="6"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7" applyNumberFormat="0" applyFill="0" applyAlignment="0" applyProtection="0"/>
    <xf numFmtId="0" fontId="88" fillId="0" borderId="8" applyNumberFormat="0" applyFill="0" applyAlignment="0" applyProtection="0"/>
    <xf numFmtId="0" fontId="97" fillId="0" borderId="9" applyNumberFormat="0" applyFill="0" applyAlignment="0" applyProtection="0"/>
  </cellStyleXfs>
  <cellXfs count="683">
    <xf numFmtId="0" fontId="0" fillId="0" borderId="0" xfId="0" applyAlignment="1">
      <alignment/>
    </xf>
    <xf numFmtId="0" fontId="4" fillId="0" borderId="0"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1" xfId="0" applyFont="1" applyBorder="1" applyAlignment="1">
      <alignment vertical="top" wrapText="1"/>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0" xfId="0" applyFont="1" applyBorder="1" applyAlignment="1">
      <alignment horizontal="justify" vertical="top" wrapText="1"/>
    </xf>
    <xf numFmtId="0" fontId="14" fillId="0" borderId="0" xfId="0" applyFont="1" applyFill="1" applyBorder="1" applyAlignment="1">
      <alignment horizontal="right"/>
    </xf>
    <xf numFmtId="43" fontId="14" fillId="0" borderId="0" xfId="49" applyFont="1" applyFill="1" applyBorder="1" applyAlignment="1">
      <alignment horizontal="left"/>
    </xf>
    <xf numFmtId="0" fontId="4" fillId="0" borderId="14" xfId="0" applyFont="1" applyFill="1" applyBorder="1" applyAlignment="1">
      <alignment/>
    </xf>
    <xf numFmtId="0" fontId="4" fillId="0" borderId="0" xfId="0" applyFont="1" applyFill="1" applyBorder="1" applyAlignment="1">
      <alignment horizontal="right"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5" xfId="0" applyFont="1" applyFill="1" applyBorder="1" applyAlignment="1">
      <alignment horizontal="center" vertical="distributed" wrapText="1"/>
    </xf>
    <xf numFmtId="0" fontId="15" fillId="0" borderId="14" xfId="0" applyFont="1" applyFill="1" applyBorder="1" applyAlignment="1">
      <alignment horizontal="center" vertical="top" wrapText="1"/>
    </xf>
    <xf numFmtId="0" fontId="5" fillId="0" borderId="14"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33" borderId="10" xfId="0" applyFont="1" applyFill="1" applyBorder="1" applyAlignment="1">
      <alignment/>
    </xf>
    <xf numFmtId="0" fontId="15" fillId="0" borderId="16" xfId="0" applyFont="1" applyFill="1" applyBorder="1" applyAlignment="1">
      <alignment horizontal="center" vertical="top" wrapText="1"/>
    </xf>
    <xf numFmtId="0" fontId="5" fillId="0" borderId="16" xfId="0" applyFont="1" applyFill="1" applyBorder="1" applyAlignment="1">
      <alignment horizontal="center" vertical="top" wrapText="1"/>
    </xf>
    <xf numFmtId="0" fontId="4" fillId="0" borderId="16" xfId="0" applyFont="1" applyFill="1" applyBorder="1" applyAlignment="1">
      <alignment horizontal="center" vertical="distributed" wrapText="1"/>
    </xf>
    <xf numFmtId="169" fontId="4" fillId="33" borderId="17" xfId="55" applyNumberFormat="1" applyFont="1" applyFill="1" applyBorder="1" applyAlignment="1">
      <alignment horizontal="center" vertical="center"/>
    </xf>
    <xf numFmtId="0" fontId="4" fillId="34" borderId="18" xfId="0" applyFont="1" applyFill="1" applyBorder="1" applyAlignment="1">
      <alignment horizontal="center"/>
    </xf>
    <xf numFmtId="0" fontId="4" fillId="34" borderId="12" xfId="0" applyFont="1" applyFill="1" applyBorder="1" applyAlignment="1">
      <alignment horizontal="center"/>
    </xf>
    <xf numFmtId="0" fontId="4" fillId="0" borderId="17" xfId="0" applyFont="1" applyFill="1" applyBorder="1" applyAlignment="1">
      <alignment/>
    </xf>
    <xf numFmtId="0" fontId="4" fillId="0" borderId="19" xfId="0" applyFont="1" applyFill="1" applyBorder="1" applyAlignment="1">
      <alignment/>
    </xf>
    <xf numFmtId="169" fontId="4" fillId="0" borderId="20" xfId="55" applyNumberFormat="1" applyFont="1" applyFill="1" applyBorder="1" applyAlignment="1">
      <alignment horizontal="center"/>
    </xf>
    <xf numFmtId="169" fontId="4" fillId="0" borderId="14" xfId="55" applyNumberFormat="1" applyFont="1" applyFill="1" applyBorder="1" applyAlignment="1">
      <alignment horizontal="center"/>
    </xf>
    <xf numFmtId="43" fontId="4" fillId="0" borderId="0" xfId="49"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horizontal="right"/>
    </xf>
    <xf numFmtId="173" fontId="4" fillId="0" borderId="22" xfId="49" applyNumberFormat="1" applyFont="1" applyFill="1" applyBorder="1" applyAlignment="1">
      <alignment/>
    </xf>
    <xf numFmtId="173" fontId="4" fillId="0" borderId="21" xfId="49" applyNumberFormat="1" applyFont="1" applyFill="1" applyBorder="1" applyAlignment="1">
      <alignment horizontal="right"/>
    </xf>
    <xf numFmtId="49" fontId="4" fillId="0" borderId="22" xfId="0" applyNumberFormat="1"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0" xfId="0" applyNumberFormat="1" applyFont="1" applyFill="1" applyBorder="1" applyAlignment="1">
      <alignment horizontal="left"/>
    </xf>
    <xf numFmtId="0" fontId="4" fillId="0" borderId="21" xfId="0" applyFont="1" applyFill="1" applyBorder="1" applyAlignment="1">
      <alignment/>
    </xf>
    <xf numFmtId="0" fontId="4" fillId="0" borderId="22" xfId="0" applyFont="1" applyFill="1" applyBorder="1" applyAlignment="1">
      <alignment/>
    </xf>
    <xf numFmtId="0" fontId="4" fillId="0" borderId="21" xfId="0" applyFont="1" applyBorder="1" applyAlignment="1">
      <alignment vertical="top" wrapText="1"/>
    </xf>
    <xf numFmtId="0" fontId="16" fillId="0" borderId="0" xfId="0" applyFont="1" applyFill="1" applyBorder="1" applyAlignment="1">
      <alignment/>
    </xf>
    <xf numFmtId="0" fontId="15" fillId="33" borderId="14" xfId="0" applyFont="1" applyFill="1" applyBorder="1" applyAlignment="1">
      <alignment horizontal="center" vertical="top" wrapText="1"/>
    </xf>
    <xf numFmtId="0" fontId="5" fillId="33" borderId="0"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18" xfId="0" applyFont="1" applyFill="1" applyBorder="1" applyAlignment="1">
      <alignment/>
    </xf>
    <xf numFmtId="0" fontId="59" fillId="0" borderId="0" xfId="0" applyFont="1" applyFill="1" applyBorder="1" applyAlignment="1">
      <alignment vertical="center"/>
    </xf>
    <xf numFmtId="0" fontId="5" fillId="0" borderId="19" xfId="0" applyFont="1" applyFill="1" applyBorder="1" applyAlignment="1">
      <alignment horizontal="center" vertical="top" wrapText="1"/>
    </xf>
    <xf numFmtId="0" fontId="4" fillId="0" borderId="20" xfId="0" applyFont="1" applyFill="1" applyBorder="1" applyAlignment="1">
      <alignment horizontal="center" vertical="distributed" wrapText="1"/>
    </xf>
    <xf numFmtId="169" fontId="4" fillId="0" borderId="20" xfId="55" applyNumberFormat="1" applyFont="1" applyFill="1" applyBorder="1" applyAlignment="1">
      <alignment horizontal="distributed" vertical="distributed"/>
    </xf>
    <xf numFmtId="0" fontId="4" fillId="0" borderId="0" xfId="0" applyFont="1" applyFill="1" applyBorder="1" applyAlignment="1">
      <alignment vertical="center"/>
    </xf>
    <xf numFmtId="0" fontId="5" fillId="33" borderId="14" xfId="0" applyFont="1" applyFill="1" applyBorder="1" applyAlignment="1">
      <alignment horizontal="center" vertical="top" wrapText="1"/>
    </xf>
    <xf numFmtId="0" fontId="15" fillId="33" borderId="0" xfId="0" applyFont="1" applyFill="1" applyBorder="1" applyAlignment="1">
      <alignment horizontal="center" vertical="top" wrapText="1"/>
    </xf>
    <xf numFmtId="0" fontId="16" fillId="0" borderId="0" xfId="0" applyFont="1" applyFill="1" applyBorder="1" applyAlignment="1">
      <alignment vertical="center"/>
    </xf>
    <xf numFmtId="0" fontId="15" fillId="0" borderId="19" xfId="0" applyFont="1" applyFill="1" applyBorder="1" applyAlignment="1">
      <alignment horizontal="center" vertical="top" wrapText="1"/>
    </xf>
    <xf numFmtId="169" fontId="4" fillId="0" borderId="17" xfId="55" applyNumberFormat="1" applyFont="1" applyFill="1" applyBorder="1" applyAlignment="1">
      <alignment horizontal="center" vertical="distributed"/>
    </xf>
    <xf numFmtId="0" fontId="4" fillId="0" borderId="0" xfId="0" applyFont="1" applyFill="1" applyBorder="1" applyAlignment="1">
      <alignment horizontal="center" vertical="top" wrapText="1"/>
    </xf>
    <xf numFmtId="0" fontId="4" fillId="0" borderId="18" xfId="0" applyFont="1" applyFill="1" applyBorder="1" applyAlignment="1">
      <alignment horizontal="center"/>
    </xf>
    <xf numFmtId="0" fontId="4" fillId="0" borderId="11" xfId="0" applyFont="1" applyFill="1" applyBorder="1" applyAlignment="1">
      <alignment horizontal="center"/>
    </xf>
    <xf numFmtId="169" fontId="4" fillId="0" borderId="19" xfId="55" applyNumberFormat="1" applyFont="1" applyFill="1" applyBorder="1" applyAlignment="1">
      <alignment horizontal="center"/>
    </xf>
    <xf numFmtId="169" fontId="4" fillId="0" borderId="0" xfId="55" applyNumberFormat="1" applyFont="1" applyFill="1" applyBorder="1" applyAlignment="1">
      <alignment horizontal="center"/>
    </xf>
    <xf numFmtId="0" fontId="4" fillId="0" borderId="0" xfId="0" applyFont="1" applyAlignment="1">
      <alignment/>
    </xf>
    <xf numFmtId="0" fontId="4" fillId="0" borderId="0" xfId="0" applyFont="1" applyFill="1" applyBorder="1" applyAlignment="1">
      <alignment horizontal="right"/>
    </xf>
    <xf numFmtId="173" fontId="4" fillId="0" borderId="0" xfId="49" applyNumberFormat="1" applyFont="1" applyFill="1" applyBorder="1" applyAlignment="1">
      <alignment horizontal="left"/>
    </xf>
    <xf numFmtId="43" fontId="4" fillId="0" borderId="0" xfId="49" applyFont="1" applyFill="1" applyBorder="1" applyAlignment="1">
      <alignment horizontal="center"/>
    </xf>
    <xf numFmtId="49" fontId="4" fillId="0" borderId="0" xfId="0" applyNumberFormat="1" applyFont="1" applyFill="1" applyBorder="1" applyAlignment="1">
      <alignment horizontal="center"/>
    </xf>
    <xf numFmtId="169" fontId="6" fillId="0" borderId="0" xfId="55" applyNumberFormat="1" applyFont="1" applyFill="1" applyBorder="1" applyAlignment="1">
      <alignment horizontal="left"/>
    </xf>
    <xf numFmtId="0" fontId="9" fillId="0" borderId="0" xfId="0" applyFont="1" applyFill="1" applyBorder="1" applyAlignment="1">
      <alignment/>
    </xf>
    <xf numFmtId="0" fontId="59" fillId="0" borderId="0" xfId="0" applyFont="1" applyFill="1" applyBorder="1" applyAlignment="1">
      <alignment horizontal="right" vertical="center" wrapText="1"/>
    </xf>
    <xf numFmtId="43" fontId="59" fillId="0" borderId="0" xfId="49" applyFont="1" applyFill="1" applyBorder="1" applyAlignment="1">
      <alignment vertical="center" wrapText="1"/>
    </xf>
    <xf numFmtId="49" fontId="59" fillId="0" borderId="0" xfId="0" applyNumberFormat="1" applyFont="1" applyFill="1" applyBorder="1" applyAlignment="1">
      <alignment horizontal="left" vertical="center"/>
    </xf>
    <xf numFmtId="0" fontId="60" fillId="0" borderId="0" xfId="0" applyFont="1" applyFill="1" applyBorder="1" applyAlignment="1">
      <alignment/>
    </xf>
    <xf numFmtId="2" fontId="4" fillId="0" borderId="0" xfId="0" applyNumberFormat="1" applyFont="1" applyFill="1" applyBorder="1" applyAlignment="1">
      <alignment/>
    </xf>
    <xf numFmtId="0" fontId="98" fillId="0" borderId="0" xfId="0" applyFont="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169" fontId="99" fillId="0" borderId="10" xfId="55" applyNumberFormat="1" applyFont="1" applyFill="1" applyBorder="1" applyAlignment="1">
      <alignment horizontal="left"/>
    </xf>
    <xf numFmtId="0" fontId="100" fillId="0" borderId="11" xfId="0" applyFont="1" applyFill="1" applyBorder="1" applyAlignment="1">
      <alignment/>
    </xf>
    <xf numFmtId="169" fontId="100" fillId="0" borderId="11" xfId="55" applyNumberFormat="1" applyFont="1" applyFill="1" applyBorder="1" applyAlignment="1">
      <alignment horizontal="center"/>
    </xf>
    <xf numFmtId="2" fontId="4" fillId="0" borderId="12" xfId="0" applyNumberFormat="1" applyFont="1" applyFill="1" applyBorder="1" applyAlignment="1">
      <alignment/>
    </xf>
    <xf numFmtId="0" fontId="15" fillId="0" borderId="0" xfId="0" applyFont="1" applyFill="1" applyBorder="1" applyAlignment="1">
      <alignment horizontal="center"/>
    </xf>
    <xf numFmtId="0" fontId="5" fillId="0" borderId="0" xfId="0" applyFont="1" applyFill="1" applyBorder="1" applyAlignment="1">
      <alignment horizontal="center"/>
    </xf>
    <xf numFmtId="169" fontId="101" fillId="0" borderId="13" xfId="55" applyNumberFormat="1" applyFont="1" applyFill="1" applyBorder="1" applyAlignment="1">
      <alignment horizontal="left"/>
    </xf>
    <xf numFmtId="0" fontId="100" fillId="0" borderId="0" xfId="0" applyFont="1" applyFill="1" applyBorder="1" applyAlignment="1">
      <alignment/>
    </xf>
    <xf numFmtId="169" fontId="100" fillId="0" borderId="0" xfId="55" applyNumberFormat="1" applyFont="1" applyFill="1" applyBorder="1" applyAlignment="1">
      <alignment horizontal="center"/>
    </xf>
    <xf numFmtId="0" fontId="62" fillId="0" borderId="14" xfId="0" applyFont="1" applyFill="1" applyBorder="1" applyAlignment="1">
      <alignment horizontal="center"/>
    </xf>
    <xf numFmtId="169" fontId="63" fillId="0" borderId="17" xfId="55" applyNumberFormat="1" applyFont="1" applyFill="1" applyBorder="1" applyAlignment="1">
      <alignment horizontal="left"/>
    </xf>
    <xf numFmtId="0" fontId="9" fillId="0" borderId="19" xfId="0" applyFont="1" applyFill="1" applyBorder="1" applyAlignment="1">
      <alignment/>
    </xf>
    <xf numFmtId="169" fontId="9" fillId="0" borderId="19" xfId="55" applyNumberFormat="1" applyFont="1" applyFill="1" applyBorder="1" applyAlignment="1">
      <alignment horizontal="center"/>
    </xf>
    <xf numFmtId="171" fontId="62" fillId="0" borderId="16" xfId="49" applyNumberFormat="1" applyFont="1" applyFill="1" applyBorder="1" applyAlignment="1">
      <alignment horizontal="center"/>
    </xf>
    <xf numFmtId="169" fontId="63" fillId="0" borderId="0" xfId="55" applyNumberFormat="1" applyFont="1" applyFill="1" applyBorder="1" applyAlignment="1">
      <alignment horizontal="left"/>
    </xf>
    <xf numFmtId="169" fontId="9" fillId="0" borderId="0" xfId="55" applyNumberFormat="1" applyFont="1" applyFill="1" applyBorder="1" applyAlignment="1">
      <alignment horizontal="center"/>
    </xf>
    <xf numFmtId="171" fontId="4" fillId="0" borderId="0" xfId="49" applyNumberFormat="1" applyFont="1" applyFill="1" applyBorder="1" applyAlignment="1">
      <alignment/>
    </xf>
    <xf numFmtId="0" fontId="98" fillId="0" borderId="0" xfId="0" applyFont="1" applyAlignment="1">
      <alignment vertical="center"/>
    </xf>
    <xf numFmtId="0" fontId="4" fillId="0" borderId="16" xfId="0" applyFont="1" applyFill="1" applyBorder="1" applyAlignment="1">
      <alignment/>
    </xf>
    <xf numFmtId="169" fontId="64" fillId="0" borderId="0" xfId="55" applyNumberFormat="1" applyFont="1" applyFill="1" applyBorder="1" applyAlignment="1">
      <alignment horizontal="left"/>
    </xf>
    <xf numFmtId="0" fontId="4" fillId="35" borderId="0" xfId="0" applyFont="1" applyFill="1" applyBorder="1" applyAlignment="1">
      <alignment/>
    </xf>
    <xf numFmtId="169" fontId="4" fillId="0" borderId="0" xfId="55" applyNumberFormat="1" applyFont="1" applyFill="1" applyBorder="1" applyAlignment="1">
      <alignment/>
    </xf>
    <xf numFmtId="43" fontId="4" fillId="0" borderId="0" xfId="0" applyNumberFormat="1" applyFont="1" applyFill="1" applyBorder="1" applyAlignment="1">
      <alignment/>
    </xf>
    <xf numFmtId="0" fontId="15" fillId="0" borderId="0" xfId="0" applyFont="1" applyFill="1" applyBorder="1" applyAlignment="1">
      <alignment/>
    </xf>
    <xf numFmtId="0" fontId="21" fillId="0" borderId="11" xfId="0" applyFont="1" applyFill="1" applyBorder="1" applyAlignment="1">
      <alignment/>
    </xf>
    <xf numFmtId="0" fontId="21" fillId="0" borderId="12" xfId="0" applyFont="1" applyFill="1" applyBorder="1" applyAlignment="1">
      <alignment/>
    </xf>
    <xf numFmtId="0" fontId="21" fillId="0" borderId="0" xfId="0" applyFont="1" applyFill="1" applyBorder="1" applyAlignment="1">
      <alignment/>
    </xf>
    <xf numFmtId="0" fontId="21" fillId="0" borderId="14" xfId="0" applyFont="1" applyFill="1" applyBorder="1" applyAlignment="1">
      <alignment/>
    </xf>
    <xf numFmtId="0" fontId="21" fillId="0" borderId="19" xfId="0" applyFont="1" applyFill="1" applyBorder="1" applyAlignment="1">
      <alignment/>
    </xf>
    <xf numFmtId="0" fontId="21" fillId="0" borderId="16" xfId="0" applyFont="1" applyFill="1" applyBorder="1" applyAlignment="1">
      <alignment/>
    </xf>
    <xf numFmtId="0" fontId="9" fillId="0" borderId="14" xfId="0" applyFont="1" applyFill="1" applyBorder="1" applyAlignment="1">
      <alignment/>
    </xf>
    <xf numFmtId="0" fontId="4" fillId="0" borderId="18" xfId="0" applyFont="1" applyFill="1" applyBorder="1" applyAlignment="1">
      <alignment horizontal="center" vertical="distributed" wrapText="1"/>
    </xf>
    <xf numFmtId="0" fontId="4" fillId="0" borderId="24" xfId="0" applyFont="1" applyFill="1" applyBorder="1" applyAlignment="1">
      <alignment horizontal="center" vertical="distributed" wrapText="1"/>
    </xf>
    <xf numFmtId="0" fontId="65" fillId="33" borderId="14" xfId="0" applyFont="1" applyFill="1" applyBorder="1" applyAlignment="1">
      <alignment horizontal="center" vertical="top" wrapText="1"/>
    </xf>
    <xf numFmtId="1" fontId="66" fillId="33" borderId="14" xfId="0" applyNumberFormat="1" applyFont="1" applyFill="1" applyBorder="1" applyAlignment="1">
      <alignment horizontal="center" vertical="top" wrapText="1"/>
    </xf>
    <xf numFmtId="1" fontId="4" fillId="0" borderId="18" xfId="0" applyNumberFormat="1" applyFont="1" applyFill="1" applyBorder="1" applyAlignment="1">
      <alignment horizontal="center" vertical="distributed" wrapText="1"/>
    </xf>
    <xf numFmtId="0" fontId="4" fillId="0" borderId="25" xfId="0" applyFont="1" applyFill="1" applyBorder="1" applyAlignment="1">
      <alignment/>
    </xf>
    <xf numFmtId="0" fontId="9" fillId="0" borderId="25" xfId="0" applyFont="1" applyFill="1" applyBorder="1" applyAlignment="1">
      <alignment/>
    </xf>
    <xf numFmtId="0" fontId="9" fillId="0" borderId="26" xfId="0" applyFont="1" applyFill="1" applyBorder="1" applyAlignment="1">
      <alignment/>
    </xf>
    <xf numFmtId="0" fontId="65" fillId="0" borderId="16" xfId="0" applyFont="1" applyFill="1" applyBorder="1" applyAlignment="1">
      <alignment horizontal="center" vertical="top" wrapText="1"/>
    </xf>
    <xf numFmtId="0" fontId="66" fillId="0" borderId="16" xfId="0" applyFont="1" applyFill="1" applyBorder="1" applyAlignment="1">
      <alignment horizontal="center" vertical="top" wrapText="1"/>
    </xf>
    <xf numFmtId="169" fontId="9" fillId="0" borderId="27" xfId="55" applyNumberFormat="1" applyFont="1" applyFill="1" applyBorder="1" applyAlignment="1">
      <alignment horizontal="center" vertical="distributed"/>
    </xf>
    <xf numFmtId="0" fontId="67" fillId="0" borderId="27" xfId="0" applyFont="1" applyFill="1" applyBorder="1" applyAlignment="1">
      <alignment vertical="distributed"/>
    </xf>
    <xf numFmtId="0" fontId="67" fillId="0" borderId="28" xfId="0" applyFont="1" applyFill="1" applyBorder="1" applyAlignment="1">
      <alignment vertical="distributed"/>
    </xf>
    <xf numFmtId="1" fontId="65" fillId="33" borderId="14" xfId="0" applyNumberFormat="1" applyFont="1" applyFill="1" applyBorder="1" applyAlignment="1">
      <alignment horizontal="center" vertical="top" wrapText="1"/>
    </xf>
    <xf numFmtId="10" fontId="9" fillId="0" borderId="27" xfId="55" applyNumberFormat="1" applyFont="1" applyFill="1" applyBorder="1" applyAlignment="1">
      <alignment horizontal="center" vertical="distributed"/>
    </xf>
    <xf numFmtId="0" fontId="9" fillId="0" borderId="13" xfId="0" applyFont="1" applyFill="1" applyBorder="1" applyAlignment="1">
      <alignment/>
    </xf>
    <xf numFmtId="1" fontId="4" fillId="0" borderId="14"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top" wrapText="1"/>
    </xf>
    <xf numFmtId="0" fontId="4" fillId="0" borderId="10" xfId="0" applyFont="1" applyFill="1" applyBorder="1" applyAlignment="1">
      <alignment horizontal="center"/>
    </xf>
    <xf numFmtId="0" fontId="67" fillId="0" borderId="0" xfId="0" applyFont="1" applyFill="1" applyBorder="1" applyAlignment="1">
      <alignment/>
    </xf>
    <xf numFmtId="43" fontId="14" fillId="0" borderId="19" xfId="49" applyFont="1" applyFill="1" applyBorder="1" applyAlignment="1">
      <alignment horizontal="left"/>
    </xf>
    <xf numFmtId="0" fontId="9" fillId="0" borderId="16" xfId="0" applyFont="1" applyFill="1" applyBorder="1" applyAlignment="1">
      <alignment/>
    </xf>
    <xf numFmtId="10" fontId="9" fillId="0" borderId="0" xfId="55" applyNumberFormat="1" applyFont="1" applyFill="1" applyBorder="1" applyAlignment="1">
      <alignment horizontal="left"/>
    </xf>
    <xf numFmtId="10" fontId="9" fillId="0" borderId="0" xfId="55" applyNumberFormat="1" applyFont="1" applyFill="1" applyBorder="1" applyAlignment="1">
      <alignment horizontal="center"/>
    </xf>
    <xf numFmtId="0" fontId="9" fillId="0" borderId="0" xfId="0" applyFont="1" applyFill="1" applyBorder="1" applyAlignment="1">
      <alignment horizontal="center"/>
    </xf>
    <xf numFmtId="43" fontId="9" fillId="0" borderId="0" xfId="49" applyFont="1" applyBorder="1" applyAlignment="1">
      <alignment horizontal="center"/>
    </xf>
    <xf numFmtId="0" fontId="9" fillId="0" borderId="0" xfId="0" applyFont="1" applyBorder="1" applyAlignment="1">
      <alignment horizontal="center"/>
    </xf>
    <xf numFmtId="190" fontId="9" fillId="0" borderId="0" xfId="49" applyNumberFormat="1" applyFont="1" applyBorder="1" applyAlignment="1">
      <alignment horizontal="center"/>
    </xf>
    <xf numFmtId="43" fontId="9" fillId="0" borderId="0" xfId="49" applyFont="1" applyFill="1" applyBorder="1" applyAlignment="1">
      <alignment horizontal="center"/>
    </xf>
    <xf numFmtId="10" fontId="4" fillId="0" borderId="0" xfId="55" applyNumberFormat="1" applyFont="1" applyFill="1" applyBorder="1" applyAlignment="1">
      <alignment/>
    </xf>
    <xf numFmtId="0" fontId="9" fillId="0" borderId="0" xfId="0" applyFont="1" applyFill="1" applyBorder="1" applyAlignment="1">
      <alignment horizontal="left"/>
    </xf>
    <xf numFmtId="190" fontId="9" fillId="0" borderId="0" xfId="49" applyNumberFormat="1" applyFont="1" applyFill="1" applyBorder="1" applyAlignment="1">
      <alignment horizontal="center"/>
    </xf>
    <xf numFmtId="43" fontId="4" fillId="0" borderId="0" xfId="49" applyFont="1" applyFill="1" applyBorder="1" applyAlignment="1">
      <alignment/>
    </xf>
    <xf numFmtId="0" fontId="12" fillId="0" borderId="0" xfId="0" applyFont="1" applyAlignment="1">
      <alignment/>
    </xf>
    <xf numFmtId="0" fontId="9" fillId="0" borderId="0" xfId="0" applyFont="1" applyAlignment="1">
      <alignment/>
    </xf>
    <xf numFmtId="0" fontId="4" fillId="0" borderId="29" xfId="0" applyFont="1" applyFill="1" applyBorder="1" applyAlignment="1">
      <alignment horizontal="center" vertical="distributed"/>
    </xf>
    <xf numFmtId="0" fontId="4" fillId="0" borderId="29" xfId="0" applyFont="1" applyBorder="1" applyAlignment="1">
      <alignment horizontal="center" vertical="distributed"/>
    </xf>
    <xf numFmtId="0" fontId="4" fillId="0" borderId="30" xfId="0" applyFont="1" applyFill="1" applyBorder="1" applyAlignment="1">
      <alignment horizontal="center" vertical="distributed"/>
    </xf>
    <xf numFmtId="0" fontId="4" fillId="34" borderId="29" xfId="0" applyFont="1" applyFill="1" applyBorder="1" applyAlignment="1">
      <alignment horizontal="center"/>
    </xf>
    <xf numFmtId="0" fontId="4" fillId="0" borderId="29" xfId="0" applyFont="1" applyFill="1" applyBorder="1" applyAlignment="1">
      <alignment horizontal="center"/>
    </xf>
    <xf numFmtId="43" fontId="4" fillId="0" borderId="29" xfId="49" applyFont="1" applyBorder="1" applyAlignment="1">
      <alignment horizontal="center"/>
    </xf>
    <xf numFmtId="43" fontId="4" fillId="0" borderId="29" xfId="0" applyNumberFormat="1" applyFont="1" applyBorder="1" applyAlignment="1">
      <alignment horizontal="center"/>
    </xf>
    <xf numFmtId="0" fontId="4" fillId="0" borderId="29" xfId="0" applyFont="1" applyBorder="1" applyAlignment="1">
      <alignment horizontal="center"/>
    </xf>
    <xf numFmtId="43" fontId="4" fillId="0" borderId="29" xfId="49" applyFont="1" applyFill="1" applyBorder="1" applyAlignment="1">
      <alignment horizontal="center"/>
    </xf>
    <xf numFmtId="1" fontId="4" fillId="0" borderId="29" xfId="0" applyNumberFormat="1" applyFont="1" applyFill="1" applyBorder="1" applyAlignment="1">
      <alignment horizontal="center"/>
    </xf>
    <xf numFmtId="3" fontId="4" fillId="0" borderId="29" xfId="0" applyNumberFormat="1" applyFont="1" applyFill="1" applyBorder="1" applyAlignment="1">
      <alignment horizontal="center"/>
    </xf>
    <xf numFmtId="0" fontId="4" fillId="33" borderId="29"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xf>
    <xf numFmtId="10" fontId="4" fillId="0" borderId="0" xfId="0" applyNumberFormat="1" applyFont="1" applyFill="1" applyBorder="1" applyAlignment="1">
      <alignment/>
    </xf>
    <xf numFmtId="0" fontId="4" fillId="0" borderId="21" xfId="0" applyFont="1" applyFill="1" applyBorder="1" applyAlignment="1">
      <alignment/>
    </xf>
    <xf numFmtId="0" fontId="4" fillId="0" borderId="13" xfId="0" applyFont="1" applyFill="1" applyBorder="1" applyAlignment="1">
      <alignment horizontal="right"/>
    </xf>
    <xf numFmtId="0" fontId="4" fillId="0" borderId="0" xfId="0" applyFont="1" applyBorder="1" applyAlignment="1">
      <alignment horizontal="justify" vertical="top" wrapText="1"/>
    </xf>
    <xf numFmtId="10" fontId="4" fillId="33" borderId="0" xfId="0" applyNumberFormat="1" applyFont="1" applyFill="1" applyBorder="1" applyAlignment="1">
      <alignment horizontal="right" vertical="top" wrapText="1"/>
    </xf>
    <xf numFmtId="0" fontId="4" fillId="0" borderId="18" xfId="0" applyFont="1" applyFill="1" applyBorder="1" applyAlignment="1">
      <alignment horizontal="center" vertical="top" wrapText="1"/>
    </xf>
    <xf numFmtId="0" fontId="4" fillId="0" borderId="18" xfId="0" applyFont="1" applyFill="1" applyBorder="1" applyAlignment="1">
      <alignment horizontal="center" vertical="distributed" wrapText="1"/>
    </xf>
    <xf numFmtId="0" fontId="14" fillId="0" borderId="0" xfId="0" applyFont="1" applyFill="1" applyBorder="1" applyAlignment="1">
      <alignment horizontal="right"/>
    </xf>
    <xf numFmtId="169" fontId="4" fillId="0" borderId="0" xfId="55" applyNumberFormat="1" applyFont="1" applyFill="1" applyBorder="1" applyAlignment="1">
      <alignment/>
    </xf>
    <xf numFmtId="0" fontId="4" fillId="0" borderId="24" xfId="0" applyFont="1" applyFill="1" applyBorder="1" applyAlignment="1">
      <alignment horizontal="center" vertical="top" wrapText="1"/>
    </xf>
    <xf numFmtId="0" fontId="4" fillId="0" borderId="24" xfId="0" applyFont="1" applyFill="1" applyBorder="1" applyAlignment="1">
      <alignment horizontal="center" vertical="distributed" wrapText="1"/>
    </xf>
    <xf numFmtId="0" fontId="4" fillId="0" borderId="20" xfId="0" applyFont="1" applyFill="1" applyBorder="1" applyAlignment="1">
      <alignment/>
    </xf>
    <xf numFmtId="0" fontId="4" fillId="0" borderId="20" xfId="0" applyFont="1" applyFill="1" applyBorder="1" applyAlignment="1">
      <alignment horizontal="center" vertical="distributed" wrapText="1"/>
    </xf>
    <xf numFmtId="1" fontId="4" fillId="0" borderId="10" xfId="0" applyNumberFormat="1" applyFont="1" applyFill="1" applyBorder="1" applyAlignment="1">
      <alignment horizontal="center" vertical="distributed" wrapText="1"/>
    </xf>
    <xf numFmtId="0" fontId="4" fillId="0" borderId="18" xfId="0" applyFont="1" applyFill="1" applyBorder="1" applyAlignment="1">
      <alignment/>
    </xf>
    <xf numFmtId="0" fontId="15" fillId="0" borderId="16" xfId="0" applyFont="1" applyFill="1" applyBorder="1" applyAlignment="1">
      <alignment horizontal="center" vertical="top" wrapText="1"/>
    </xf>
    <xf numFmtId="0" fontId="5" fillId="0" borderId="16" xfId="0" applyFont="1" applyFill="1" applyBorder="1" applyAlignment="1">
      <alignment horizontal="center" vertical="top" wrapText="1"/>
    </xf>
    <xf numFmtId="0" fontId="4" fillId="0" borderId="19" xfId="0" applyFont="1" applyFill="1" applyBorder="1" applyAlignment="1">
      <alignment horizontal="center" vertical="distributed" wrapText="1"/>
    </xf>
    <xf numFmtId="10" fontId="4" fillId="0" borderId="20" xfId="55" applyNumberFormat="1" applyFont="1" applyFill="1" applyBorder="1" applyAlignment="1">
      <alignment horizontal="center" vertical="distributed"/>
    </xf>
    <xf numFmtId="0" fontId="4" fillId="0" borderId="13" xfId="0" applyFont="1" applyFill="1" applyBorder="1" applyAlignment="1">
      <alignment/>
    </xf>
    <xf numFmtId="0" fontId="4" fillId="0" borderId="18" xfId="0" applyFont="1" applyFill="1" applyBorder="1" applyAlignment="1">
      <alignment horizontal="center"/>
    </xf>
    <xf numFmtId="169" fontId="4" fillId="0" borderId="20" xfId="55" applyNumberFormat="1" applyFont="1" applyFill="1" applyBorder="1" applyAlignment="1">
      <alignment horizontal="center"/>
    </xf>
    <xf numFmtId="169" fontId="4" fillId="0" borderId="24" xfId="55" applyNumberFormat="1" applyFont="1" applyFill="1" applyBorder="1" applyAlignment="1">
      <alignment horizontal="center"/>
    </xf>
    <xf numFmtId="0" fontId="4" fillId="0" borderId="22" xfId="0" applyFont="1" applyFill="1" applyBorder="1" applyAlignment="1">
      <alignment horizontal="right"/>
    </xf>
    <xf numFmtId="170" fontId="4" fillId="0" borderId="21" xfId="49" applyNumberFormat="1" applyFont="1" applyFill="1" applyBorder="1" applyAlignment="1">
      <alignment horizontal="center"/>
    </xf>
    <xf numFmtId="49" fontId="4" fillId="0" borderId="22" xfId="0" applyNumberFormat="1" applyFont="1" applyFill="1" applyBorder="1" applyAlignment="1">
      <alignment horizontal="center"/>
    </xf>
    <xf numFmtId="0" fontId="4" fillId="0" borderId="0" xfId="0" applyFont="1" applyFill="1" applyBorder="1" applyAlignment="1">
      <alignment horizontal="center"/>
    </xf>
    <xf numFmtId="43" fontId="4" fillId="0" borderId="0" xfId="49" applyFont="1" applyBorder="1" applyAlignment="1">
      <alignment horizontal="center"/>
    </xf>
    <xf numFmtId="0" fontId="4" fillId="0" borderId="0" xfId="0" applyFont="1" applyBorder="1" applyAlignment="1">
      <alignment horizontal="center"/>
    </xf>
    <xf numFmtId="190" fontId="4" fillId="0" borderId="0" xfId="49" applyNumberFormat="1" applyFont="1" applyBorder="1" applyAlignment="1">
      <alignment horizontal="center"/>
    </xf>
    <xf numFmtId="43" fontId="4" fillId="0" borderId="0" xfId="49" applyFont="1" applyFill="1" applyBorder="1" applyAlignment="1">
      <alignment horizontal="center"/>
    </xf>
    <xf numFmtId="10" fontId="4" fillId="0" borderId="0" xfId="55" applyNumberFormat="1" applyFont="1" applyFill="1" applyBorder="1" applyAlignment="1">
      <alignment/>
    </xf>
    <xf numFmtId="0" fontId="4" fillId="0" borderId="16" xfId="0" applyFont="1" applyFill="1" applyBorder="1" applyAlignment="1">
      <alignment/>
    </xf>
    <xf numFmtId="0" fontId="4" fillId="0" borderId="24" xfId="0" applyFont="1" applyFill="1" applyBorder="1" applyAlignment="1">
      <alignment/>
    </xf>
    <xf numFmtId="0" fontId="68" fillId="0" borderId="0" xfId="0" applyFont="1" applyFill="1" applyBorder="1" applyAlignment="1">
      <alignment/>
    </xf>
    <xf numFmtId="0" fontId="17" fillId="0" borderId="0" xfId="0" applyFont="1" applyFill="1" applyBorder="1" applyAlignment="1">
      <alignment/>
    </xf>
    <xf numFmtId="0" fontId="24" fillId="0" borderId="0" xfId="0" applyFont="1" applyFill="1" applyBorder="1" applyAlignment="1">
      <alignment/>
    </xf>
    <xf numFmtId="0" fontId="69" fillId="0" borderId="0" xfId="0" applyFont="1" applyFill="1" applyBorder="1" applyAlignment="1">
      <alignment/>
    </xf>
    <xf numFmtId="0" fontId="9" fillId="0" borderId="11" xfId="0" applyFont="1" applyFill="1" applyBorder="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horizontal="right"/>
    </xf>
    <xf numFmtId="168" fontId="9" fillId="0" borderId="0" xfId="49" applyNumberFormat="1" applyFont="1" applyBorder="1" applyAlignment="1">
      <alignment horizontal="justify" vertical="top" wrapText="1"/>
    </xf>
    <xf numFmtId="43" fontId="9" fillId="0" borderId="0" xfId="0" applyNumberFormat="1" applyFont="1" applyFill="1" applyBorder="1" applyAlignment="1">
      <alignment/>
    </xf>
    <xf numFmtId="10" fontId="9" fillId="0" borderId="0" xfId="0" applyNumberFormat="1" applyFont="1" applyFill="1" applyBorder="1" applyAlignment="1">
      <alignment horizontal="right" vertical="top" wrapText="1"/>
    </xf>
    <xf numFmtId="0" fontId="4" fillId="0" borderId="18" xfId="0" applyFont="1" applyFill="1" applyBorder="1" applyAlignment="1">
      <alignment horizontal="center" vertical="top" wrapText="1"/>
    </xf>
    <xf numFmtId="0" fontId="9" fillId="0" borderId="24" xfId="0" applyFont="1" applyFill="1" applyBorder="1" applyAlignment="1">
      <alignment/>
    </xf>
    <xf numFmtId="0" fontId="65" fillId="33" borderId="12" xfId="0" applyFont="1" applyFill="1" applyBorder="1" applyAlignment="1">
      <alignment horizontal="center" vertical="top" wrapText="1"/>
    </xf>
    <xf numFmtId="1" fontId="66" fillId="33" borderId="12" xfId="0" applyNumberFormat="1" applyFont="1" applyFill="1" applyBorder="1" applyAlignment="1">
      <alignment horizontal="center" vertical="top" wrapText="1"/>
    </xf>
    <xf numFmtId="10" fontId="9" fillId="0" borderId="19" xfId="55" applyNumberFormat="1" applyFont="1" applyFill="1" applyBorder="1" applyAlignment="1">
      <alignment horizontal="center" vertical="distributed"/>
    </xf>
    <xf numFmtId="0" fontId="67" fillId="0" borderId="19" xfId="0" applyFont="1" applyFill="1" applyBorder="1" applyAlignment="1">
      <alignment vertical="distributed"/>
    </xf>
    <xf numFmtId="0" fontId="67" fillId="0" borderId="16" xfId="0" applyFont="1" applyFill="1" applyBorder="1" applyAlignment="1">
      <alignment vertical="distributed"/>
    </xf>
    <xf numFmtId="10" fontId="9" fillId="0" borderId="17" xfId="55" applyNumberFormat="1" applyFont="1" applyFill="1" applyBorder="1" applyAlignment="1">
      <alignment horizontal="center"/>
    </xf>
    <xf numFmtId="10" fontId="9" fillId="0" borderId="20" xfId="55" applyNumberFormat="1" applyFont="1" applyFill="1" applyBorder="1" applyAlignment="1">
      <alignment horizontal="center"/>
    </xf>
    <xf numFmtId="0" fontId="9" fillId="0" borderId="21" xfId="0" applyFont="1" applyFill="1" applyBorder="1" applyAlignment="1">
      <alignment/>
    </xf>
    <xf numFmtId="43" fontId="4" fillId="0" borderId="23" xfId="49" applyFont="1" applyFill="1" applyBorder="1" applyAlignment="1">
      <alignment horizontal="left"/>
    </xf>
    <xf numFmtId="0" fontId="9" fillId="0" borderId="29" xfId="0" applyFont="1" applyFill="1" applyBorder="1" applyAlignment="1">
      <alignment horizontal="center" vertical="center"/>
    </xf>
    <xf numFmtId="10" fontId="4" fillId="36" borderId="29" xfId="55" applyNumberFormat="1" applyFont="1" applyFill="1" applyBorder="1" applyAlignment="1">
      <alignment/>
    </xf>
    <xf numFmtId="0" fontId="9" fillId="0" borderId="20" xfId="0" applyFont="1" applyFill="1" applyBorder="1" applyAlignment="1">
      <alignment/>
    </xf>
    <xf numFmtId="1" fontId="9" fillId="0" borderId="0" xfId="0" applyNumberFormat="1" applyFont="1" applyFill="1" applyBorder="1" applyAlignment="1">
      <alignment horizontal="center"/>
    </xf>
    <xf numFmtId="170" fontId="9" fillId="0" borderId="0" xfId="49" applyNumberFormat="1" applyFont="1" applyFill="1" applyBorder="1" applyAlignment="1">
      <alignment horizontal="center"/>
    </xf>
    <xf numFmtId="0" fontId="25" fillId="37" borderId="0" xfId="0" applyFont="1" applyFill="1" applyBorder="1" applyAlignment="1">
      <alignment/>
    </xf>
    <xf numFmtId="0" fontId="9" fillId="37" borderId="0" xfId="0" applyFont="1" applyFill="1" applyBorder="1" applyAlignment="1">
      <alignment/>
    </xf>
    <xf numFmtId="0" fontId="25" fillId="37" borderId="29" xfId="0" applyFont="1" applyFill="1" applyBorder="1" applyAlignment="1">
      <alignment wrapText="1"/>
    </xf>
    <xf numFmtId="0" fontId="25" fillId="37" borderId="29" xfId="0" applyFont="1" applyFill="1" applyBorder="1" applyAlignment="1">
      <alignment horizontal="center" wrapText="1"/>
    </xf>
    <xf numFmtId="0" fontId="18" fillId="0" borderId="29" xfId="0" applyFont="1" applyFill="1" applyBorder="1" applyAlignment="1">
      <alignment/>
    </xf>
    <xf numFmtId="43" fontId="32" fillId="0" borderId="29" xfId="49" applyFont="1" applyFill="1" applyBorder="1" applyAlignment="1">
      <alignment horizontal="left"/>
    </xf>
    <xf numFmtId="49" fontId="18" fillId="0" borderId="0" xfId="0" applyNumberFormat="1" applyFont="1" applyFill="1" applyBorder="1" applyAlignment="1">
      <alignment/>
    </xf>
    <xf numFmtId="43" fontId="25" fillId="0" borderId="29" xfId="49" applyFont="1" applyFill="1" applyBorder="1" applyAlignment="1">
      <alignment horizontal="left"/>
    </xf>
    <xf numFmtId="0" fontId="5" fillId="0" borderId="0" xfId="0" applyFont="1" applyFill="1" applyBorder="1" applyAlignment="1">
      <alignment/>
    </xf>
    <xf numFmtId="0" fontId="70" fillId="0" borderId="0" xfId="0" applyFont="1" applyFill="1" applyBorder="1" applyAlignment="1">
      <alignment/>
    </xf>
    <xf numFmtId="0" fontId="71" fillId="0" borderId="0" xfId="0" applyFont="1" applyFill="1" applyBorder="1" applyAlignment="1">
      <alignment/>
    </xf>
    <xf numFmtId="0" fontId="33" fillId="0" borderId="0" xfId="0" applyFont="1" applyFill="1" applyBorder="1" applyAlignment="1">
      <alignment/>
    </xf>
    <xf numFmtId="0" fontId="34" fillId="0" borderId="0" xfId="0" applyFont="1" applyFill="1" applyBorder="1" applyAlignment="1">
      <alignment/>
    </xf>
    <xf numFmtId="2" fontId="9" fillId="0" borderId="0" xfId="0" applyNumberFormat="1" applyFont="1" applyFill="1" applyBorder="1" applyAlignment="1">
      <alignment/>
    </xf>
    <xf numFmtId="0" fontId="72" fillId="0" borderId="0" xfId="0" applyFont="1" applyFill="1" applyBorder="1" applyAlignment="1">
      <alignment/>
    </xf>
    <xf numFmtId="0" fontId="62" fillId="0" borderId="0" xfId="0" applyFont="1" applyFill="1" applyBorder="1" applyAlignment="1">
      <alignment vertical="distributed"/>
    </xf>
    <xf numFmtId="0" fontId="62" fillId="0" borderId="0" xfId="0" applyFont="1" applyFill="1" applyBorder="1" applyAlignment="1">
      <alignment horizontal="right"/>
    </xf>
    <xf numFmtId="2" fontId="72" fillId="0" borderId="0" xfId="0" applyNumberFormat="1" applyFont="1" applyFill="1" applyBorder="1" applyAlignment="1">
      <alignment horizontal="center"/>
    </xf>
    <xf numFmtId="2" fontId="72" fillId="0" borderId="29" xfId="0" applyNumberFormat="1" applyFont="1" applyFill="1" applyBorder="1" applyAlignment="1">
      <alignment horizontal="center"/>
    </xf>
    <xf numFmtId="0" fontId="72" fillId="0" borderId="29" xfId="0" applyFont="1" applyFill="1" applyBorder="1" applyAlignment="1">
      <alignment horizontal="center"/>
    </xf>
    <xf numFmtId="0" fontId="62" fillId="0" borderId="29" xfId="0" applyFont="1" applyFill="1" applyBorder="1" applyAlignment="1">
      <alignment horizontal="center"/>
    </xf>
    <xf numFmtId="171" fontId="72" fillId="0" borderId="29" xfId="49" applyNumberFormat="1" applyFont="1" applyFill="1" applyBorder="1" applyAlignment="1">
      <alignment horizontal="center"/>
    </xf>
    <xf numFmtId="0" fontId="72" fillId="0" borderId="0" xfId="0" applyFont="1" applyFill="1" applyBorder="1" applyAlignment="1">
      <alignment horizontal="center"/>
    </xf>
    <xf numFmtId="171" fontId="72" fillId="0" borderId="0" xfId="49" applyNumberFormat="1" applyFont="1" applyFill="1" applyBorder="1" applyAlignment="1">
      <alignment horizontal="center"/>
    </xf>
    <xf numFmtId="0" fontId="62" fillId="0" borderId="0" xfId="0" applyFont="1" applyFill="1" applyBorder="1" applyAlignment="1">
      <alignment/>
    </xf>
    <xf numFmtId="10" fontId="4" fillId="0" borderId="0" xfId="0" applyNumberFormat="1" applyFont="1" applyFill="1" applyBorder="1" applyAlignment="1">
      <alignment/>
    </xf>
    <xf numFmtId="171" fontId="4" fillId="0" borderId="0" xfId="0" applyNumberFormat="1" applyFont="1" applyFill="1" applyBorder="1" applyAlignment="1">
      <alignment/>
    </xf>
    <xf numFmtId="170" fontId="4" fillId="0" borderId="0" xfId="0" applyNumberFormat="1"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right"/>
    </xf>
    <xf numFmtId="168" fontId="9" fillId="0" borderId="0" xfId="49" applyNumberFormat="1" applyFont="1" applyFill="1" applyBorder="1" applyAlignment="1">
      <alignment horizontal="justify" vertical="top" wrapText="1"/>
    </xf>
    <xf numFmtId="0" fontId="9" fillId="0" borderId="0" xfId="0" applyFont="1" applyFill="1" applyBorder="1" applyAlignment="1">
      <alignment horizontal="justify" vertical="top" wrapText="1"/>
    </xf>
    <xf numFmtId="10" fontId="9" fillId="0" borderId="0" xfId="0" applyNumberFormat="1" applyFont="1" applyFill="1" applyBorder="1" applyAlignment="1">
      <alignment/>
    </xf>
    <xf numFmtId="0" fontId="9" fillId="0" borderId="0" xfId="0" applyFont="1" applyFill="1" applyBorder="1" applyAlignment="1">
      <alignment horizontal="center" vertical="distributed" wrapText="1"/>
    </xf>
    <xf numFmtId="43" fontId="9" fillId="0" borderId="0" xfId="49" applyFont="1" applyFill="1" applyBorder="1" applyAlignment="1">
      <alignment horizontal="left"/>
    </xf>
    <xf numFmtId="10" fontId="9" fillId="0" borderId="0" xfId="55" applyNumberFormat="1" applyFont="1" applyFill="1" applyBorder="1" applyAlignment="1">
      <alignment/>
    </xf>
    <xf numFmtId="169" fontId="9" fillId="0" borderId="0" xfId="55" applyNumberFormat="1" applyFont="1" applyFill="1" applyBorder="1" applyAlignment="1">
      <alignment/>
    </xf>
    <xf numFmtId="0" fontId="4" fillId="0" borderId="0" xfId="0" applyFont="1" applyAlignment="1">
      <alignment/>
    </xf>
    <xf numFmtId="0" fontId="9" fillId="0" borderId="0" xfId="0" applyFont="1" applyBorder="1" applyAlignment="1">
      <alignment/>
    </xf>
    <xf numFmtId="0" fontId="4" fillId="0" borderId="31" xfId="0" applyFont="1" applyFill="1" applyBorder="1" applyAlignment="1">
      <alignment horizontal="center"/>
    </xf>
    <xf numFmtId="43" fontId="9" fillId="0" borderId="0" xfId="49" applyFont="1" applyFill="1" applyBorder="1" applyAlignment="1">
      <alignment/>
    </xf>
    <xf numFmtId="0" fontId="4" fillId="0" borderId="32" xfId="0" applyFont="1" applyFill="1" applyBorder="1" applyAlignment="1">
      <alignment/>
    </xf>
    <xf numFmtId="0" fontId="4" fillId="0" borderId="33" xfId="0" applyFont="1" applyFill="1" applyBorder="1" applyAlignment="1">
      <alignment/>
    </xf>
    <xf numFmtId="0" fontId="73" fillId="0" borderId="0" xfId="0" applyFont="1" applyFill="1" applyBorder="1" applyAlignment="1">
      <alignment horizontal="left"/>
    </xf>
    <xf numFmtId="0" fontId="4" fillId="0" borderId="34" xfId="0" applyFont="1" applyFill="1" applyBorder="1" applyAlignment="1">
      <alignment/>
    </xf>
    <xf numFmtId="0" fontId="4" fillId="0" borderId="35" xfId="0" applyFont="1" applyFill="1" applyBorder="1" applyAlignment="1">
      <alignment/>
    </xf>
    <xf numFmtId="0" fontId="4" fillId="0" borderId="36" xfId="0" applyFont="1" applyFill="1" applyBorder="1" applyAlignment="1">
      <alignment/>
    </xf>
    <xf numFmtId="0" fontId="4" fillId="0" borderId="27" xfId="0" applyFont="1" applyFill="1" applyBorder="1" applyAlignment="1">
      <alignment/>
    </xf>
    <xf numFmtId="0" fontId="4" fillId="0" borderId="37" xfId="0" applyFont="1" applyFill="1" applyBorder="1" applyAlignment="1">
      <alignment/>
    </xf>
    <xf numFmtId="0" fontId="73" fillId="0" borderId="0" xfId="0" applyFont="1" applyFill="1" applyBorder="1" applyAlignment="1">
      <alignment/>
    </xf>
    <xf numFmtId="0" fontId="29" fillId="0" borderId="0" xfId="0" applyFont="1" applyFill="1" applyBorder="1" applyAlignment="1">
      <alignment/>
    </xf>
    <xf numFmtId="0" fontId="18" fillId="0" borderId="0" xfId="0" applyFont="1" applyFill="1" applyBorder="1" applyAlignment="1">
      <alignment/>
    </xf>
    <xf numFmtId="175" fontId="9" fillId="0" borderId="0" xfId="55" applyNumberFormat="1" applyFont="1" applyFill="1" applyBorder="1" applyAlignment="1">
      <alignment/>
    </xf>
    <xf numFmtId="190" fontId="4" fillId="0" borderId="0" xfId="49" applyNumberFormat="1" applyFont="1" applyFill="1" applyBorder="1" applyAlignment="1">
      <alignment horizontal="center"/>
    </xf>
    <xf numFmtId="0" fontId="21" fillId="0" borderId="0" xfId="0" applyFont="1" applyFill="1" applyBorder="1" applyAlignment="1">
      <alignment/>
    </xf>
    <xf numFmtId="0" fontId="4" fillId="0" borderId="10" xfId="0" applyFont="1" applyFill="1" applyBorder="1" applyAlignment="1">
      <alignment horizontal="right"/>
    </xf>
    <xf numFmtId="168" fontId="4" fillId="33" borderId="11" xfId="49" applyNumberFormat="1" applyFont="1" applyFill="1" applyBorder="1" applyAlignment="1">
      <alignment horizontal="justify" vertical="top" wrapText="1"/>
    </xf>
    <xf numFmtId="0" fontId="20" fillId="0" borderId="13" xfId="0" applyFont="1" applyFill="1" applyBorder="1" applyAlignment="1">
      <alignment horizontal="right"/>
    </xf>
    <xf numFmtId="175" fontId="20" fillId="33" borderId="0" xfId="0" applyNumberFormat="1" applyFont="1" applyFill="1" applyBorder="1" applyAlignment="1">
      <alignment horizontal="right" vertical="top" wrapText="1"/>
    </xf>
    <xf numFmtId="0" fontId="4" fillId="0" borderId="12" xfId="0" applyFont="1" applyFill="1" applyBorder="1" applyAlignment="1">
      <alignment horizontal="center" vertical="top" wrapText="1"/>
    </xf>
    <xf numFmtId="0" fontId="16" fillId="36" borderId="13" xfId="0" applyFont="1" applyFill="1" applyBorder="1" applyAlignment="1">
      <alignment horizontal="right"/>
    </xf>
    <xf numFmtId="170" fontId="16" fillId="36" borderId="0" xfId="49" applyNumberFormat="1" applyFont="1" applyFill="1" applyBorder="1" applyAlignment="1">
      <alignment/>
    </xf>
    <xf numFmtId="2" fontId="4" fillId="0" borderId="24" xfId="0" applyNumberFormat="1" applyFont="1" applyFill="1" applyBorder="1" applyAlignment="1">
      <alignment horizontal="center" vertical="top" wrapText="1"/>
    </xf>
    <xf numFmtId="2" fontId="4" fillId="0" borderId="14" xfId="0" applyNumberFormat="1" applyFont="1" applyFill="1" applyBorder="1" applyAlignment="1">
      <alignment horizontal="center" vertical="top" wrapText="1"/>
    </xf>
    <xf numFmtId="0" fontId="4" fillId="0" borderId="17" xfId="0" applyFont="1" applyFill="1" applyBorder="1" applyAlignment="1">
      <alignment horizontal="right"/>
    </xf>
    <xf numFmtId="10" fontId="4" fillId="33" borderId="19" xfId="0" applyNumberFormat="1" applyFont="1" applyFill="1" applyBorder="1" applyAlignment="1">
      <alignment horizontal="right" vertical="top" wrapText="1"/>
    </xf>
    <xf numFmtId="0" fontId="20" fillId="36" borderId="18" xfId="0" applyFont="1" applyFill="1" applyBorder="1" applyAlignment="1">
      <alignment/>
    </xf>
    <xf numFmtId="0" fontId="16" fillId="36" borderId="0" xfId="0" applyFont="1" applyFill="1" applyBorder="1" applyAlignment="1">
      <alignment horizontal="center"/>
    </xf>
    <xf numFmtId="169" fontId="20" fillId="36" borderId="38" xfId="55" applyNumberFormat="1" applyFont="1" applyFill="1" applyBorder="1" applyAlignment="1">
      <alignment horizontal="center" vertical="distributed"/>
    </xf>
    <xf numFmtId="178" fontId="16" fillId="36" borderId="0" xfId="0" applyNumberFormat="1" applyFont="1" applyFill="1" applyBorder="1" applyAlignment="1">
      <alignment horizontal="center"/>
    </xf>
    <xf numFmtId="0" fontId="4" fillId="0" borderId="15" xfId="0" applyFont="1" applyBorder="1" applyAlignment="1">
      <alignment horizontal="center" vertical="distributed" wrapText="1"/>
    </xf>
    <xf numFmtId="3" fontId="4" fillId="0" borderId="15" xfId="0" applyNumberFormat="1" applyFont="1" applyBorder="1" applyAlignment="1">
      <alignment horizontal="center" vertical="top" wrapText="1"/>
    </xf>
    <xf numFmtId="0" fontId="9" fillId="0" borderId="13" xfId="0" applyFont="1" applyFill="1" applyBorder="1" applyAlignment="1">
      <alignment vertical="distributed"/>
    </xf>
    <xf numFmtId="0" fontId="9" fillId="0" borderId="0" xfId="0" applyFont="1" applyFill="1" applyBorder="1" applyAlignment="1">
      <alignment vertical="distributed"/>
    </xf>
    <xf numFmtId="0" fontId="9" fillId="0" borderId="17" xfId="0" applyFont="1" applyFill="1" applyBorder="1" applyAlignment="1">
      <alignment vertical="distributed"/>
    </xf>
    <xf numFmtId="0" fontId="9" fillId="0" borderId="19" xfId="0" applyFont="1" applyFill="1" applyBorder="1" applyAlignment="1">
      <alignment vertical="distributed"/>
    </xf>
    <xf numFmtId="43" fontId="4" fillId="36" borderId="19" xfId="49" applyFont="1" applyFill="1" applyBorder="1" applyAlignment="1">
      <alignment horizontal="left"/>
    </xf>
    <xf numFmtId="0" fontId="9" fillId="0" borderId="23" xfId="0" applyFont="1" applyFill="1" applyBorder="1" applyAlignment="1">
      <alignment vertical="distributed"/>
    </xf>
    <xf numFmtId="1" fontId="4" fillId="0" borderId="0" xfId="0" applyNumberFormat="1" applyFont="1" applyFill="1" applyBorder="1" applyAlignment="1">
      <alignment horizontal="center"/>
    </xf>
    <xf numFmtId="43" fontId="4" fillId="0" borderId="0" xfId="0" applyNumberFormat="1" applyFont="1" applyBorder="1" applyAlignment="1">
      <alignment horizontal="center"/>
    </xf>
    <xf numFmtId="169" fontId="20" fillId="33" borderId="0" xfId="0" applyNumberFormat="1" applyFont="1" applyFill="1" applyBorder="1" applyAlignment="1">
      <alignment horizontal="right" vertical="top" wrapText="1"/>
    </xf>
    <xf numFmtId="2" fontId="15" fillId="0" borderId="14" xfId="0" applyNumberFormat="1" applyFont="1" applyFill="1" applyBorder="1" applyAlignment="1">
      <alignment horizontal="center" vertical="top" wrapText="1"/>
    </xf>
    <xf numFmtId="2" fontId="5" fillId="0" borderId="14" xfId="0" applyNumberFormat="1" applyFont="1" applyFill="1" applyBorder="1" applyAlignment="1">
      <alignment horizontal="center" vertical="top" wrapText="1"/>
    </xf>
    <xf numFmtId="2" fontId="5" fillId="0" borderId="12" xfId="0" applyNumberFormat="1" applyFont="1" applyFill="1" applyBorder="1" applyAlignment="1">
      <alignment horizontal="center" vertical="top" wrapText="1"/>
    </xf>
    <xf numFmtId="0" fontId="16" fillId="0" borderId="2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2" xfId="0" applyFont="1" applyFill="1" applyBorder="1" applyAlignment="1">
      <alignment horizontal="right" vertical="center"/>
    </xf>
    <xf numFmtId="173" fontId="4" fillId="0" borderId="22" xfId="49" applyNumberFormat="1" applyFont="1" applyFill="1" applyBorder="1" applyAlignment="1">
      <alignment horizontal="left" vertical="center"/>
    </xf>
    <xf numFmtId="43" fontId="4" fillId="0" borderId="21" xfId="49"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0" xfId="0" applyFont="1" applyFill="1" applyBorder="1" applyAlignment="1">
      <alignment horizontal="center"/>
    </xf>
    <xf numFmtId="0" fontId="4" fillId="0" borderId="13" xfId="0" applyFont="1" applyFill="1" applyBorder="1" applyAlignment="1">
      <alignment horizontal="right"/>
    </xf>
    <xf numFmtId="168" fontId="4" fillId="33" borderId="0" xfId="49" applyNumberFormat="1" applyFont="1" applyFill="1" applyBorder="1" applyAlignment="1">
      <alignment horizontal="justify" vertical="top" wrapText="1"/>
    </xf>
    <xf numFmtId="10" fontId="4" fillId="33" borderId="0" xfId="0" applyNumberFormat="1" applyFont="1" applyFill="1" applyBorder="1" applyAlignment="1">
      <alignment horizontal="right" vertical="top" wrapText="1"/>
    </xf>
    <xf numFmtId="10" fontId="4" fillId="0" borderId="14" xfId="55" applyNumberFormat="1" applyFont="1" applyFill="1" applyBorder="1" applyAlignment="1">
      <alignment/>
    </xf>
    <xf numFmtId="0" fontId="4" fillId="0" borderId="20" xfId="0" applyFont="1" applyFill="1" applyBorder="1" applyAlignment="1">
      <alignment/>
    </xf>
    <xf numFmtId="1" fontId="4" fillId="0" borderId="10" xfId="0" applyNumberFormat="1" applyFont="1" applyFill="1" applyBorder="1" applyAlignment="1">
      <alignment horizontal="center" vertical="distributed" wrapText="1"/>
    </xf>
    <xf numFmtId="0" fontId="4" fillId="0" borderId="19" xfId="0" applyFont="1" applyFill="1" applyBorder="1" applyAlignment="1">
      <alignment horizontal="center" vertical="distributed" wrapText="1"/>
    </xf>
    <xf numFmtId="169" fontId="4" fillId="0" borderId="38" xfId="55" applyNumberFormat="1" applyFont="1" applyFill="1" applyBorder="1" applyAlignment="1">
      <alignment horizontal="center" vertical="distributed"/>
    </xf>
    <xf numFmtId="0" fontId="5" fillId="0" borderId="12" xfId="0" applyFont="1" applyFill="1" applyBorder="1" applyAlignment="1">
      <alignment horizontal="center" vertical="top" wrapText="1"/>
    </xf>
    <xf numFmtId="0" fontId="15" fillId="0" borderId="12" xfId="0" applyFont="1" applyFill="1" applyBorder="1" applyAlignment="1">
      <alignment horizontal="center" vertical="top" wrapText="1"/>
    </xf>
    <xf numFmtId="10" fontId="4" fillId="0" borderId="20" xfId="55" applyNumberFormat="1" applyFont="1" applyFill="1" applyBorder="1" applyAlignment="1">
      <alignment horizontal="center" vertical="distributed"/>
    </xf>
    <xf numFmtId="169" fontId="4" fillId="0" borderId="24" xfId="55" applyNumberFormat="1" applyFont="1" applyFill="1" applyBorder="1" applyAlignment="1">
      <alignment horizontal="center"/>
    </xf>
    <xf numFmtId="43" fontId="4" fillId="0" borderId="19" xfId="49" applyFont="1" applyFill="1" applyBorder="1" applyAlignment="1">
      <alignment horizontal="left"/>
    </xf>
    <xf numFmtId="170" fontId="4" fillId="0" borderId="21" xfId="49" applyNumberFormat="1" applyFont="1" applyFill="1" applyBorder="1" applyAlignment="1">
      <alignment horizontal="center"/>
    </xf>
    <xf numFmtId="43" fontId="4" fillId="0" borderId="0" xfId="49" applyFont="1" applyFill="1" applyBorder="1" applyAlignment="1">
      <alignment horizontal="left"/>
    </xf>
    <xf numFmtId="170" fontId="4" fillId="0" borderId="0" xfId="49" applyNumberFormat="1" applyFont="1" applyFill="1" applyBorder="1" applyAlignment="1">
      <alignment horizontal="center"/>
    </xf>
    <xf numFmtId="43" fontId="4" fillId="0" borderId="0" xfId="49" applyFont="1" applyBorder="1" applyAlignment="1">
      <alignment horizontal="center"/>
    </xf>
    <xf numFmtId="0" fontId="4" fillId="0" borderId="0" xfId="0" applyFont="1" applyBorder="1" applyAlignment="1">
      <alignment horizontal="center"/>
    </xf>
    <xf numFmtId="190" fontId="4" fillId="0" borderId="0" xfId="49" applyNumberFormat="1" applyFont="1" applyBorder="1" applyAlignment="1">
      <alignment horizontal="center"/>
    </xf>
    <xf numFmtId="0" fontId="13" fillId="0" borderId="0" xfId="0" applyFont="1" applyAlignment="1">
      <alignment/>
    </xf>
    <xf numFmtId="49" fontId="9" fillId="38" borderId="21" xfId="0" applyNumberFormat="1" applyFont="1" applyFill="1" applyBorder="1" applyAlignment="1">
      <alignment/>
    </xf>
    <xf numFmtId="49" fontId="9" fillId="38" borderId="22" xfId="0" applyNumberFormat="1" applyFont="1" applyFill="1" applyBorder="1" applyAlignment="1">
      <alignment/>
    </xf>
    <xf numFmtId="49" fontId="9" fillId="38" borderId="39" xfId="0" applyNumberFormat="1" applyFont="1" applyFill="1" applyBorder="1" applyAlignment="1">
      <alignment horizontal="right"/>
    </xf>
    <xf numFmtId="0" fontId="9" fillId="0" borderId="12" xfId="0" applyFont="1" applyBorder="1" applyAlignment="1">
      <alignment/>
    </xf>
    <xf numFmtId="49" fontId="9" fillId="38" borderId="10" xfId="0" applyNumberFormat="1" applyFont="1" applyFill="1" applyBorder="1" applyAlignment="1">
      <alignment/>
    </xf>
    <xf numFmtId="0" fontId="9" fillId="39" borderId="0" xfId="0" applyFont="1" applyFill="1" applyBorder="1" applyAlignment="1">
      <alignment horizontal="center"/>
    </xf>
    <xf numFmtId="170" fontId="9" fillId="38" borderId="0" xfId="0" applyNumberFormat="1" applyFont="1" applyFill="1" applyBorder="1" applyAlignment="1">
      <alignment horizontal="center" vertical="center"/>
    </xf>
    <xf numFmtId="170" fontId="9" fillId="38" borderId="0" xfId="0" applyNumberFormat="1" applyFont="1" applyFill="1" applyBorder="1" applyAlignment="1">
      <alignment horizontal="center"/>
    </xf>
    <xf numFmtId="0" fontId="9" fillId="0" borderId="14" xfId="0" applyFont="1" applyBorder="1" applyAlignment="1">
      <alignment/>
    </xf>
    <xf numFmtId="49" fontId="9" fillId="38" borderId="13" xfId="0" applyNumberFormat="1" applyFont="1" applyFill="1" applyBorder="1" applyAlignment="1">
      <alignment/>
    </xf>
    <xf numFmtId="3" fontId="9" fillId="39" borderId="0" xfId="0" applyNumberFormat="1" applyFont="1" applyFill="1" applyBorder="1" applyAlignment="1">
      <alignment horizontal="center"/>
    </xf>
    <xf numFmtId="10" fontId="9" fillId="38" borderId="0" xfId="49" applyNumberFormat="1" applyFont="1" applyFill="1" applyBorder="1" applyAlignment="1">
      <alignment horizontal="center"/>
    </xf>
    <xf numFmtId="43" fontId="9" fillId="38" borderId="14" xfId="0" applyNumberFormat="1" applyFont="1" applyFill="1" applyBorder="1" applyAlignment="1">
      <alignment horizontal="center"/>
    </xf>
    <xf numFmtId="49" fontId="9" fillId="38" borderId="29" xfId="0" applyNumberFormat="1" applyFont="1" applyFill="1" applyBorder="1" applyAlignment="1">
      <alignment horizontal="center"/>
    </xf>
    <xf numFmtId="49" fontId="9" fillId="38" borderId="40" xfId="0" applyNumberFormat="1" applyFont="1" applyFill="1" applyBorder="1" applyAlignment="1">
      <alignment horizontal="center"/>
    </xf>
    <xf numFmtId="0" fontId="9" fillId="38" borderId="33" xfId="0" applyFont="1" applyFill="1" applyBorder="1" applyAlignment="1">
      <alignment horizontal="center"/>
    </xf>
    <xf numFmtId="0" fontId="9" fillId="38" borderId="13" xfId="0" applyFont="1" applyFill="1" applyBorder="1" applyAlignment="1">
      <alignment/>
    </xf>
    <xf numFmtId="10" fontId="9" fillId="38" borderId="29" xfId="0" applyNumberFormat="1" applyFont="1" applyFill="1" applyBorder="1" applyAlignment="1">
      <alignment horizontal="center"/>
    </xf>
    <xf numFmtId="0" fontId="9" fillId="38" borderId="29" xfId="0" applyFont="1" applyFill="1" applyBorder="1" applyAlignment="1">
      <alignment horizontal="center"/>
    </xf>
    <xf numFmtId="43" fontId="9" fillId="38" borderId="33" xfId="0" applyNumberFormat="1" applyFont="1" applyFill="1" applyBorder="1" applyAlignment="1">
      <alignment horizontal="center"/>
    </xf>
    <xf numFmtId="49" fontId="9" fillId="38" borderId="17" xfId="0" applyNumberFormat="1" applyFont="1" applyFill="1" applyBorder="1" applyAlignment="1">
      <alignment/>
    </xf>
    <xf numFmtId="0" fontId="9" fillId="38" borderId="19" xfId="0" applyFont="1" applyFill="1" applyBorder="1" applyAlignment="1">
      <alignment/>
    </xf>
    <xf numFmtId="0" fontId="9" fillId="38" borderId="16" xfId="0" applyFont="1" applyFill="1" applyBorder="1" applyAlignment="1">
      <alignment/>
    </xf>
    <xf numFmtId="49" fontId="4" fillId="38" borderId="29" xfId="0" applyNumberFormat="1" applyFont="1" applyFill="1" applyBorder="1" applyAlignment="1">
      <alignment horizontal="center" vertical="distributed"/>
    </xf>
    <xf numFmtId="0" fontId="4" fillId="38" borderId="29" xfId="0" applyFont="1" applyFill="1" applyBorder="1" applyAlignment="1">
      <alignment horizontal="center" vertical="distributed"/>
    </xf>
    <xf numFmtId="0" fontId="9" fillId="0" borderId="29" xfId="0" applyFont="1" applyBorder="1" applyAlignment="1">
      <alignment horizontal="center" vertical="distributed"/>
    </xf>
    <xf numFmtId="174" fontId="9" fillId="0" borderId="29" xfId="0" applyNumberFormat="1" applyFont="1" applyBorder="1" applyAlignment="1">
      <alignment horizontal="center" vertical="distributed"/>
    </xf>
    <xf numFmtId="0" fontId="69" fillId="0" borderId="0" xfId="0" applyFont="1" applyFill="1" applyBorder="1" applyAlignment="1">
      <alignment horizontal="left"/>
    </xf>
    <xf numFmtId="0" fontId="25" fillId="0" borderId="0" xfId="0" applyFont="1" applyAlignment="1">
      <alignment horizontal="left"/>
    </xf>
    <xf numFmtId="0" fontId="25" fillId="0" borderId="0" xfId="0" applyFont="1" applyFill="1" applyBorder="1" applyAlignment="1">
      <alignment/>
    </xf>
    <xf numFmtId="10" fontId="4" fillId="0" borderId="0" xfId="55" applyNumberFormat="1" applyFont="1" applyFill="1" applyBorder="1" applyAlignment="1">
      <alignment/>
    </xf>
    <xf numFmtId="1" fontId="4" fillId="0" borderId="24" xfId="0" applyNumberFormat="1" applyFont="1" applyFill="1" applyBorder="1" applyAlignment="1">
      <alignment horizontal="center" vertical="top" wrapText="1"/>
    </xf>
    <xf numFmtId="0" fontId="4" fillId="0" borderId="24" xfId="0" applyFont="1" applyFill="1" applyBorder="1" applyAlignment="1">
      <alignment/>
    </xf>
    <xf numFmtId="1" fontId="15" fillId="0" borderId="12" xfId="0" applyNumberFormat="1" applyFont="1" applyFill="1" applyBorder="1" applyAlignment="1">
      <alignment horizontal="center" vertical="top" wrapText="1"/>
    </xf>
    <xf numFmtId="1" fontId="5" fillId="0" borderId="12" xfId="0" applyNumberFormat="1" applyFont="1" applyFill="1" applyBorder="1" applyAlignment="1">
      <alignment horizontal="center" vertical="top" wrapText="1"/>
    </xf>
    <xf numFmtId="0" fontId="4" fillId="0" borderId="0" xfId="0" applyFont="1" applyFill="1" applyBorder="1" applyAlignment="1">
      <alignment vertical="distributed"/>
    </xf>
    <xf numFmtId="169" fontId="4" fillId="0" borderId="20" xfId="55" applyNumberFormat="1" applyFont="1" applyFill="1" applyBorder="1" applyAlignment="1">
      <alignment horizontal="center" vertical="distributed"/>
    </xf>
    <xf numFmtId="0" fontId="4" fillId="0" borderId="13" xfId="0" applyFont="1" applyFill="1" applyBorder="1" applyAlignment="1">
      <alignment vertical="distributed"/>
    </xf>
    <xf numFmtId="0" fontId="4" fillId="0" borderId="17" xfId="0" applyFont="1" applyFill="1" applyBorder="1" applyAlignment="1">
      <alignment vertical="distributed"/>
    </xf>
    <xf numFmtId="0" fontId="4" fillId="0" borderId="19" xfId="0" applyFont="1" applyFill="1" applyBorder="1" applyAlignment="1">
      <alignment vertical="distributed"/>
    </xf>
    <xf numFmtId="174" fontId="4" fillId="0" borderId="29" xfId="0" applyNumberFormat="1" applyFont="1" applyFill="1" applyBorder="1" applyAlignment="1">
      <alignment horizontal="center"/>
    </xf>
    <xf numFmtId="174"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43" fontId="4" fillId="0" borderId="0" xfId="0" applyNumberFormat="1" applyFont="1" applyBorder="1" applyAlignment="1">
      <alignment horizontal="center"/>
    </xf>
    <xf numFmtId="0" fontId="102" fillId="0" borderId="0" xfId="0" applyNumberFormat="1" applyFont="1" applyFill="1" applyBorder="1" applyAlignment="1">
      <alignment vertical="center" wrapText="1"/>
    </xf>
    <xf numFmtId="0" fontId="61" fillId="0" borderId="0" xfId="0" applyFont="1" applyFill="1" applyBorder="1" applyAlignment="1">
      <alignment horizontal="left"/>
    </xf>
    <xf numFmtId="43" fontId="4" fillId="0" borderId="0" xfId="0" applyNumberFormat="1" applyFont="1" applyFill="1" applyBorder="1" applyAlignment="1">
      <alignment horizontal="center"/>
    </xf>
    <xf numFmtId="0" fontId="70" fillId="0" borderId="11" xfId="0" applyFont="1" applyFill="1" applyBorder="1" applyAlignment="1">
      <alignment/>
    </xf>
    <xf numFmtId="0" fontId="70" fillId="0" borderId="12" xfId="0" applyFont="1" applyFill="1" applyBorder="1" applyAlignment="1">
      <alignment/>
    </xf>
    <xf numFmtId="0" fontId="70" fillId="0" borderId="14" xfId="0" applyFont="1" applyFill="1" applyBorder="1" applyAlignment="1">
      <alignment/>
    </xf>
    <xf numFmtId="0" fontId="70" fillId="0" borderId="19" xfId="0" applyFont="1" applyFill="1" applyBorder="1" applyAlignment="1">
      <alignment/>
    </xf>
    <xf numFmtId="0" fontId="70" fillId="0" borderId="16" xfId="0" applyFont="1" applyFill="1" applyBorder="1" applyAlignment="1">
      <alignment/>
    </xf>
    <xf numFmtId="2" fontId="4" fillId="0" borderId="18" xfId="0" applyNumberFormat="1" applyFont="1" applyFill="1" applyBorder="1" applyAlignment="1">
      <alignment horizontal="center" vertical="distributed" wrapText="1"/>
    </xf>
    <xf numFmtId="10" fontId="4" fillId="0" borderId="24" xfId="55" applyNumberFormat="1" applyFont="1" applyFill="1" applyBorder="1" applyAlignment="1">
      <alignment horizontal="center"/>
    </xf>
    <xf numFmtId="0" fontId="9" fillId="0" borderId="41" xfId="0" applyFont="1" applyFill="1" applyBorder="1" applyAlignment="1">
      <alignment vertical="center"/>
    </xf>
    <xf numFmtId="0" fontId="103" fillId="0" borderId="42" xfId="0" applyFont="1" applyFill="1" applyBorder="1" applyAlignment="1">
      <alignment horizontal="left" vertical="center"/>
    </xf>
    <xf numFmtId="0" fontId="103" fillId="0" borderId="43" xfId="0" applyFont="1" applyFill="1" applyBorder="1" applyAlignment="1">
      <alignment horizontal="left" vertical="center"/>
    </xf>
    <xf numFmtId="2" fontId="4" fillId="0" borderId="24" xfId="49" applyNumberFormat="1" applyFont="1" applyFill="1" applyBorder="1" applyAlignment="1">
      <alignment horizontal="center" vertical="top" wrapText="1"/>
    </xf>
    <xf numFmtId="0" fontId="4" fillId="0" borderId="0" xfId="0" applyFont="1" applyFill="1" applyBorder="1" applyAlignment="1">
      <alignment horizontal="center"/>
    </xf>
    <xf numFmtId="2" fontId="9" fillId="0" borderId="29" xfId="0" applyNumberFormat="1" applyFont="1" applyBorder="1" applyAlignment="1">
      <alignment horizontal="center" vertical="distributed"/>
    </xf>
    <xf numFmtId="0" fontId="18" fillId="0" borderId="0" xfId="0" applyFont="1" applyAlignment="1">
      <alignment horizontal="justify" vertical="center"/>
    </xf>
    <xf numFmtId="0" fontId="21" fillId="0" borderId="36" xfId="0" applyFont="1" applyFill="1" applyBorder="1" applyAlignment="1">
      <alignment/>
    </xf>
    <xf numFmtId="0" fontId="4" fillId="0" borderId="27" xfId="0" applyFont="1" applyFill="1" applyBorder="1" applyAlignment="1">
      <alignment/>
    </xf>
    <xf numFmtId="0" fontId="4" fillId="0" borderId="37" xfId="0" applyFont="1" applyFill="1" applyBorder="1" applyAlignment="1">
      <alignment/>
    </xf>
    <xf numFmtId="0" fontId="16" fillId="33" borderId="44" xfId="0" applyFont="1" applyFill="1" applyBorder="1" applyAlignment="1">
      <alignment horizontal="right" vertical="center"/>
    </xf>
    <xf numFmtId="49" fontId="20" fillId="36" borderId="45" xfId="0" applyNumberFormat="1" applyFont="1" applyFill="1" applyBorder="1" applyAlignment="1">
      <alignment horizontal="right" vertical="center"/>
    </xf>
    <xf numFmtId="0" fontId="4" fillId="0" borderId="0" xfId="0" applyFont="1" applyFill="1" applyBorder="1" applyAlignment="1">
      <alignment vertical="center"/>
    </xf>
    <xf numFmtId="0" fontId="20" fillId="33" borderId="44" xfId="0" applyFont="1" applyFill="1" applyBorder="1" applyAlignment="1">
      <alignment horizontal="right" vertical="center"/>
    </xf>
    <xf numFmtId="49" fontId="16" fillId="36" borderId="45" xfId="0" applyNumberFormat="1" applyFont="1" applyFill="1" applyBorder="1" applyAlignment="1">
      <alignment horizontal="right" vertical="center"/>
    </xf>
    <xf numFmtId="0" fontId="31" fillId="0" borderId="0" xfId="0" applyFont="1" applyAlignment="1">
      <alignment horizontal="justify" vertical="center"/>
    </xf>
    <xf numFmtId="0" fontId="16" fillId="0" borderId="29" xfId="0" applyFont="1" applyFill="1" applyBorder="1" applyAlignment="1">
      <alignment horizontal="center" vertical="center" wrapText="1"/>
    </xf>
    <xf numFmtId="170" fontId="16" fillId="0" borderId="29" xfId="0" applyNumberFormat="1" applyFont="1" applyFill="1" applyBorder="1" applyAlignment="1">
      <alignment horizontal="center" vertical="center"/>
    </xf>
    <xf numFmtId="43" fontId="4" fillId="0" borderId="29" xfId="0" applyNumberFormat="1" applyFont="1" applyFill="1" applyBorder="1" applyAlignment="1">
      <alignment horizontal="center" vertical="center"/>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0" xfId="0" applyFont="1" applyFill="1" applyBorder="1" applyAlignment="1">
      <alignment horizontal="center"/>
    </xf>
    <xf numFmtId="0" fontId="4" fillId="0" borderId="16" xfId="0" applyFont="1" applyFill="1" applyBorder="1" applyAlignment="1">
      <alignment horizontal="center" vertical="top" wrapText="1"/>
    </xf>
    <xf numFmtId="2" fontId="20" fillId="36" borderId="46" xfId="0" applyNumberFormat="1" applyFont="1" applyFill="1" applyBorder="1" applyAlignment="1">
      <alignment horizontal="center" vertical="center"/>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0" xfId="0" applyFont="1" applyFill="1" applyBorder="1" applyAlignment="1">
      <alignment horizontal="center"/>
    </xf>
    <xf numFmtId="0" fontId="4" fillId="0" borderId="16" xfId="0" applyFont="1" applyFill="1" applyBorder="1" applyAlignment="1">
      <alignment horizontal="center" vertical="top" wrapText="1"/>
    </xf>
    <xf numFmtId="0" fontId="4" fillId="0" borderId="20" xfId="0" applyFont="1" applyFill="1" applyBorder="1" applyAlignment="1">
      <alignment horizontal="center" vertical="distributed" wrapText="1"/>
    </xf>
    <xf numFmtId="0" fontId="4" fillId="0" borderId="19"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0" xfId="0" applyFont="1" applyFill="1" applyBorder="1" applyAlignment="1">
      <alignment horizontal="justify" vertical="top" wrapText="1"/>
    </xf>
    <xf numFmtId="0" fontId="14" fillId="0" borderId="11" xfId="0" applyFont="1" applyFill="1" applyBorder="1" applyAlignment="1">
      <alignment horizontal="right"/>
    </xf>
    <xf numFmtId="43" fontId="14" fillId="0" borderId="11" xfId="49" applyFont="1" applyFill="1" applyBorder="1" applyAlignment="1">
      <alignment horizontal="left"/>
    </xf>
    <xf numFmtId="0" fontId="104" fillId="0" borderId="0" xfId="0" applyFont="1" applyFill="1" applyBorder="1" applyAlignment="1">
      <alignment horizontal="left" vertical="center" wrapText="1"/>
    </xf>
    <xf numFmtId="0" fontId="104" fillId="0" borderId="14" xfId="0" applyFont="1" applyFill="1" applyBorder="1" applyAlignment="1">
      <alignment horizontal="left" vertical="center" wrapText="1"/>
    </xf>
    <xf numFmtId="0" fontId="75" fillId="0" borderId="13" xfId="0" applyFont="1" applyFill="1" applyBorder="1" applyAlignment="1">
      <alignment/>
    </xf>
    <xf numFmtId="0" fontId="75" fillId="0" borderId="10" xfId="0" applyFont="1" applyFill="1" applyBorder="1" applyAlignment="1">
      <alignment vertical="center"/>
    </xf>
    <xf numFmtId="0" fontId="76" fillId="0" borderId="11" xfId="0" applyFont="1" applyFill="1" applyBorder="1" applyAlignment="1">
      <alignment/>
    </xf>
    <xf numFmtId="0" fontId="76" fillId="0" borderId="12" xfId="0" applyFont="1" applyFill="1" applyBorder="1" applyAlignment="1">
      <alignment/>
    </xf>
    <xf numFmtId="0" fontId="9" fillId="0" borderId="17" xfId="0" applyFont="1" applyFill="1" applyBorder="1" applyAlignment="1">
      <alignment/>
    </xf>
    <xf numFmtId="0" fontId="70" fillId="0" borderId="27" xfId="0" applyFont="1" applyFill="1" applyBorder="1" applyAlignment="1">
      <alignment/>
    </xf>
    <xf numFmtId="0" fontId="70" fillId="0" borderId="28" xfId="0" applyFont="1" applyFill="1" applyBorder="1" applyAlignment="1">
      <alignment/>
    </xf>
    <xf numFmtId="9" fontId="4" fillId="32" borderId="29" xfId="55" applyNumberFormat="1" applyFont="1" applyFill="1" applyBorder="1" applyAlignment="1">
      <alignment/>
    </xf>
    <xf numFmtId="9" fontId="4" fillId="40" borderId="29" xfId="55" applyNumberFormat="1" applyFont="1" applyFill="1" applyBorder="1" applyAlignment="1">
      <alignment/>
    </xf>
    <xf numFmtId="9" fontId="4" fillId="41" borderId="33" xfId="55" applyNumberFormat="1" applyFont="1" applyFill="1" applyBorder="1" applyAlignment="1">
      <alignment/>
    </xf>
    <xf numFmtId="9" fontId="4" fillId="32" borderId="42" xfId="55" applyNumberFormat="1" applyFont="1" applyFill="1" applyBorder="1" applyAlignment="1">
      <alignment/>
    </xf>
    <xf numFmtId="9" fontId="4" fillId="40" borderId="42" xfId="55" applyNumberFormat="1" applyFont="1" applyFill="1" applyBorder="1" applyAlignment="1">
      <alignment/>
    </xf>
    <xf numFmtId="9" fontId="4" fillId="41" borderId="43" xfId="55" applyNumberFormat="1" applyFont="1" applyFill="1" applyBorder="1" applyAlignment="1">
      <alignment/>
    </xf>
    <xf numFmtId="43" fontId="9" fillId="0" borderId="29" xfId="49" applyFont="1" applyFill="1" applyBorder="1" applyAlignment="1">
      <alignment/>
    </xf>
    <xf numFmtId="43" fontId="9" fillId="0" borderId="29" xfId="0" applyNumberFormat="1" applyFont="1" applyFill="1" applyBorder="1" applyAlignment="1">
      <alignment horizontal="left"/>
    </xf>
    <xf numFmtId="43" fontId="9" fillId="42" borderId="29" xfId="0" applyNumberFormat="1" applyFont="1" applyFill="1" applyBorder="1" applyAlignment="1">
      <alignment horizontal="left"/>
    </xf>
    <xf numFmtId="9" fontId="9" fillId="0" borderId="29" xfId="0" applyNumberFormat="1" applyFont="1" applyFill="1" applyBorder="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top" wrapText="1"/>
    </xf>
    <xf numFmtId="0" fontId="97" fillId="0" borderId="0" xfId="0" applyFont="1" applyAlignment="1">
      <alignment horizontal="center"/>
    </xf>
    <xf numFmtId="0" fontId="105" fillId="0" borderId="0" xfId="0" applyFont="1" applyBorder="1" applyAlignment="1">
      <alignment/>
    </xf>
    <xf numFmtId="0" fontId="93" fillId="0" borderId="47" xfId="0" applyFont="1" applyBorder="1" applyAlignment="1">
      <alignment/>
    </xf>
    <xf numFmtId="0" fontId="93" fillId="0" borderId="0" xfId="0" applyFont="1" applyBorder="1" applyAlignment="1">
      <alignment/>
    </xf>
    <xf numFmtId="0" fontId="105" fillId="0" borderId="47" xfId="0" applyFont="1" applyBorder="1" applyAlignment="1">
      <alignment/>
    </xf>
    <xf numFmtId="0" fontId="9" fillId="0" borderId="0" xfId="0" applyFont="1" applyAlignment="1">
      <alignment horizontal="center"/>
    </xf>
    <xf numFmtId="0" fontId="9" fillId="0" borderId="30" xfId="0" applyFont="1" applyBorder="1" applyAlignment="1">
      <alignment horizontal="center"/>
    </xf>
    <xf numFmtId="0" fontId="9" fillId="0" borderId="48" xfId="0" applyFont="1" applyBorder="1" applyAlignment="1">
      <alignment horizontal="center"/>
    </xf>
    <xf numFmtId="0" fontId="9" fillId="0" borderId="0" xfId="0" applyFont="1" applyBorder="1" applyAlignment="1">
      <alignment/>
    </xf>
    <xf numFmtId="0" fontId="9" fillId="0" borderId="49" xfId="0" applyFont="1" applyBorder="1" applyAlignment="1">
      <alignment/>
    </xf>
    <xf numFmtId="0" fontId="9" fillId="0" borderId="47" xfId="0" applyFont="1" applyBorder="1" applyAlignment="1">
      <alignment/>
    </xf>
    <xf numFmtId="0" fontId="9" fillId="0" borderId="27" xfId="0" applyFont="1" applyBorder="1" applyAlignment="1">
      <alignment/>
    </xf>
    <xf numFmtId="0" fontId="9" fillId="0" borderId="37" xfId="0" applyFont="1" applyBorder="1" applyAlignment="1">
      <alignment/>
    </xf>
    <xf numFmtId="0" fontId="9" fillId="0" borderId="36" xfId="0" applyFont="1" applyBorder="1" applyAlignment="1">
      <alignment/>
    </xf>
    <xf numFmtId="0" fontId="9" fillId="0" borderId="28" xfId="0" applyFont="1" applyBorder="1" applyAlignment="1">
      <alignment/>
    </xf>
    <xf numFmtId="0" fontId="9" fillId="0" borderId="25" xfId="0" applyFont="1" applyBorder="1" applyAlignment="1">
      <alignment/>
    </xf>
    <xf numFmtId="0" fontId="9" fillId="0" borderId="35" xfId="0" applyFont="1" applyBorder="1" applyAlignment="1">
      <alignment/>
    </xf>
    <xf numFmtId="0" fontId="9" fillId="0" borderId="34" xfId="0" applyFont="1" applyBorder="1" applyAlignment="1">
      <alignment/>
    </xf>
    <xf numFmtId="0" fontId="9" fillId="0" borderId="26" xfId="0" applyFont="1" applyBorder="1" applyAlignment="1">
      <alignment/>
    </xf>
    <xf numFmtId="0" fontId="9" fillId="43" borderId="0" xfId="0" applyFont="1" applyFill="1" applyAlignment="1">
      <alignment horizontal="center"/>
    </xf>
    <xf numFmtId="0" fontId="9" fillId="0" borderId="19" xfId="0" applyFont="1" applyBorder="1" applyAlignment="1">
      <alignment/>
    </xf>
    <xf numFmtId="0" fontId="9" fillId="0" borderId="50" xfId="0" applyFont="1" applyBorder="1" applyAlignment="1">
      <alignment/>
    </xf>
    <xf numFmtId="0" fontId="9" fillId="0" borderId="51" xfId="0" applyFont="1" applyBorder="1" applyAlignment="1">
      <alignment/>
    </xf>
    <xf numFmtId="0" fontId="9" fillId="0" borderId="16" xfId="0" applyFont="1" applyBorder="1" applyAlignment="1">
      <alignment/>
    </xf>
    <xf numFmtId="0" fontId="9" fillId="0" borderId="31" xfId="0" applyFont="1" applyBorder="1" applyAlignment="1">
      <alignment horizontal="center"/>
    </xf>
    <xf numFmtId="0" fontId="9" fillId="0" borderId="47" xfId="0" applyFont="1" applyBorder="1" applyAlignment="1">
      <alignment horizontal="center"/>
    </xf>
    <xf numFmtId="0" fontId="9" fillId="0" borderId="36" xfId="0" applyFont="1" applyBorder="1" applyAlignment="1">
      <alignment horizontal="center"/>
    </xf>
    <xf numFmtId="178" fontId="20" fillId="36" borderId="46" xfId="0" applyNumberFormat="1" applyFont="1" applyFill="1" applyBorder="1" applyAlignment="1">
      <alignment horizontal="center" vertical="center"/>
    </xf>
    <xf numFmtId="0" fontId="4" fillId="0" borderId="17" xfId="0" applyFont="1" applyFill="1" applyBorder="1" applyAlignment="1">
      <alignment horizontal="right"/>
    </xf>
    <xf numFmtId="10" fontId="4" fillId="33" borderId="19" xfId="0" applyNumberFormat="1" applyFont="1" applyFill="1" applyBorder="1" applyAlignment="1">
      <alignment horizontal="right" vertical="top" wrapText="1"/>
    </xf>
    <xf numFmtId="0" fontId="25" fillId="0" borderId="52" xfId="0" applyFont="1" applyFill="1" applyBorder="1" applyAlignment="1">
      <alignment/>
    </xf>
    <xf numFmtId="0" fontId="25" fillId="0" borderId="2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10" xfId="0" applyFont="1" applyFill="1" applyBorder="1" applyAlignment="1">
      <alignment/>
    </xf>
    <xf numFmtId="0" fontId="21" fillId="0" borderId="10" xfId="0" applyFont="1" applyFill="1" applyBorder="1" applyAlignment="1">
      <alignment vertical="center"/>
    </xf>
    <xf numFmtId="0" fontId="21" fillId="0" borderId="13" xfId="0" applyFont="1" applyFill="1" applyBorder="1" applyAlignment="1">
      <alignment vertical="center"/>
    </xf>
    <xf numFmtId="0" fontId="21" fillId="0" borderId="17" xfId="0" applyFont="1" applyFill="1" applyBorder="1" applyAlignment="1">
      <alignment vertical="center"/>
    </xf>
    <xf numFmtId="173" fontId="4" fillId="0" borderId="20" xfId="49" applyNumberFormat="1" applyFont="1" applyFill="1" applyBorder="1" applyAlignment="1">
      <alignment vertical="center"/>
    </xf>
    <xf numFmtId="43" fontId="4" fillId="0" borderId="15" xfId="49"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xf>
    <xf numFmtId="1" fontId="9" fillId="0" borderId="0" xfId="49" applyNumberFormat="1" applyFont="1" applyFill="1" applyBorder="1" applyAlignment="1">
      <alignment horizontal="center"/>
    </xf>
    <xf numFmtId="2" fontId="9" fillId="0" borderId="0" xfId="0" applyNumberFormat="1" applyFont="1" applyFill="1" applyBorder="1" applyAlignment="1">
      <alignment horizontal="center" vertical="center"/>
    </xf>
    <xf numFmtId="169" fontId="16" fillId="0" borderId="0" xfId="55" applyNumberFormat="1" applyFont="1" applyFill="1" applyBorder="1" applyAlignment="1">
      <alignment/>
    </xf>
    <xf numFmtId="169" fontId="4" fillId="0" borderId="0" xfId="0" applyNumberFormat="1" applyFont="1" applyFill="1" applyBorder="1" applyAlignment="1">
      <alignment/>
    </xf>
    <xf numFmtId="169" fontId="29" fillId="0" borderId="0" xfId="55" applyNumberFormat="1" applyFont="1" applyFill="1" applyBorder="1" applyAlignment="1">
      <alignment horizontal="right"/>
    </xf>
    <xf numFmtId="0" fontId="102" fillId="0" borderId="0" xfId="0" applyFont="1" applyFill="1" applyBorder="1" applyAlignment="1">
      <alignment horizontal="right"/>
    </xf>
    <xf numFmtId="2" fontId="29" fillId="0" borderId="0" xfId="49" applyNumberFormat="1" applyFont="1" applyFill="1" applyBorder="1" applyAlignment="1">
      <alignment horizontal="center"/>
    </xf>
    <xf numFmtId="0" fontId="102" fillId="0" borderId="0" xfId="0" applyFont="1" applyFill="1" applyBorder="1" applyAlignment="1">
      <alignment horizontal="center"/>
    </xf>
    <xf numFmtId="185" fontId="29" fillId="0" borderId="0" xfId="49" applyNumberFormat="1" applyFont="1" applyFill="1" applyBorder="1" applyAlignment="1">
      <alignment horizontal="center"/>
    </xf>
    <xf numFmtId="2" fontId="16" fillId="33" borderId="53" xfId="0" applyNumberFormat="1" applyFont="1" applyFill="1" applyBorder="1" applyAlignment="1">
      <alignment horizontal="center" vertical="center"/>
    </xf>
    <xf numFmtId="178" fontId="20" fillId="33" borderId="53" xfId="0" applyNumberFormat="1" applyFont="1" applyFill="1" applyBorder="1" applyAlignment="1">
      <alignment horizontal="center" vertical="center"/>
    </xf>
    <xf numFmtId="10" fontId="4" fillId="0" borderId="11" xfId="55" applyNumberFormat="1" applyFont="1" applyFill="1" applyBorder="1" applyAlignment="1">
      <alignment horizontal="justify"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43" fontId="9" fillId="0" borderId="0" xfId="49" applyFont="1" applyFill="1" applyBorder="1" applyAlignment="1">
      <alignment horizontal="center" vertical="center"/>
    </xf>
    <xf numFmtId="43" fontId="4" fillId="39" borderId="40" xfId="49" applyFont="1" applyFill="1" applyBorder="1" applyAlignment="1">
      <alignment horizontal="center" vertical="center"/>
    </xf>
    <xf numFmtId="0" fontId="4" fillId="39" borderId="54" xfId="0" applyFont="1" applyFill="1" applyBorder="1" applyAlignment="1">
      <alignment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4" fillId="44" borderId="55" xfId="0" applyFont="1" applyFill="1" applyBorder="1" applyAlignment="1">
      <alignment horizontal="center" vertical="center" wrapText="1"/>
    </xf>
    <xf numFmtId="0" fontId="4" fillId="44" borderId="24" xfId="0" applyFont="1" applyFill="1" applyBorder="1" applyAlignment="1">
      <alignment horizontal="center" vertical="center" wrapText="1"/>
    </xf>
    <xf numFmtId="0" fontId="4" fillId="44" borderId="38" xfId="0" applyFont="1" applyFill="1" applyBorder="1" applyAlignment="1">
      <alignment horizontal="center" vertical="center" wrapText="1"/>
    </xf>
    <xf numFmtId="0" fontId="4" fillId="0" borderId="0" xfId="0" applyFont="1" applyFill="1" applyBorder="1" applyAlignment="1">
      <alignment horizontal="center"/>
    </xf>
    <xf numFmtId="0" fontId="4" fillId="0" borderId="18" xfId="0" applyFont="1" applyBorder="1" applyAlignment="1">
      <alignment horizontal="center" vertical="distributed" wrapText="1"/>
    </xf>
    <xf numFmtId="0" fontId="4" fillId="0" borderId="20" xfId="0" applyFont="1" applyBorder="1" applyAlignment="1">
      <alignment horizontal="center" vertical="distributed" wrapText="1"/>
    </xf>
    <xf numFmtId="3" fontId="4" fillId="0" borderId="18" xfId="0" applyNumberFormat="1" applyFont="1" applyBorder="1" applyAlignment="1">
      <alignment horizontal="center" vertical="top" wrapText="1"/>
    </xf>
    <xf numFmtId="3" fontId="4" fillId="0" borderId="20" xfId="0" applyNumberFormat="1" applyFont="1" applyBorder="1" applyAlignment="1">
      <alignment horizontal="center" vertical="top" wrapText="1"/>
    </xf>
    <xf numFmtId="0" fontId="4" fillId="34" borderId="21" xfId="0" applyFont="1" applyFill="1" applyBorder="1" applyAlignment="1">
      <alignment horizontal="center" vertical="top" wrapText="1"/>
    </xf>
    <xf numFmtId="0" fontId="4" fillId="34" borderId="23" xfId="0" applyFont="1" applyFill="1" applyBorder="1" applyAlignment="1">
      <alignment horizontal="center" vertical="top" wrapText="1"/>
    </xf>
    <xf numFmtId="0" fontId="16" fillId="0" borderId="19" xfId="0" applyFont="1" applyFill="1" applyBorder="1" applyAlignment="1">
      <alignment horizontal="center"/>
    </xf>
    <xf numFmtId="0" fontId="16" fillId="0" borderId="16" xfId="0" applyFont="1" applyFill="1" applyBorder="1" applyAlignment="1">
      <alignment horizontal="center"/>
    </xf>
    <xf numFmtId="0" fontId="6" fillId="0" borderId="0" xfId="0" applyFont="1" applyFill="1" applyBorder="1" applyAlignment="1">
      <alignment horizontal="left" vertical="center" wrapText="1"/>
    </xf>
    <xf numFmtId="0" fontId="4" fillId="44" borderId="56" xfId="0" applyFont="1" applyFill="1" applyBorder="1" applyAlignment="1">
      <alignment horizontal="center" vertical="center" wrapText="1"/>
    </xf>
    <xf numFmtId="0" fontId="4" fillId="44" borderId="57" xfId="0" applyFont="1" applyFill="1" applyBorder="1" applyAlignment="1">
      <alignment horizontal="center" vertical="center" wrapText="1"/>
    </xf>
    <xf numFmtId="0" fontId="4" fillId="44" borderId="58" xfId="0" applyFont="1" applyFill="1" applyBorder="1" applyAlignment="1">
      <alignment horizontal="center" vertical="center" wrapText="1"/>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3" fontId="4" fillId="0" borderId="18" xfId="0" applyNumberFormat="1" applyFont="1" applyFill="1" applyBorder="1" applyAlignment="1">
      <alignment horizontal="center" vertical="top" wrapText="1"/>
    </xf>
    <xf numFmtId="3" fontId="4" fillId="0" borderId="20" xfId="0" applyNumberFormat="1" applyFont="1" applyFill="1" applyBorder="1" applyAlignment="1">
      <alignment horizontal="center" vertical="top" wrapText="1"/>
    </xf>
    <xf numFmtId="0" fontId="16" fillId="0" borderId="0" xfId="0" applyFont="1" applyFill="1" applyBorder="1" applyAlignment="1">
      <alignment horizontal="left"/>
    </xf>
    <xf numFmtId="0" fontId="16" fillId="0" borderId="14" xfId="0" applyFont="1" applyFill="1" applyBorder="1" applyAlignment="1">
      <alignment horizontal="left"/>
    </xf>
    <xf numFmtId="0" fontId="4" fillId="0" borderId="13" xfId="0" applyFont="1" applyFill="1" applyBorder="1" applyAlignment="1">
      <alignment horizontal="left" vertical="distributed"/>
    </xf>
    <xf numFmtId="0" fontId="4" fillId="0" borderId="0" xfId="0" applyFont="1" applyFill="1" applyBorder="1" applyAlignment="1">
      <alignment horizontal="left" vertical="distributed"/>
    </xf>
    <xf numFmtId="0" fontId="4" fillId="0" borderId="14" xfId="0" applyFont="1" applyFill="1" applyBorder="1" applyAlignment="1">
      <alignment horizontal="left" vertical="distributed"/>
    </xf>
    <xf numFmtId="0" fontId="4" fillId="0" borderId="17"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8" xfId="0" applyFont="1" applyFill="1" applyBorder="1" applyAlignment="1">
      <alignment horizontal="center" vertical="distributed"/>
    </xf>
    <xf numFmtId="0" fontId="4" fillId="0" borderId="24" xfId="0" applyFont="1" applyFill="1" applyBorder="1" applyAlignment="1">
      <alignment horizontal="center" vertical="distributed"/>
    </xf>
    <xf numFmtId="0" fontId="4" fillId="0" borderId="20" xfId="0" applyFont="1" applyFill="1" applyBorder="1" applyAlignment="1">
      <alignment horizontal="center" vertical="distributed"/>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6" fillId="0" borderId="40" xfId="0" applyNumberFormat="1" applyFont="1" applyFill="1" applyBorder="1" applyAlignment="1">
      <alignment horizontal="left" vertical="center" wrapText="1"/>
    </xf>
    <xf numFmtId="0" fontId="106" fillId="0" borderId="59" xfId="0" applyNumberFormat="1" applyFont="1" applyFill="1" applyBorder="1" applyAlignment="1">
      <alignment horizontal="left" vertical="center" wrapText="1"/>
    </xf>
    <xf numFmtId="0" fontId="106" fillId="0" borderId="54" xfId="0" applyNumberFormat="1" applyFont="1" applyFill="1" applyBorder="1" applyAlignment="1">
      <alignment horizontal="left" vertical="center" wrapText="1"/>
    </xf>
    <xf numFmtId="0" fontId="4" fillId="0" borderId="24" xfId="0" applyFont="1" applyBorder="1" applyAlignment="1">
      <alignment horizontal="center" vertical="distributed" wrapText="1"/>
    </xf>
    <xf numFmtId="3" fontId="4" fillId="0" borderId="24" xfId="0" applyNumberFormat="1" applyFont="1" applyBorder="1" applyAlignment="1">
      <alignment horizontal="center" vertical="top" wrapText="1"/>
    </xf>
    <xf numFmtId="0" fontId="9" fillId="0" borderId="13" xfId="0" applyFont="1" applyFill="1" applyBorder="1" applyAlignment="1">
      <alignment horizontal="center" vertical="distributed"/>
    </xf>
    <xf numFmtId="0" fontId="9" fillId="0" borderId="0" xfId="0" applyFont="1" applyFill="1" applyBorder="1" applyAlignment="1">
      <alignment horizontal="center" vertical="distributed"/>
    </xf>
    <xf numFmtId="0" fontId="9" fillId="0" borderId="14" xfId="0" applyFont="1" applyFill="1" applyBorder="1" applyAlignment="1">
      <alignment horizontal="center" vertical="distributed"/>
    </xf>
    <xf numFmtId="0" fontId="9" fillId="0" borderId="17" xfId="0" applyFont="1" applyFill="1" applyBorder="1" applyAlignment="1">
      <alignment horizontal="center" vertical="distributed"/>
    </xf>
    <xf numFmtId="0" fontId="9" fillId="0" borderId="19" xfId="0" applyFont="1" applyFill="1" applyBorder="1" applyAlignment="1">
      <alignment horizontal="center" vertical="distributed"/>
    </xf>
    <xf numFmtId="0" fontId="9" fillId="0" borderId="16" xfId="0" applyFont="1" applyFill="1" applyBorder="1" applyAlignment="1">
      <alignment horizontal="center" vertical="distributed"/>
    </xf>
    <xf numFmtId="0" fontId="25" fillId="0" borderId="60"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76" fillId="0" borderId="41" xfId="0" applyFont="1" applyFill="1" applyBorder="1" applyAlignment="1">
      <alignment horizontal="left" vertical="center" wrapText="1"/>
    </xf>
    <xf numFmtId="0" fontId="76" fillId="0" borderId="42" xfId="0" applyFont="1" applyFill="1" applyBorder="1" applyAlignment="1">
      <alignment horizontal="left" vertical="center" wrapText="1"/>
    </xf>
    <xf numFmtId="0" fontId="76" fillId="0" borderId="43"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76" fillId="0" borderId="17" xfId="0" applyFont="1" applyFill="1" applyBorder="1" applyAlignment="1">
      <alignment horizontal="left" vertical="center" wrapText="1"/>
    </xf>
    <xf numFmtId="0" fontId="76" fillId="0" borderId="19"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17" xfId="0" applyNumberFormat="1" applyFont="1" applyFill="1" applyBorder="1" applyAlignment="1">
      <alignment horizontal="left" vertical="center" wrapText="1"/>
    </xf>
    <xf numFmtId="0" fontId="76" fillId="0" borderId="19" xfId="0" applyNumberFormat="1" applyFont="1" applyFill="1" applyBorder="1" applyAlignment="1">
      <alignment horizontal="left" vertical="center" wrapText="1"/>
    </xf>
    <xf numFmtId="0" fontId="76" fillId="0" borderId="16" xfId="0" applyNumberFormat="1" applyFont="1" applyFill="1" applyBorder="1" applyAlignment="1">
      <alignment horizontal="left" vertical="center" wrapText="1"/>
    </xf>
    <xf numFmtId="0" fontId="25" fillId="0" borderId="62" xfId="0" applyNumberFormat="1" applyFont="1" applyFill="1" applyBorder="1" applyAlignment="1">
      <alignment horizontal="left" vertical="center"/>
    </xf>
    <xf numFmtId="0" fontId="25" fillId="0" borderId="63" xfId="0" applyNumberFormat="1" applyFont="1" applyFill="1" applyBorder="1" applyAlignment="1">
      <alignment horizontal="left" vertical="center"/>
    </xf>
    <xf numFmtId="0" fontId="25" fillId="0" borderId="64" xfId="0" applyNumberFormat="1" applyFont="1" applyFill="1" applyBorder="1" applyAlignment="1">
      <alignment horizontal="left" vertical="center"/>
    </xf>
    <xf numFmtId="0" fontId="25" fillId="0" borderId="32" xfId="0" applyNumberFormat="1" applyFont="1" applyFill="1" applyBorder="1" applyAlignment="1">
      <alignment horizontal="left" vertical="center" wrapText="1"/>
    </xf>
    <xf numFmtId="0" fontId="25" fillId="0" borderId="29" xfId="0" applyNumberFormat="1" applyFont="1" applyFill="1" applyBorder="1" applyAlignment="1">
      <alignment horizontal="left" vertical="center" wrapText="1"/>
    </xf>
    <xf numFmtId="0" fontId="25" fillId="0" borderId="33" xfId="0" applyNumberFormat="1" applyFont="1" applyFill="1" applyBorder="1" applyAlignment="1">
      <alignment horizontal="left" vertical="center" wrapText="1"/>
    </xf>
    <xf numFmtId="0" fontId="107" fillId="0" borderId="32" xfId="0" applyFont="1" applyFill="1" applyBorder="1" applyAlignment="1">
      <alignment horizontal="left" vertical="center" wrapText="1"/>
    </xf>
    <xf numFmtId="0" fontId="107" fillId="0" borderId="29" xfId="0" applyFont="1" applyFill="1" applyBorder="1" applyAlignment="1">
      <alignment horizontal="left" vertical="center" wrapText="1"/>
    </xf>
    <xf numFmtId="0" fontId="107" fillId="0" borderId="33" xfId="0" applyFont="1" applyFill="1" applyBorder="1" applyAlignment="1">
      <alignment horizontal="left" vertical="center" wrapText="1"/>
    </xf>
    <xf numFmtId="0" fontId="102" fillId="0" borderId="32" xfId="0" applyFont="1" applyFill="1" applyBorder="1" applyAlignment="1">
      <alignment horizontal="left" vertical="center" wrapText="1"/>
    </xf>
    <xf numFmtId="0" fontId="102" fillId="0" borderId="29" xfId="0" applyFont="1" applyFill="1" applyBorder="1" applyAlignment="1">
      <alignment horizontal="left" vertical="center" wrapText="1"/>
    </xf>
    <xf numFmtId="0" fontId="102" fillId="0" borderId="33" xfId="0" applyFont="1" applyFill="1" applyBorder="1" applyAlignment="1">
      <alignment horizontal="left" vertical="center" wrapText="1"/>
    </xf>
    <xf numFmtId="0" fontId="25" fillId="0" borderId="21"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23" xfId="0" applyFont="1" applyFill="1" applyBorder="1" applyAlignment="1">
      <alignment horizontal="left" vertical="center"/>
    </xf>
    <xf numFmtId="0" fontId="100" fillId="0" borderId="32" xfId="0" applyFont="1" applyFill="1" applyBorder="1" applyAlignment="1">
      <alignment horizontal="left" vertical="center"/>
    </xf>
    <xf numFmtId="0" fontId="100" fillId="0" borderId="29" xfId="0" applyFont="1" applyFill="1" applyBorder="1" applyAlignment="1">
      <alignment horizontal="left" vertical="center"/>
    </xf>
    <xf numFmtId="0" fontId="100" fillId="0" borderId="33" xfId="0" applyFont="1" applyFill="1" applyBorder="1" applyAlignment="1">
      <alignment horizontal="left" vertical="center"/>
    </xf>
    <xf numFmtId="0" fontId="103" fillId="0" borderId="32" xfId="0" applyFont="1" applyFill="1" applyBorder="1" applyAlignment="1">
      <alignment horizontal="left" vertical="center"/>
    </xf>
    <xf numFmtId="0" fontId="103" fillId="0" borderId="29" xfId="0" applyFont="1" applyFill="1" applyBorder="1" applyAlignment="1">
      <alignment horizontal="left" vertical="center"/>
    </xf>
    <xf numFmtId="0" fontId="103" fillId="0" borderId="33" xfId="0" applyFont="1" applyFill="1" applyBorder="1" applyAlignment="1">
      <alignment horizontal="left" vertical="center"/>
    </xf>
    <xf numFmtId="0" fontId="25" fillId="0" borderId="17"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4"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1" xfId="0" applyFont="1" applyBorder="1" applyAlignment="1">
      <alignment horizontal="center" vertical="center" wrapText="1"/>
    </xf>
    <xf numFmtId="0" fontId="9" fillId="0" borderId="0" xfId="0" applyFont="1" applyFill="1" applyBorder="1" applyAlignment="1">
      <alignment horizontal="center" vertical="top" wrapText="1"/>
    </xf>
    <xf numFmtId="0" fontId="18" fillId="0" borderId="0" xfId="0" applyFont="1" applyAlignment="1">
      <alignment horizontal="left" vertical="center" wrapText="1"/>
    </xf>
    <xf numFmtId="0" fontId="4" fillId="0" borderId="34" xfId="0" applyFont="1" applyBorder="1" applyAlignment="1">
      <alignment horizontal="center" vertical="distributed"/>
    </xf>
    <xf numFmtId="0" fontId="4" fillId="0" borderId="25" xfId="0" applyFont="1" applyBorder="1" applyAlignment="1">
      <alignment horizontal="center" vertical="distributed"/>
    </xf>
    <xf numFmtId="0" fontId="4" fillId="0" borderId="35" xfId="0" applyFont="1" applyBorder="1" applyAlignment="1">
      <alignment horizontal="center" vertical="distributed"/>
    </xf>
    <xf numFmtId="0" fontId="4" fillId="0" borderId="47" xfId="0" applyFont="1" applyBorder="1" applyAlignment="1">
      <alignment horizontal="center" vertical="distributed"/>
    </xf>
    <xf numFmtId="0" fontId="4" fillId="0" borderId="0" xfId="0" applyFont="1" applyBorder="1" applyAlignment="1">
      <alignment horizontal="center" vertical="distributed"/>
    </xf>
    <xf numFmtId="0" fontId="4" fillId="0" borderId="49" xfId="0" applyFont="1" applyBorder="1" applyAlignment="1">
      <alignment horizontal="center" vertical="distributed"/>
    </xf>
    <xf numFmtId="0" fontId="4" fillId="0" borderId="36" xfId="0" applyFont="1" applyBorder="1" applyAlignment="1">
      <alignment horizontal="center" vertical="distributed"/>
    </xf>
    <xf numFmtId="0" fontId="4" fillId="0" borderId="27" xfId="0" applyFont="1" applyBorder="1" applyAlignment="1">
      <alignment horizontal="center" vertical="distributed"/>
    </xf>
    <xf numFmtId="0" fontId="4" fillId="0" borderId="37" xfId="0" applyFont="1" applyBorder="1" applyAlignment="1">
      <alignment horizontal="center" vertical="distributed"/>
    </xf>
    <xf numFmtId="0" fontId="107" fillId="0" borderId="60" xfId="0" applyFont="1" applyFill="1" applyBorder="1" applyAlignment="1">
      <alignment horizontal="center"/>
    </xf>
    <xf numFmtId="0" fontId="107" fillId="0" borderId="39" xfId="0" applyFont="1" applyFill="1" applyBorder="1" applyAlignment="1">
      <alignment horizontal="center"/>
    </xf>
    <xf numFmtId="0" fontId="107" fillId="0" borderId="61" xfId="0" applyFont="1" applyFill="1" applyBorder="1" applyAlignment="1">
      <alignment horizontal="center"/>
    </xf>
    <xf numFmtId="0" fontId="108" fillId="0" borderId="0" xfId="0" applyFont="1" applyAlignment="1">
      <alignment horizontal="left" vertical="center" wrapText="1"/>
    </xf>
    <xf numFmtId="0" fontId="104" fillId="0" borderId="0" xfId="0" applyFont="1" applyAlignment="1">
      <alignment horizontal="left" vertical="center" wrapText="1"/>
    </xf>
    <xf numFmtId="0" fontId="24" fillId="0" borderId="0" xfId="0" applyFont="1" applyAlignment="1">
      <alignment horizontal="left" vertical="center" wrapText="1"/>
    </xf>
    <xf numFmtId="0" fontId="109" fillId="0" borderId="0" xfId="0" applyFont="1" applyAlignment="1">
      <alignment horizontal="left" vertical="center" wrapText="1"/>
    </xf>
    <xf numFmtId="0" fontId="4" fillId="44" borderId="60" xfId="0" applyFont="1" applyFill="1" applyBorder="1" applyAlignment="1">
      <alignment horizontal="right" vertical="center" wrapText="1"/>
    </xf>
    <xf numFmtId="0" fontId="4" fillId="44" borderId="32" xfId="0" applyFont="1" applyFill="1" applyBorder="1" applyAlignment="1">
      <alignment horizontal="right" vertical="center" wrapText="1"/>
    </xf>
    <xf numFmtId="0" fontId="4" fillId="44" borderId="41" xfId="0" applyFont="1" applyFill="1" applyBorder="1" applyAlignment="1">
      <alignment horizontal="right" vertical="center" wrapText="1"/>
    </xf>
    <xf numFmtId="0" fontId="4" fillId="0" borderId="65"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64" xfId="0" applyFont="1" applyBorder="1" applyAlignment="1">
      <alignment horizontal="center" vertical="center"/>
    </xf>
    <xf numFmtId="0" fontId="4" fillId="45" borderId="10" xfId="0" applyFont="1" applyFill="1" applyBorder="1" applyAlignment="1">
      <alignment horizontal="center"/>
    </xf>
    <xf numFmtId="0" fontId="4" fillId="45" borderId="11" xfId="0" applyFont="1" applyFill="1" applyBorder="1" applyAlignment="1">
      <alignment horizontal="center"/>
    </xf>
    <xf numFmtId="0" fontId="4" fillId="45" borderId="12"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18" xfId="0" applyFont="1" applyFill="1" applyBorder="1" applyAlignment="1">
      <alignment horizontal="center" vertical="distributed"/>
    </xf>
    <xf numFmtId="0" fontId="4" fillId="0" borderId="24" xfId="0" applyFont="1" applyFill="1" applyBorder="1" applyAlignment="1">
      <alignment horizontal="center" vertical="distributed"/>
    </xf>
    <xf numFmtId="0" fontId="4" fillId="0" borderId="20" xfId="0" applyFont="1" applyFill="1" applyBorder="1" applyAlignment="1">
      <alignment horizontal="center" vertical="distributed"/>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21"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34" xfId="0" applyFont="1" applyBorder="1" applyAlignment="1">
      <alignment horizontal="left" vertical="center" wrapText="1"/>
    </xf>
    <xf numFmtId="0" fontId="4" fillId="0" borderId="25" xfId="0" applyFont="1" applyBorder="1" applyAlignment="1">
      <alignment horizontal="left" vertical="center" wrapText="1"/>
    </xf>
    <xf numFmtId="0" fontId="4" fillId="0" borderId="35" xfId="0" applyFont="1" applyBorder="1" applyAlignment="1">
      <alignment horizontal="left" vertical="center" wrapText="1"/>
    </xf>
    <xf numFmtId="0" fontId="110" fillId="0" borderId="47" xfId="0" applyFont="1" applyBorder="1" applyAlignment="1">
      <alignment horizontal="left" vertical="center" wrapText="1"/>
    </xf>
    <xf numFmtId="0" fontId="110" fillId="0" borderId="0" xfId="0" applyFont="1" applyBorder="1" applyAlignment="1">
      <alignment horizontal="left" vertical="center" wrapText="1"/>
    </xf>
    <xf numFmtId="0" fontId="110" fillId="0" borderId="49" xfId="0" applyFont="1" applyBorder="1" applyAlignment="1">
      <alignment horizontal="left" vertical="center" wrapText="1"/>
    </xf>
    <xf numFmtId="0" fontId="102" fillId="0" borderId="47" xfId="0" applyFont="1" applyBorder="1" applyAlignment="1">
      <alignment horizontal="left" vertical="center" wrapText="1"/>
    </xf>
    <xf numFmtId="0" fontId="102" fillId="0" borderId="0" xfId="0" applyFont="1" applyBorder="1" applyAlignment="1">
      <alignment horizontal="left" vertical="center" wrapText="1"/>
    </xf>
    <xf numFmtId="0" fontId="102" fillId="0" borderId="49" xfId="0" applyFont="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66" xfId="0" applyFont="1" applyFill="1" applyBorder="1" applyAlignment="1">
      <alignment horizontal="left" vertical="center"/>
    </xf>
    <xf numFmtId="0" fontId="4" fillId="0" borderId="67" xfId="0" applyFont="1" applyFill="1" applyBorder="1" applyAlignment="1">
      <alignment horizontal="left" vertical="center"/>
    </xf>
    <xf numFmtId="0" fontId="4" fillId="0" borderId="68" xfId="0" applyFont="1" applyFill="1" applyBorder="1" applyAlignment="1">
      <alignment horizontal="left" vertical="center"/>
    </xf>
    <xf numFmtId="0" fontId="104" fillId="0" borderId="0" xfId="0" applyFont="1" applyAlignment="1">
      <alignment horizontal="left" vertical="center"/>
    </xf>
    <xf numFmtId="0" fontId="108" fillId="0" borderId="0" xfId="0" applyFont="1" applyAlignment="1">
      <alignment horizontal="left" vertical="center" wrapText="1"/>
    </xf>
    <xf numFmtId="0" fontId="24" fillId="0" borderId="3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5" xfId="0" applyFont="1" applyBorder="1" applyAlignment="1">
      <alignment horizontal="left" vertical="center" wrapText="1"/>
    </xf>
    <xf numFmtId="0" fontId="18" fillId="0" borderId="47" xfId="0" applyFont="1" applyBorder="1" applyAlignment="1">
      <alignment horizontal="left" vertical="center" wrapText="1"/>
    </xf>
    <xf numFmtId="0" fontId="18" fillId="0" borderId="0" xfId="0" applyFont="1" applyBorder="1" applyAlignment="1">
      <alignment horizontal="left" vertical="center" wrapText="1"/>
    </xf>
    <xf numFmtId="0" fontId="18" fillId="0" borderId="49" xfId="0" applyFont="1" applyBorder="1" applyAlignment="1">
      <alignment horizontal="left" vertical="center" wrapText="1"/>
    </xf>
    <xf numFmtId="0" fontId="25" fillId="0" borderId="3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5" xfId="0" applyFont="1" applyBorder="1" applyAlignment="1">
      <alignment horizontal="left" vertical="center" wrapText="1"/>
    </xf>
    <xf numFmtId="0" fontId="25" fillId="0" borderId="36" xfId="0" applyFont="1" applyBorder="1" applyAlignment="1">
      <alignment horizontal="left" vertical="center" wrapText="1"/>
    </xf>
    <xf numFmtId="0" fontId="25" fillId="0" borderId="27" xfId="0" applyFont="1" applyBorder="1" applyAlignment="1">
      <alignment horizontal="left" vertical="center" wrapText="1"/>
    </xf>
    <xf numFmtId="0" fontId="25" fillId="0" borderId="37" xfId="0" applyFont="1" applyBorder="1" applyAlignment="1">
      <alignment horizontal="left" vertical="center" wrapText="1"/>
    </xf>
    <xf numFmtId="0" fontId="111" fillId="0" borderId="47" xfId="0" applyFont="1" applyBorder="1" applyAlignment="1">
      <alignment horizontal="left" vertical="center" wrapText="1"/>
    </xf>
    <xf numFmtId="0" fontId="111" fillId="0" borderId="0" xfId="0" applyFont="1" applyBorder="1" applyAlignment="1">
      <alignment horizontal="left" vertical="center" wrapText="1"/>
    </xf>
    <xf numFmtId="0" fontId="111" fillId="0" borderId="49" xfId="0" applyFont="1" applyBorder="1" applyAlignment="1">
      <alignment horizontal="left" vertical="center" wrapText="1"/>
    </xf>
    <xf numFmtId="0" fontId="93" fillId="0" borderId="36" xfId="0" applyFont="1" applyBorder="1" applyAlignment="1">
      <alignment horizontal="left" vertical="center" wrapText="1"/>
    </xf>
    <xf numFmtId="0" fontId="93" fillId="0" borderId="27" xfId="0" applyFont="1" applyBorder="1" applyAlignment="1">
      <alignment horizontal="left" vertical="center" wrapText="1"/>
    </xf>
    <xf numFmtId="0" fontId="18" fillId="0" borderId="36" xfId="0" applyFont="1" applyBorder="1" applyAlignment="1">
      <alignment horizontal="left" vertical="center" wrapText="1"/>
    </xf>
    <xf numFmtId="0" fontId="18" fillId="0" borderId="27" xfId="0" applyFont="1" applyBorder="1" applyAlignment="1">
      <alignment horizontal="left" vertical="center" wrapText="1"/>
    </xf>
    <xf numFmtId="0" fontId="18" fillId="0" borderId="37" xfId="0" applyFont="1" applyBorder="1" applyAlignment="1">
      <alignment horizontal="left" vertical="center" wrapText="1"/>
    </xf>
    <xf numFmtId="0" fontId="112" fillId="0" borderId="47" xfId="0" applyFont="1" applyBorder="1" applyAlignment="1">
      <alignment horizontal="left" vertical="center" wrapText="1"/>
    </xf>
    <xf numFmtId="0" fontId="112" fillId="0" borderId="0" xfId="0" applyFont="1" applyBorder="1" applyAlignment="1">
      <alignment horizontal="left" vertical="center" wrapText="1"/>
    </xf>
    <xf numFmtId="0" fontId="112" fillId="0" borderId="49" xfId="0" applyFont="1" applyBorder="1" applyAlignment="1">
      <alignment horizontal="left" vertical="center" wrapText="1"/>
    </xf>
    <xf numFmtId="0" fontId="113" fillId="0" borderId="47" xfId="0" applyFont="1" applyBorder="1" applyAlignment="1">
      <alignment horizontal="left" vertical="center" wrapText="1"/>
    </xf>
    <xf numFmtId="0" fontId="113" fillId="0" borderId="0" xfId="0" applyFont="1" applyBorder="1" applyAlignment="1">
      <alignment horizontal="left" vertical="center" wrapText="1"/>
    </xf>
    <xf numFmtId="0" fontId="113" fillId="0" borderId="4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Curva ROC: Diagnóstico de anemia ferropénica con varios cortes de VCM frente a biopsia de médula ósea (gold estándar)</a:t>
            </a:r>
          </a:p>
        </c:rich>
      </c:tx>
      <c:layout>
        <c:manualLayout>
          <c:xMode val="factor"/>
          <c:yMode val="factor"/>
          <c:x val="0.0045"/>
          <c:y val="0"/>
        </c:manualLayout>
      </c:layout>
      <c:spPr>
        <a:noFill/>
        <a:ln>
          <a:noFill/>
        </a:ln>
      </c:spPr>
    </c:title>
    <c:plotArea>
      <c:layout>
        <c:manualLayout>
          <c:xMode val="edge"/>
          <c:yMode val="edge"/>
          <c:x val="0.096"/>
          <c:y val="0.183"/>
          <c:w val="0.685"/>
          <c:h val="0.70975"/>
        </c:manualLayout>
      </c:layout>
      <c:scatterChart>
        <c:scatterStyle val="lineMarker"/>
        <c:varyColors val="0"/>
        <c:ser>
          <c:idx val="0"/>
          <c:order val="0"/>
          <c:tx>
            <c:v>Puntos de corte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1"/>
            <c:showSerName val="0"/>
            <c:showPercent val="0"/>
          </c:dLbls>
          <c:xVal>
            <c:numRef>
              <c:f>'Curvas ROC'!$I$57:$I$63</c:f>
              <c:numCache/>
            </c:numRef>
          </c:xVal>
          <c:yVal>
            <c:numRef>
              <c:f>'Curvas ROC'!$J$57:$J$63</c:f>
              <c:numCache/>
            </c:numRef>
          </c:yVal>
          <c:smooth val="0"/>
        </c:ser>
        <c:ser>
          <c:idx val="1"/>
          <c:order val="1"/>
          <c:tx>
            <c:v>Diagonal</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'Curvas ROC'!$I$62:$I$63</c:f>
              <c:numCache/>
            </c:numRef>
          </c:xVal>
          <c:yVal>
            <c:numRef>
              <c:f>'Curvas ROC'!$J$62:$J$63</c:f>
              <c:numCache/>
            </c:numRef>
          </c:yVal>
          <c:smooth val="0"/>
        </c:ser>
        <c:axId val="18709873"/>
        <c:axId val="34171130"/>
      </c:scatterChart>
      <c:valAx>
        <c:axId val="18709873"/>
        <c:scaling>
          <c:orientation val="minMax"/>
          <c:max val="1"/>
        </c:scaling>
        <c:axPos val="b"/>
        <c:title>
          <c:tx>
            <c:rich>
              <a:bodyPr vert="horz" rot="0" anchor="ctr"/>
              <a:lstStyle/>
              <a:p>
                <a:pPr algn="ctr">
                  <a:defRPr/>
                </a:pPr>
                <a:r>
                  <a:rPr lang="en-US" cap="none" sz="875" b="1" i="0" u="none" baseline="0">
                    <a:solidFill>
                      <a:srgbClr val="000000"/>
                    </a:solidFill>
                  </a:rPr>
                  <a:t>1- Especificidad (% Falsos positivos)</a:t>
                </a:r>
              </a:p>
            </c:rich>
          </c:tx>
          <c:layout>
            <c:manualLayout>
              <c:xMode val="factor"/>
              <c:yMode val="factor"/>
              <c:x val="-0.02575"/>
              <c:y val="0.015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171130"/>
        <c:crosses val="autoZero"/>
        <c:crossBetween val="midCat"/>
        <c:dispUnits/>
      </c:valAx>
      <c:valAx>
        <c:axId val="34171130"/>
        <c:scaling>
          <c:orientation val="minMax"/>
          <c:max val="1"/>
        </c:scaling>
        <c:axPos val="l"/>
        <c:title>
          <c:tx>
            <c:rich>
              <a:bodyPr vert="horz" rot="-5400000" anchor="ctr"/>
              <a:lstStyle/>
              <a:p>
                <a:pPr algn="ctr">
                  <a:defRPr/>
                </a:pPr>
                <a:r>
                  <a:rPr lang="en-US" cap="none" sz="875" b="1" i="0" u="none" baseline="0">
                    <a:solidFill>
                      <a:srgbClr val="000000"/>
                    </a:solidFill>
                  </a:rPr>
                  <a:t>Sensibilidad (% Verdaderos positivos)</a:t>
                </a:r>
              </a:p>
            </c:rich>
          </c:tx>
          <c:layout>
            <c:manualLayout>
              <c:xMode val="factor"/>
              <c:yMode val="factor"/>
              <c:x val="-0.035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8709873"/>
        <c:crosses val="autoZero"/>
        <c:crossBetween val="midCat"/>
        <c:dispUnits/>
      </c:valAx>
      <c:spPr>
        <a:noFill/>
        <a:ln w="12700">
          <a:solidFill>
            <a:srgbClr val="808080"/>
          </a:solidFill>
        </a:ln>
      </c:spPr>
    </c:plotArea>
    <c:legend>
      <c:legendPos val="r"/>
      <c:layout>
        <c:manualLayout>
          <c:xMode val="edge"/>
          <c:yMode val="edge"/>
          <c:x val="0.7925"/>
          <c:y val="0.45975"/>
          <c:w val="0.201"/>
          <c:h val="0.137"/>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5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675"/>
          <c:y val="0.18075"/>
          <c:w val="0.96525"/>
          <c:h val="0.8315"/>
        </c:manualLayout>
      </c:layout>
      <c:lineChart>
        <c:grouping val="standard"/>
        <c:varyColors val="0"/>
        <c:ser>
          <c:idx val="0"/>
          <c:order val="0"/>
          <c:tx>
            <c:strRef>
              <c:f>Concatenadas!$F$82</c:f>
              <c:strCache>
                <c:ptCount val="1"/>
                <c:pt idx="0">
                  <c:v>0dds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Concatenadas!$F$83:$F$102</c:f>
              <c:numCache/>
            </c:numRef>
          </c:val>
          <c:smooth val="0"/>
        </c:ser>
        <c:marker val="1"/>
        <c:axId val="39104715"/>
        <c:axId val="16398116"/>
      </c:lineChart>
      <c:catAx>
        <c:axId val="391047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398116"/>
        <c:crosses val="autoZero"/>
        <c:auto val="1"/>
        <c:lblOffset val="100"/>
        <c:tickLblSkip val="1"/>
        <c:noMultiLvlLbl val="0"/>
      </c:catAx>
      <c:valAx>
        <c:axId val="163981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910471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675"/>
          <c:y val="0.1935"/>
          <c:w val="0.96575"/>
          <c:h val="0.8195"/>
        </c:manualLayout>
      </c:layout>
      <c:lineChart>
        <c:grouping val="standard"/>
        <c:varyColors val="0"/>
        <c:ser>
          <c:idx val="0"/>
          <c:order val="0"/>
          <c:tx>
            <c:strRef>
              <c:f>Concatenadas!$E$82</c:f>
              <c:strCache>
                <c:ptCount val="1"/>
                <c:pt idx="0">
                  <c:v>Probabilidad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Concatenadas!$E$83:$E$101</c:f>
              <c:numCache/>
            </c:numRef>
          </c:val>
          <c:smooth val="0"/>
        </c:ser>
        <c:marker val="1"/>
        <c:axId val="13365317"/>
        <c:axId val="53178990"/>
      </c:lineChart>
      <c:catAx>
        <c:axId val="133653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178990"/>
        <c:crosses val="autoZero"/>
        <c:auto val="1"/>
        <c:lblOffset val="100"/>
        <c:tickLblSkip val="1"/>
        <c:noMultiLvlLbl val="0"/>
      </c:catAx>
      <c:valAx>
        <c:axId val="531789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336531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xdr:row>
      <xdr:rowOff>76200</xdr:rowOff>
    </xdr:from>
    <xdr:to>
      <xdr:col>3</xdr:col>
      <xdr:colOff>285750</xdr:colOff>
      <xdr:row>11</xdr:row>
      <xdr:rowOff>114300</xdr:rowOff>
    </xdr:to>
    <xdr:sp>
      <xdr:nvSpPr>
        <xdr:cNvPr id="1" name="Line 3"/>
        <xdr:cNvSpPr>
          <a:spLocks/>
        </xdr:cNvSpPr>
      </xdr:nvSpPr>
      <xdr:spPr>
        <a:xfrm>
          <a:off x="2581275" y="419100"/>
          <a:ext cx="19050" cy="2695575"/>
        </a:xfrm>
        <a:prstGeom prst="line">
          <a:avLst/>
        </a:prstGeom>
        <a:noFill/>
        <a:ln w="19050" cmpd="sng">
          <a:solidFill>
            <a:srgbClr val="00FF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xdr:row>
      <xdr:rowOff>95250</xdr:rowOff>
    </xdr:from>
    <xdr:to>
      <xdr:col>4</xdr:col>
      <xdr:colOff>247650</xdr:colOff>
      <xdr:row>11</xdr:row>
      <xdr:rowOff>133350</xdr:rowOff>
    </xdr:to>
    <xdr:sp>
      <xdr:nvSpPr>
        <xdr:cNvPr id="2" name="Line 4"/>
        <xdr:cNvSpPr>
          <a:spLocks/>
        </xdr:cNvSpPr>
      </xdr:nvSpPr>
      <xdr:spPr>
        <a:xfrm>
          <a:off x="3733800" y="438150"/>
          <a:ext cx="19050" cy="2695575"/>
        </a:xfrm>
        <a:prstGeom prst="line">
          <a:avLst/>
        </a:prstGeom>
        <a:noFill/>
        <a:ln w="19050" cmpd="sng">
          <a:solidFill>
            <a:srgbClr val="00FF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xdr:row>
      <xdr:rowOff>19050</xdr:rowOff>
    </xdr:from>
    <xdr:to>
      <xdr:col>6</xdr:col>
      <xdr:colOff>304800</xdr:colOff>
      <xdr:row>5</xdr:row>
      <xdr:rowOff>19050</xdr:rowOff>
    </xdr:to>
    <xdr:sp>
      <xdr:nvSpPr>
        <xdr:cNvPr id="3" name="Line 5"/>
        <xdr:cNvSpPr>
          <a:spLocks/>
        </xdr:cNvSpPr>
      </xdr:nvSpPr>
      <xdr:spPr>
        <a:xfrm>
          <a:off x="752475" y="866775"/>
          <a:ext cx="5324475" cy="0"/>
        </a:xfrm>
        <a:prstGeom prst="line">
          <a:avLst/>
        </a:prstGeom>
        <a:noFill/>
        <a:ln w="19050" cmpd="sng">
          <a:solidFill>
            <a:srgbClr val="FF99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7</xdr:row>
      <xdr:rowOff>9525</xdr:rowOff>
    </xdr:from>
    <xdr:to>
      <xdr:col>6</xdr:col>
      <xdr:colOff>304800</xdr:colOff>
      <xdr:row>7</xdr:row>
      <xdr:rowOff>9525</xdr:rowOff>
    </xdr:to>
    <xdr:sp>
      <xdr:nvSpPr>
        <xdr:cNvPr id="4" name="Line 7"/>
        <xdr:cNvSpPr>
          <a:spLocks/>
        </xdr:cNvSpPr>
      </xdr:nvSpPr>
      <xdr:spPr>
        <a:xfrm>
          <a:off x="752475" y="1676400"/>
          <a:ext cx="5324475" cy="0"/>
        </a:xfrm>
        <a:prstGeom prst="line">
          <a:avLst/>
        </a:prstGeom>
        <a:noFill/>
        <a:ln w="19050" cmpd="sng">
          <a:solidFill>
            <a:srgbClr val="FF99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26</xdr:row>
      <xdr:rowOff>123825</xdr:rowOff>
    </xdr:from>
    <xdr:to>
      <xdr:col>5</xdr:col>
      <xdr:colOff>676275</xdr:colOff>
      <xdr:row>44</xdr:row>
      <xdr:rowOff>76200</xdr:rowOff>
    </xdr:to>
    <xdr:sp>
      <xdr:nvSpPr>
        <xdr:cNvPr id="5" name="Line 8"/>
        <xdr:cNvSpPr>
          <a:spLocks/>
        </xdr:cNvSpPr>
      </xdr:nvSpPr>
      <xdr:spPr>
        <a:xfrm>
          <a:off x="3371850" y="7267575"/>
          <a:ext cx="1962150" cy="3362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44</xdr:row>
      <xdr:rowOff>28575</xdr:rowOff>
    </xdr:from>
    <xdr:to>
      <xdr:col>19</xdr:col>
      <xdr:colOff>638175</xdr:colOff>
      <xdr:row>45</xdr:row>
      <xdr:rowOff>9525</xdr:rowOff>
    </xdr:to>
    <xdr:sp>
      <xdr:nvSpPr>
        <xdr:cNvPr id="6" name="Oval 9"/>
        <xdr:cNvSpPr>
          <a:spLocks/>
        </xdr:cNvSpPr>
      </xdr:nvSpPr>
      <xdr:spPr>
        <a:xfrm>
          <a:off x="17221200" y="10582275"/>
          <a:ext cx="638175"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30</xdr:row>
      <xdr:rowOff>200025</xdr:rowOff>
    </xdr:from>
    <xdr:to>
      <xdr:col>2</xdr:col>
      <xdr:colOff>76200</xdr:colOff>
      <xdr:row>32</xdr:row>
      <xdr:rowOff>104775</xdr:rowOff>
    </xdr:to>
    <xdr:sp>
      <xdr:nvSpPr>
        <xdr:cNvPr id="7" name="7 Conector recto de flecha"/>
        <xdr:cNvSpPr>
          <a:spLocks/>
        </xdr:cNvSpPr>
      </xdr:nvSpPr>
      <xdr:spPr>
        <a:xfrm rot="5400000">
          <a:off x="1085850" y="8134350"/>
          <a:ext cx="0" cy="2000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30</xdr:row>
      <xdr:rowOff>200025</xdr:rowOff>
    </xdr:from>
    <xdr:to>
      <xdr:col>3</xdr:col>
      <xdr:colOff>514350</xdr:colOff>
      <xdr:row>33</xdr:row>
      <xdr:rowOff>47625</xdr:rowOff>
    </xdr:to>
    <xdr:sp>
      <xdr:nvSpPr>
        <xdr:cNvPr id="8" name="8 Conector recto de flecha"/>
        <xdr:cNvSpPr>
          <a:spLocks/>
        </xdr:cNvSpPr>
      </xdr:nvSpPr>
      <xdr:spPr>
        <a:xfrm rot="5400000">
          <a:off x="2819400" y="8134350"/>
          <a:ext cx="9525" cy="390525"/>
        </a:xfrm>
        <a:prstGeom prst="straightConnector1">
          <a:avLst/>
        </a:prstGeom>
        <a:noFill/>
        <a:ln w="15875" cmpd="sng">
          <a:solidFill>
            <a:srgbClr val="984807"/>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923925</xdr:colOff>
      <xdr:row>134</xdr:row>
      <xdr:rowOff>95250</xdr:rowOff>
    </xdr:from>
    <xdr:to>
      <xdr:col>6</xdr:col>
      <xdr:colOff>609600</xdr:colOff>
      <xdr:row>139</xdr:row>
      <xdr:rowOff>285750</xdr:rowOff>
    </xdr:to>
    <xdr:sp>
      <xdr:nvSpPr>
        <xdr:cNvPr id="1" name="Line 9"/>
        <xdr:cNvSpPr>
          <a:spLocks/>
        </xdr:cNvSpPr>
      </xdr:nvSpPr>
      <xdr:spPr>
        <a:xfrm>
          <a:off x="4819650" y="19240500"/>
          <a:ext cx="2228850" cy="1990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390525</xdr:colOff>
      <xdr:row>203</xdr:row>
      <xdr:rowOff>152400</xdr:rowOff>
    </xdr:from>
    <xdr:to>
      <xdr:col>10</xdr:col>
      <xdr:colOff>1000125</xdr:colOff>
      <xdr:row>211</xdr:row>
      <xdr:rowOff>152400</xdr:rowOff>
    </xdr:to>
    <xdr:pic>
      <xdr:nvPicPr>
        <xdr:cNvPr id="2" name="Picture 118"/>
        <xdr:cNvPicPr preferRelativeResize="1">
          <a:picLocks noChangeAspect="1"/>
        </xdr:cNvPicPr>
      </xdr:nvPicPr>
      <xdr:blipFill>
        <a:blip r:embed="rId1"/>
        <a:stretch>
          <a:fillRect/>
        </a:stretch>
      </xdr:blipFill>
      <xdr:spPr>
        <a:xfrm>
          <a:off x="8229600" y="27641550"/>
          <a:ext cx="3533775" cy="2181225"/>
        </a:xfrm>
        <a:prstGeom prst="rect">
          <a:avLst/>
        </a:prstGeom>
        <a:noFill/>
        <a:ln w="9525" cmpd="sng">
          <a:noFill/>
        </a:ln>
      </xdr:spPr>
    </xdr:pic>
    <xdr:clientData/>
  </xdr:twoCellAnchor>
  <xdr:twoCellAnchor>
    <xdr:from>
      <xdr:col>2</xdr:col>
      <xdr:colOff>1257300</xdr:colOff>
      <xdr:row>5</xdr:row>
      <xdr:rowOff>0</xdr:rowOff>
    </xdr:from>
    <xdr:to>
      <xdr:col>8</xdr:col>
      <xdr:colOff>447675</xdr:colOff>
      <xdr:row>8</xdr:row>
      <xdr:rowOff>104775</xdr:rowOff>
    </xdr:to>
    <xdr:sp>
      <xdr:nvSpPr>
        <xdr:cNvPr id="3" name="Line 42"/>
        <xdr:cNvSpPr>
          <a:spLocks/>
        </xdr:cNvSpPr>
      </xdr:nvSpPr>
      <xdr:spPr>
        <a:xfrm flipH="1">
          <a:off x="2533650" y="838200"/>
          <a:ext cx="6962775" cy="7143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1</xdr:row>
      <xdr:rowOff>95250</xdr:rowOff>
    </xdr:from>
    <xdr:to>
      <xdr:col>8</xdr:col>
      <xdr:colOff>609600</xdr:colOff>
      <xdr:row>9</xdr:row>
      <xdr:rowOff>57150</xdr:rowOff>
    </xdr:to>
    <xdr:sp>
      <xdr:nvSpPr>
        <xdr:cNvPr id="1" name="Line 38"/>
        <xdr:cNvSpPr>
          <a:spLocks/>
        </xdr:cNvSpPr>
      </xdr:nvSpPr>
      <xdr:spPr>
        <a:xfrm flipH="1">
          <a:off x="3686175" y="257175"/>
          <a:ext cx="5629275" cy="1524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xdr:row>
      <xdr:rowOff>123825</xdr:rowOff>
    </xdr:from>
    <xdr:to>
      <xdr:col>9</xdr:col>
      <xdr:colOff>9525</xdr:colOff>
      <xdr:row>11</xdr:row>
      <xdr:rowOff>57150</xdr:rowOff>
    </xdr:to>
    <xdr:sp>
      <xdr:nvSpPr>
        <xdr:cNvPr id="2" name="Line 39"/>
        <xdr:cNvSpPr>
          <a:spLocks/>
        </xdr:cNvSpPr>
      </xdr:nvSpPr>
      <xdr:spPr>
        <a:xfrm flipH="1">
          <a:off x="3724275" y="285750"/>
          <a:ext cx="5648325" cy="24574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xdr:row>
      <xdr:rowOff>152400</xdr:rowOff>
    </xdr:from>
    <xdr:to>
      <xdr:col>8</xdr:col>
      <xdr:colOff>628650</xdr:colOff>
      <xdr:row>9</xdr:row>
      <xdr:rowOff>57150</xdr:rowOff>
    </xdr:to>
    <xdr:sp>
      <xdr:nvSpPr>
        <xdr:cNvPr id="3" name="Line 40"/>
        <xdr:cNvSpPr>
          <a:spLocks/>
        </xdr:cNvSpPr>
      </xdr:nvSpPr>
      <xdr:spPr>
        <a:xfrm flipH="1">
          <a:off x="5029200" y="314325"/>
          <a:ext cx="4305300" cy="1466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xdr:row>
      <xdr:rowOff>190500</xdr:rowOff>
    </xdr:from>
    <xdr:to>
      <xdr:col>8</xdr:col>
      <xdr:colOff>628650</xdr:colOff>
      <xdr:row>11</xdr:row>
      <xdr:rowOff>85725</xdr:rowOff>
    </xdr:to>
    <xdr:sp>
      <xdr:nvSpPr>
        <xdr:cNvPr id="4" name="Line 41"/>
        <xdr:cNvSpPr>
          <a:spLocks/>
        </xdr:cNvSpPr>
      </xdr:nvSpPr>
      <xdr:spPr>
        <a:xfrm flipH="1">
          <a:off x="5029200" y="352425"/>
          <a:ext cx="4305300" cy="24193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1371600</xdr:colOff>
      <xdr:row>1</xdr:row>
      <xdr:rowOff>228600</xdr:rowOff>
    </xdr:from>
    <xdr:to>
      <xdr:col>15</xdr:col>
      <xdr:colOff>619125</xdr:colOff>
      <xdr:row>35</xdr:row>
      <xdr:rowOff>123825</xdr:rowOff>
    </xdr:to>
    <xdr:sp>
      <xdr:nvSpPr>
        <xdr:cNvPr id="5" name="Line 42"/>
        <xdr:cNvSpPr>
          <a:spLocks/>
        </xdr:cNvSpPr>
      </xdr:nvSpPr>
      <xdr:spPr>
        <a:xfrm flipH="1">
          <a:off x="5638800" y="390525"/>
          <a:ext cx="9163050" cy="42291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23</xdr:row>
      <xdr:rowOff>47625</xdr:rowOff>
    </xdr:from>
    <xdr:to>
      <xdr:col>3</xdr:col>
      <xdr:colOff>1209675</xdr:colOff>
      <xdr:row>43</xdr:row>
      <xdr:rowOff>152400</xdr:rowOff>
    </xdr:to>
    <xdr:pic>
      <xdr:nvPicPr>
        <xdr:cNvPr id="1" name="Picture 1"/>
        <xdr:cNvPicPr preferRelativeResize="1">
          <a:picLocks noChangeAspect="1"/>
        </xdr:cNvPicPr>
      </xdr:nvPicPr>
      <xdr:blipFill>
        <a:blip r:embed="rId1"/>
        <a:stretch>
          <a:fillRect/>
        </a:stretch>
      </xdr:blipFill>
      <xdr:spPr>
        <a:xfrm>
          <a:off x="657225" y="8220075"/>
          <a:ext cx="4048125" cy="3362325"/>
        </a:xfrm>
        <a:prstGeom prst="rect">
          <a:avLst/>
        </a:prstGeom>
        <a:noFill/>
        <a:ln w="9525" cmpd="sng">
          <a:noFill/>
        </a:ln>
      </xdr:spPr>
    </xdr:pic>
    <xdr:clientData/>
  </xdr:twoCellAnchor>
  <xdr:twoCellAnchor>
    <xdr:from>
      <xdr:col>2</xdr:col>
      <xdr:colOff>742950</xdr:colOff>
      <xdr:row>32</xdr:row>
      <xdr:rowOff>38100</xdr:rowOff>
    </xdr:from>
    <xdr:to>
      <xdr:col>3</xdr:col>
      <xdr:colOff>219075</xdr:colOff>
      <xdr:row>58</xdr:row>
      <xdr:rowOff>104775</xdr:rowOff>
    </xdr:to>
    <xdr:sp>
      <xdr:nvSpPr>
        <xdr:cNvPr id="2" name="Line 10"/>
        <xdr:cNvSpPr>
          <a:spLocks/>
        </xdr:cNvSpPr>
      </xdr:nvSpPr>
      <xdr:spPr>
        <a:xfrm flipV="1">
          <a:off x="2971800" y="9686925"/>
          <a:ext cx="742950" cy="2667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31</xdr:row>
      <xdr:rowOff>9525</xdr:rowOff>
    </xdr:from>
    <xdr:to>
      <xdr:col>3</xdr:col>
      <xdr:colOff>314325</xdr:colOff>
      <xdr:row>32</xdr:row>
      <xdr:rowOff>66675</xdr:rowOff>
    </xdr:to>
    <xdr:sp>
      <xdr:nvSpPr>
        <xdr:cNvPr id="3" name="Oval 12"/>
        <xdr:cNvSpPr>
          <a:spLocks/>
        </xdr:cNvSpPr>
      </xdr:nvSpPr>
      <xdr:spPr>
        <a:xfrm>
          <a:off x="3267075" y="9496425"/>
          <a:ext cx="542925"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27</xdr:row>
      <xdr:rowOff>66675</xdr:rowOff>
    </xdr:from>
    <xdr:to>
      <xdr:col>3</xdr:col>
      <xdr:colOff>723900</xdr:colOff>
      <xdr:row>32</xdr:row>
      <xdr:rowOff>19050</xdr:rowOff>
    </xdr:to>
    <xdr:sp>
      <xdr:nvSpPr>
        <xdr:cNvPr id="4" name="Oval 12"/>
        <xdr:cNvSpPr>
          <a:spLocks/>
        </xdr:cNvSpPr>
      </xdr:nvSpPr>
      <xdr:spPr>
        <a:xfrm>
          <a:off x="2000250" y="8877300"/>
          <a:ext cx="2219325" cy="7905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31</xdr:row>
      <xdr:rowOff>104775</xdr:rowOff>
    </xdr:from>
    <xdr:to>
      <xdr:col>2</xdr:col>
      <xdr:colOff>552450</xdr:colOff>
      <xdr:row>57</xdr:row>
      <xdr:rowOff>66675</xdr:rowOff>
    </xdr:to>
    <xdr:sp>
      <xdr:nvSpPr>
        <xdr:cNvPr id="5" name="Line 10"/>
        <xdr:cNvSpPr>
          <a:spLocks/>
        </xdr:cNvSpPr>
      </xdr:nvSpPr>
      <xdr:spPr>
        <a:xfrm flipH="1" flipV="1">
          <a:off x="2447925" y="9591675"/>
          <a:ext cx="333375" cy="2562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62</xdr:row>
      <xdr:rowOff>123825</xdr:rowOff>
    </xdr:from>
    <xdr:to>
      <xdr:col>11</xdr:col>
      <xdr:colOff>114300</xdr:colOff>
      <xdr:row>86</xdr:row>
      <xdr:rowOff>152400</xdr:rowOff>
    </xdr:to>
    <xdr:graphicFrame>
      <xdr:nvGraphicFramePr>
        <xdr:cNvPr id="6" name="Chart 701"/>
        <xdr:cNvGraphicFramePr/>
      </xdr:nvGraphicFramePr>
      <xdr:xfrm>
        <a:off x="7058025" y="13020675"/>
        <a:ext cx="4400550" cy="398145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56</xdr:row>
      <xdr:rowOff>133350</xdr:rowOff>
    </xdr:from>
    <xdr:to>
      <xdr:col>9</xdr:col>
      <xdr:colOff>323850</xdr:colOff>
      <xdr:row>61</xdr:row>
      <xdr:rowOff>57150</xdr:rowOff>
    </xdr:to>
    <xdr:sp>
      <xdr:nvSpPr>
        <xdr:cNvPr id="7" name="Conector recto de flecha 2"/>
        <xdr:cNvSpPr>
          <a:spLocks/>
        </xdr:cNvSpPr>
      </xdr:nvSpPr>
      <xdr:spPr>
        <a:xfrm flipV="1">
          <a:off x="3495675" y="12058650"/>
          <a:ext cx="6619875" cy="7334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56</xdr:row>
      <xdr:rowOff>85725</xdr:rowOff>
    </xdr:from>
    <xdr:to>
      <xdr:col>8</xdr:col>
      <xdr:colOff>266700</xdr:colOff>
      <xdr:row>62</xdr:row>
      <xdr:rowOff>76200</xdr:rowOff>
    </xdr:to>
    <xdr:sp>
      <xdr:nvSpPr>
        <xdr:cNvPr id="8" name="Conector recto de flecha 4"/>
        <xdr:cNvSpPr>
          <a:spLocks/>
        </xdr:cNvSpPr>
      </xdr:nvSpPr>
      <xdr:spPr>
        <a:xfrm flipV="1">
          <a:off x="3495675" y="12011025"/>
          <a:ext cx="5638800" cy="9620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733425</xdr:colOff>
      <xdr:row>115</xdr:row>
      <xdr:rowOff>133350</xdr:rowOff>
    </xdr:from>
    <xdr:to>
      <xdr:col>11</xdr:col>
      <xdr:colOff>600075</xdr:colOff>
      <xdr:row>122</xdr:row>
      <xdr:rowOff>38100</xdr:rowOff>
    </xdr:to>
    <xdr:sp>
      <xdr:nvSpPr>
        <xdr:cNvPr id="9" name="Elipse 9"/>
        <xdr:cNvSpPr>
          <a:spLocks/>
        </xdr:cNvSpPr>
      </xdr:nvSpPr>
      <xdr:spPr>
        <a:xfrm>
          <a:off x="7600950" y="21812250"/>
          <a:ext cx="4343400" cy="11239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21</xdr:row>
      <xdr:rowOff>76200</xdr:rowOff>
    </xdr:from>
    <xdr:to>
      <xdr:col>6</xdr:col>
      <xdr:colOff>314325</xdr:colOff>
      <xdr:row>32</xdr:row>
      <xdr:rowOff>38100</xdr:rowOff>
    </xdr:to>
    <xdr:sp>
      <xdr:nvSpPr>
        <xdr:cNvPr id="1" name="Line 8"/>
        <xdr:cNvSpPr>
          <a:spLocks/>
        </xdr:cNvSpPr>
      </xdr:nvSpPr>
      <xdr:spPr>
        <a:xfrm flipH="1">
          <a:off x="3181350" y="4781550"/>
          <a:ext cx="3876675" cy="1847850"/>
        </a:xfrm>
        <a:prstGeom prst="line">
          <a:avLst/>
        </a:prstGeom>
        <a:noFill/>
        <a:ln w="9525" cmpd="sng">
          <a:solidFill>
            <a:srgbClr val="CC0099"/>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1171575</xdr:colOff>
      <xdr:row>21</xdr:row>
      <xdr:rowOff>95250</xdr:rowOff>
    </xdr:from>
    <xdr:to>
      <xdr:col>7</xdr:col>
      <xdr:colOff>304800</xdr:colOff>
      <xdr:row>33</xdr:row>
      <xdr:rowOff>104775</xdr:rowOff>
    </xdr:to>
    <xdr:sp>
      <xdr:nvSpPr>
        <xdr:cNvPr id="2" name="Line 8"/>
        <xdr:cNvSpPr>
          <a:spLocks/>
        </xdr:cNvSpPr>
      </xdr:nvSpPr>
      <xdr:spPr>
        <a:xfrm flipH="1">
          <a:off x="3086100" y="4800600"/>
          <a:ext cx="5000625" cy="20574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48</xdr:row>
      <xdr:rowOff>114300</xdr:rowOff>
    </xdr:from>
    <xdr:to>
      <xdr:col>3</xdr:col>
      <xdr:colOff>133350</xdr:colOff>
      <xdr:row>51</xdr:row>
      <xdr:rowOff>85725</xdr:rowOff>
    </xdr:to>
    <xdr:sp>
      <xdr:nvSpPr>
        <xdr:cNvPr id="3" name="Line 8"/>
        <xdr:cNvSpPr>
          <a:spLocks/>
        </xdr:cNvSpPr>
      </xdr:nvSpPr>
      <xdr:spPr>
        <a:xfrm>
          <a:off x="3343275" y="9782175"/>
          <a:ext cx="9525" cy="762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1647825</xdr:colOff>
      <xdr:row>11</xdr:row>
      <xdr:rowOff>352425</xdr:rowOff>
    </xdr:from>
    <xdr:to>
      <xdr:col>2</xdr:col>
      <xdr:colOff>857250</xdr:colOff>
      <xdr:row>17</xdr:row>
      <xdr:rowOff>57150</xdr:rowOff>
    </xdr:to>
    <xdr:sp>
      <xdr:nvSpPr>
        <xdr:cNvPr id="4" name="Line 8"/>
        <xdr:cNvSpPr>
          <a:spLocks/>
        </xdr:cNvSpPr>
      </xdr:nvSpPr>
      <xdr:spPr>
        <a:xfrm>
          <a:off x="1752600" y="3000375"/>
          <a:ext cx="1019175" cy="11049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1190625</xdr:colOff>
      <xdr:row>11</xdr:row>
      <xdr:rowOff>352425</xdr:rowOff>
    </xdr:from>
    <xdr:to>
      <xdr:col>3</xdr:col>
      <xdr:colOff>476250</xdr:colOff>
      <xdr:row>16</xdr:row>
      <xdr:rowOff>19050</xdr:rowOff>
    </xdr:to>
    <xdr:sp>
      <xdr:nvSpPr>
        <xdr:cNvPr id="5" name="Line 8"/>
        <xdr:cNvSpPr>
          <a:spLocks/>
        </xdr:cNvSpPr>
      </xdr:nvSpPr>
      <xdr:spPr>
        <a:xfrm flipH="1">
          <a:off x="3105150" y="3000375"/>
          <a:ext cx="590550" cy="904875"/>
        </a:xfrm>
        <a:prstGeom prst="line">
          <a:avLst/>
        </a:prstGeom>
        <a:noFill/>
        <a:ln w="9525" cmpd="sng">
          <a:solidFill>
            <a:srgbClr val="CC0099"/>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1200150</xdr:colOff>
      <xdr:row>20</xdr:row>
      <xdr:rowOff>152400</xdr:rowOff>
    </xdr:from>
    <xdr:to>
      <xdr:col>5</xdr:col>
      <xdr:colOff>400050</xdr:colOff>
      <xdr:row>31</xdr:row>
      <xdr:rowOff>38100</xdr:rowOff>
    </xdr:to>
    <xdr:sp>
      <xdr:nvSpPr>
        <xdr:cNvPr id="6" name="Line 8"/>
        <xdr:cNvSpPr>
          <a:spLocks/>
        </xdr:cNvSpPr>
      </xdr:nvSpPr>
      <xdr:spPr>
        <a:xfrm flipH="1">
          <a:off x="3114675" y="4695825"/>
          <a:ext cx="2914650" cy="1762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92</xdr:row>
      <xdr:rowOff>38100</xdr:rowOff>
    </xdr:from>
    <xdr:to>
      <xdr:col>10</xdr:col>
      <xdr:colOff>219075</xdr:colOff>
      <xdr:row>103</xdr:row>
      <xdr:rowOff>104775</xdr:rowOff>
    </xdr:to>
    <xdr:graphicFrame>
      <xdr:nvGraphicFramePr>
        <xdr:cNvPr id="7" name="Gráfico 3"/>
        <xdr:cNvGraphicFramePr/>
      </xdr:nvGraphicFramePr>
      <xdr:xfrm>
        <a:off x="7067550" y="18145125"/>
        <a:ext cx="3752850" cy="1847850"/>
      </xdr:xfrm>
      <a:graphic>
        <a:graphicData uri="http://schemas.openxmlformats.org/drawingml/2006/chart">
          <c:chart xmlns:c="http://schemas.openxmlformats.org/drawingml/2006/chart" r:id="rId1"/>
        </a:graphicData>
      </a:graphic>
    </xdr:graphicFrame>
    <xdr:clientData/>
  </xdr:twoCellAnchor>
  <xdr:twoCellAnchor>
    <xdr:from>
      <xdr:col>6</xdr:col>
      <xdr:colOff>304800</xdr:colOff>
      <xdr:row>81</xdr:row>
      <xdr:rowOff>9525</xdr:rowOff>
    </xdr:from>
    <xdr:to>
      <xdr:col>10</xdr:col>
      <xdr:colOff>247650</xdr:colOff>
      <xdr:row>91</xdr:row>
      <xdr:rowOff>123825</xdr:rowOff>
    </xdr:to>
    <xdr:graphicFrame>
      <xdr:nvGraphicFramePr>
        <xdr:cNvPr id="8" name="Gráfico 4"/>
        <xdr:cNvGraphicFramePr/>
      </xdr:nvGraphicFramePr>
      <xdr:xfrm>
        <a:off x="7048500" y="16335375"/>
        <a:ext cx="3800475" cy="1733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N59"/>
  <sheetViews>
    <sheetView tabSelected="1" zoomScalePageLayoutView="0" workbookViewId="0" topLeftCell="A1">
      <selection activeCell="A1" sqref="A1"/>
    </sheetView>
  </sheetViews>
  <sheetFormatPr defaultColWidth="11.421875" defaultRowHeight="12.75"/>
  <cols>
    <col min="1" max="1" width="1.57421875" style="1" customWidth="1"/>
    <col min="2" max="2" width="13.57421875" style="1" customWidth="1"/>
    <col min="3" max="3" width="19.57421875" style="1" customWidth="1"/>
    <col min="4" max="4" width="17.8515625" style="1" customWidth="1"/>
    <col min="5" max="5" width="17.28125" style="1" customWidth="1"/>
    <col min="6" max="6" width="16.7109375" style="1" customWidth="1"/>
    <col min="7" max="7" width="19.00390625" style="1" customWidth="1"/>
    <col min="8" max="8" width="18.140625" style="1" customWidth="1"/>
    <col min="9" max="9" width="11.8515625" style="1" customWidth="1"/>
    <col min="10" max="10" width="9.140625" style="1" customWidth="1"/>
    <col min="11" max="11" width="15.421875" style="1" customWidth="1"/>
    <col min="12" max="12" width="12.140625" style="1" bestFit="1" customWidth="1"/>
    <col min="13" max="13" width="11.57421875" style="1" bestFit="1" customWidth="1"/>
    <col min="14" max="15" width="11.421875" style="1" customWidth="1"/>
    <col min="16" max="18" width="12.7109375" style="1" bestFit="1" customWidth="1"/>
    <col min="19" max="19" width="13.421875" style="1" customWidth="1"/>
    <col min="20" max="20" width="11.421875" style="1" customWidth="1"/>
    <col min="21" max="22" width="12.7109375" style="1" bestFit="1" customWidth="1"/>
    <col min="23" max="23" width="11.57421875" style="1" bestFit="1" customWidth="1"/>
    <col min="24" max="16384" width="11.421875" style="1" customWidth="1"/>
  </cols>
  <sheetData>
    <row r="1" ht="13.5" thickBot="1"/>
    <row r="2" spans="2:9" ht="13.5" thickBot="1">
      <c r="B2" s="2"/>
      <c r="C2" s="3"/>
      <c r="D2" s="3"/>
      <c r="E2" s="3"/>
      <c r="F2" s="4"/>
      <c r="G2" s="3"/>
      <c r="H2" s="5"/>
      <c r="I2" s="6"/>
    </row>
    <row r="3" spans="2:9" ht="13.5" thickBot="1">
      <c r="B3" s="7"/>
      <c r="C3" s="8"/>
      <c r="D3" s="519" t="s">
        <v>79</v>
      </c>
      <c r="E3" s="520"/>
      <c r="F3" s="8"/>
      <c r="G3" s="9"/>
      <c r="H3" s="10"/>
      <c r="I3" s="11"/>
    </row>
    <row r="4" spans="2:9" ht="13.5" customHeight="1" thickBot="1">
      <c r="B4" s="7"/>
      <c r="C4" s="12"/>
      <c r="D4" s="13" t="s">
        <v>77</v>
      </c>
      <c r="E4" s="14" t="s">
        <v>78</v>
      </c>
      <c r="F4" s="15" t="s">
        <v>0</v>
      </c>
      <c r="H4" s="531" t="s">
        <v>203</v>
      </c>
      <c r="I4" s="532"/>
    </row>
    <row r="5" spans="2:9" ht="12.75" customHeight="1">
      <c r="B5" s="524" t="s">
        <v>94</v>
      </c>
      <c r="C5" s="503" t="s">
        <v>95</v>
      </c>
      <c r="D5" s="16" t="s">
        <v>80</v>
      </c>
      <c r="E5" s="17" t="s">
        <v>81</v>
      </c>
      <c r="F5" s="18" t="s">
        <v>84</v>
      </c>
      <c r="G5" s="19" t="s">
        <v>93</v>
      </c>
      <c r="H5" s="505" t="s">
        <v>98</v>
      </c>
      <c r="I5" s="506"/>
    </row>
    <row r="6" spans="2:9" ht="51.75" thickBot="1">
      <c r="B6" s="525"/>
      <c r="C6" s="504"/>
      <c r="D6" s="20" t="s">
        <v>112</v>
      </c>
      <c r="E6" s="21" t="s">
        <v>113</v>
      </c>
      <c r="F6" s="22"/>
      <c r="G6" s="23" t="s">
        <v>91</v>
      </c>
      <c r="H6" s="507"/>
      <c r="I6" s="508"/>
    </row>
    <row r="7" spans="2:9" ht="12.75">
      <c r="B7" s="525"/>
      <c r="C7" s="503" t="s">
        <v>96</v>
      </c>
      <c r="D7" s="17" t="s">
        <v>82</v>
      </c>
      <c r="E7" s="16" t="s">
        <v>83</v>
      </c>
      <c r="F7" s="18" t="s">
        <v>85</v>
      </c>
      <c r="G7" s="19" t="s">
        <v>55</v>
      </c>
      <c r="H7" s="507"/>
      <c r="I7" s="508"/>
    </row>
    <row r="8" spans="2:9" ht="53.25" customHeight="1" thickBot="1">
      <c r="B8" s="526"/>
      <c r="C8" s="504"/>
      <c r="D8" s="21" t="s">
        <v>114</v>
      </c>
      <c r="E8" s="20" t="s">
        <v>115</v>
      </c>
      <c r="F8" s="22"/>
      <c r="G8" s="23" t="s">
        <v>92</v>
      </c>
      <c r="H8" s="509"/>
      <c r="I8" s="510"/>
    </row>
    <row r="9" spans="2:9" ht="12.75">
      <c r="B9" s="7"/>
      <c r="C9" s="515" t="s">
        <v>0</v>
      </c>
      <c r="D9" s="18" t="s">
        <v>87</v>
      </c>
      <c r="E9" s="18" t="s">
        <v>88</v>
      </c>
      <c r="F9" s="517" t="s">
        <v>86</v>
      </c>
      <c r="I9" s="11"/>
    </row>
    <row r="10" spans="2:9" ht="26.25" thickBot="1">
      <c r="B10" s="7"/>
      <c r="C10" s="516"/>
      <c r="D10" s="14" t="s">
        <v>97</v>
      </c>
      <c r="E10" s="14" t="s">
        <v>99</v>
      </c>
      <c r="F10" s="518"/>
      <c r="I10" s="11"/>
    </row>
    <row r="11" spans="2:9" ht="12.75">
      <c r="B11" s="7"/>
      <c r="D11" s="24" t="s">
        <v>5</v>
      </c>
      <c r="E11" s="25" t="s">
        <v>6</v>
      </c>
      <c r="I11" s="11"/>
    </row>
    <row r="12" spans="2:10" ht="13.5" thickBot="1">
      <c r="B12" s="26"/>
      <c r="C12" s="27"/>
      <c r="D12" s="28" t="s">
        <v>89</v>
      </c>
      <c r="E12" s="29" t="s">
        <v>90</v>
      </c>
      <c r="I12" s="11"/>
      <c r="J12" s="30"/>
    </row>
    <row r="13" spans="2:9" ht="13.5" thickBot="1">
      <c r="B13" s="31"/>
      <c r="C13" s="32" t="s">
        <v>105</v>
      </c>
      <c r="D13" s="33" t="s">
        <v>104</v>
      </c>
      <c r="E13" s="34" t="s">
        <v>106</v>
      </c>
      <c r="F13" s="35" t="s">
        <v>218</v>
      </c>
      <c r="G13" s="36"/>
      <c r="H13" s="36"/>
      <c r="I13" s="37"/>
    </row>
    <row r="14" ht="13.5" thickBot="1">
      <c r="K14" s="38" t="s">
        <v>47</v>
      </c>
    </row>
    <row r="15" spans="2:11" ht="13.5" thickBot="1">
      <c r="B15" s="31" t="s">
        <v>48</v>
      </c>
      <c r="C15" s="39"/>
      <c r="D15" s="40"/>
      <c r="E15" s="40"/>
      <c r="F15" s="41"/>
      <c r="G15" s="40"/>
      <c r="H15" s="36"/>
      <c r="I15" s="37"/>
      <c r="K15" s="38" t="s">
        <v>49</v>
      </c>
    </row>
    <row r="16" spans="2:11" ht="12.75" customHeight="1" thickBot="1">
      <c r="B16" s="2"/>
      <c r="C16" s="493"/>
      <c r="D16" s="519" t="s">
        <v>39</v>
      </c>
      <c r="E16" s="520"/>
      <c r="F16" s="417"/>
      <c r="G16" s="418"/>
      <c r="H16" s="419"/>
      <c r="I16" s="6"/>
      <c r="K16" s="38" t="s">
        <v>50</v>
      </c>
    </row>
    <row r="17" spans="2:11" ht="51.75" thickBot="1">
      <c r="B17" s="7"/>
      <c r="C17" s="12"/>
      <c r="D17" s="13" t="s">
        <v>51</v>
      </c>
      <c r="E17" s="415" t="s">
        <v>52</v>
      </c>
      <c r="F17" s="15" t="s">
        <v>0</v>
      </c>
      <c r="H17" s="521"/>
      <c r="I17" s="522"/>
      <c r="J17" s="42"/>
      <c r="K17" s="42"/>
    </row>
    <row r="18" spans="2:11" ht="12.75" customHeight="1">
      <c r="B18" s="511" t="s">
        <v>40</v>
      </c>
      <c r="C18" s="527" t="s">
        <v>53</v>
      </c>
      <c r="D18" s="43">
        <v>285</v>
      </c>
      <c r="E18" s="44">
        <v>12</v>
      </c>
      <c r="F18" s="45">
        <f>D18+E18</f>
        <v>297</v>
      </c>
      <c r="G18" s="46" t="s">
        <v>93</v>
      </c>
      <c r="H18" s="499" t="s">
        <v>102</v>
      </c>
      <c r="I18" s="500"/>
      <c r="J18" s="47"/>
      <c r="K18" s="42"/>
    </row>
    <row r="19" spans="2:10" ht="51.75" thickBot="1">
      <c r="B19" s="512"/>
      <c r="C19" s="528"/>
      <c r="D19" s="20" t="s">
        <v>112</v>
      </c>
      <c r="E19" s="48" t="s">
        <v>113</v>
      </c>
      <c r="F19" s="414" t="s">
        <v>1</v>
      </c>
      <c r="G19" s="50">
        <f>D18/F18</f>
        <v>0.9595959595959596</v>
      </c>
      <c r="H19" s="501"/>
      <c r="I19" s="502"/>
      <c r="J19" s="51"/>
    </row>
    <row r="20" spans="2:10" ht="12.75" customHeight="1">
      <c r="B20" s="512"/>
      <c r="C20" s="527" t="s">
        <v>54</v>
      </c>
      <c r="D20" s="52">
        <v>61</v>
      </c>
      <c r="E20" s="53">
        <v>706</v>
      </c>
      <c r="F20" s="45">
        <f>D20+E20</f>
        <v>767</v>
      </c>
      <c r="G20" s="2" t="s">
        <v>55</v>
      </c>
      <c r="H20" s="499" t="s">
        <v>101</v>
      </c>
      <c r="I20" s="500"/>
      <c r="J20" s="54"/>
    </row>
    <row r="21" spans="2:11" ht="51.75" thickBot="1">
      <c r="B21" s="513"/>
      <c r="C21" s="528"/>
      <c r="D21" s="21" t="s">
        <v>114</v>
      </c>
      <c r="E21" s="55" t="s">
        <v>115</v>
      </c>
      <c r="F21" s="414" t="s">
        <v>2</v>
      </c>
      <c r="G21" s="56">
        <f>E20/F20</f>
        <v>0.9204693611473272</v>
      </c>
      <c r="H21" s="501"/>
      <c r="I21" s="502"/>
      <c r="J21" s="54"/>
      <c r="K21" s="484"/>
    </row>
    <row r="22" spans="2:9" ht="12.75">
      <c r="B22" s="7"/>
      <c r="C22" s="527" t="s">
        <v>0</v>
      </c>
      <c r="D22" s="18">
        <f>D18+D20</f>
        <v>346</v>
      </c>
      <c r="E22" s="57">
        <f>E18+E20</f>
        <v>718</v>
      </c>
      <c r="F22" s="529">
        <f>F18+F20</f>
        <v>1064</v>
      </c>
      <c r="I22" s="11"/>
    </row>
    <row r="23" spans="2:12" ht="26.25" thickBot="1">
      <c r="B23" s="7"/>
      <c r="C23" s="528"/>
      <c r="D23" s="416" t="s">
        <v>4</v>
      </c>
      <c r="E23" s="415" t="s">
        <v>3</v>
      </c>
      <c r="F23" s="530"/>
      <c r="I23" s="11"/>
      <c r="K23" s="485"/>
      <c r="L23" s="30"/>
    </row>
    <row r="24" spans="2:9" ht="12.75">
      <c r="B24" s="7"/>
      <c r="D24" s="58" t="s">
        <v>5</v>
      </c>
      <c r="E24" s="59" t="s">
        <v>6</v>
      </c>
      <c r="F24" s="533" t="s">
        <v>110</v>
      </c>
      <c r="G24" s="534"/>
      <c r="H24" s="534"/>
      <c r="I24" s="535"/>
    </row>
    <row r="25" spans="2:11" ht="13.5" thickBot="1">
      <c r="B25" s="7"/>
      <c r="D25" s="28">
        <f>D18/D22</f>
        <v>0.8236994219653179</v>
      </c>
      <c r="E25" s="60">
        <f>E20/E22</f>
        <v>0.9832869080779945</v>
      </c>
      <c r="F25" s="533"/>
      <c r="G25" s="534"/>
      <c r="H25" s="534"/>
      <c r="I25" s="535"/>
      <c r="K25" s="485"/>
    </row>
    <row r="26" spans="2:11" ht="13.5" thickBot="1">
      <c r="B26" s="7"/>
      <c r="D26" s="61"/>
      <c r="E26" s="61"/>
      <c r="I26" s="11"/>
      <c r="K26" s="485"/>
    </row>
    <row r="27" spans="2:14" ht="18.75" customHeight="1" thickBot="1">
      <c r="B27" s="31"/>
      <c r="C27" s="305" t="s">
        <v>105</v>
      </c>
      <c r="D27" s="306">
        <f>D25/(1-E25)</f>
        <v>49.284682080924945</v>
      </c>
      <c r="E27" s="307">
        <f>(1-D25)/E25</f>
        <v>0.17929718842620646</v>
      </c>
      <c r="F27" s="308" t="s">
        <v>218</v>
      </c>
      <c r="G27" s="36"/>
      <c r="H27" s="36"/>
      <c r="I27" s="37"/>
      <c r="L27" s="489"/>
      <c r="N27" s="62"/>
    </row>
    <row r="28" spans="3:14" ht="18" customHeight="1">
      <c r="C28" s="63"/>
      <c r="D28" s="64"/>
      <c r="E28" s="65"/>
      <c r="F28" s="66"/>
      <c r="J28" s="486"/>
      <c r="K28" s="488"/>
      <c r="L28" s="488"/>
      <c r="N28" s="62"/>
    </row>
    <row r="29" spans="2:12" ht="12.75" customHeight="1">
      <c r="B29" s="67"/>
      <c r="E29" s="61"/>
      <c r="J29" s="486"/>
      <c r="K29" s="488"/>
      <c r="L29" s="488"/>
    </row>
    <row r="30" spans="2:12" ht="12.75" customHeight="1">
      <c r="B30" s="67"/>
      <c r="E30" s="61"/>
      <c r="J30" s="487"/>
      <c r="K30" s="488"/>
      <c r="L30" s="488"/>
    </row>
    <row r="31" spans="2:8" ht="15.75">
      <c r="B31" s="523" t="s">
        <v>204</v>
      </c>
      <c r="C31" s="523"/>
      <c r="D31" s="523"/>
      <c r="E31" s="523"/>
      <c r="F31" s="523"/>
      <c r="G31" s="523"/>
      <c r="H31" s="523"/>
    </row>
    <row r="32" spans="2:14" ht="7.5" customHeight="1">
      <c r="B32" s="68"/>
      <c r="C32" s="69"/>
      <c r="D32" s="70"/>
      <c r="E32" s="70"/>
      <c r="F32" s="71"/>
      <c r="G32" s="72"/>
      <c r="H32" s="72"/>
      <c r="I32" s="73"/>
      <c r="M32" s="514"/>
      <c r="N32" s="514"/>
    </row>
    <row r="33" spans="2:14" ht="19.5" thickBot="1">
      <c r="B33" s="74" t="s">
        <v>192</v>
      </c>
      <c r="C33" s="69"/>
      <c r="D33" s="70"/>
      <c r="E33" s="70"/>
      <c r="F33" s="71"/>
      <c r="G33" s="72"/>
      <c r="H33" s="72"/>
      <c r="I33" s="73"/>
      <c r="M33" s="75"/>
      <c r="N33" s="76"/>
    </row>
    <row r="34" spans="2:14" ht="15.75">
      <c r="B34" s="77" t="s">
        <v>193</v>
      </c>
      <c r="C34" s="78"/>
      <c r="D34" s="78"/>
      <c r="E34" s="79"/>
      <c r="F34" s="78"/>
      <c r="G34" s="78"/>
      <c r="H34" s="78"/>
      <c r="I34" s="80"/>
      <c r="L34" s="63"/>
      <c r="M34" s="81"/>
      <c r="N34" s="82"/>
    </row>
    <row r="35" spans="2:14" ht="15.75">
      <c r="B35" s="83" t="s">
        <v>205</v>
      </c>
      <c r="C35" s="84"/>
      <c r="D35" s="84"/>
      <c r="E35" s="85"/>
      <c r="F35" s="84"/>
      <c r="G35" s="84"/>
      <c r="H35" s="84"/>
      <c r="I35" s="86"/>
      <c r="J35" s="81"/>
      <c r="L35" s="63"/>
      <c r="M35" s="82"/>
      <c r="N35" s="81"/>
    </row>
    <row r="36" spans="2:9" ht="16.5" thickBot="1">
      <c r="B36" s="87" t="s">
        <v>56</v>
      </c>
      <c r="C36" s="88"/>
      <c r="D36" s="88"/>
      <c r="E36" s="89"/>
      <c r="F36" s="88"/>
      <c r="G36" s="88"/>
      <c r="H36" s="88"/>
      <c r="I36" s="90"/>
    </row>
    <row r="37" spans="2:9" ht="9.75" customHeight="1">
      <c r="B37" s="91"/>
      <c r="C37" s="68"/>
      <c r="D37" s="68"/>
      <c r="E37" s="92"/>
      <c r="F37" s="68"/>
      <c r="G37" s="68"/>
      <c r="H37" s="68"/>
      <c r="I37" s="93"/>
    </row>
    <row r="38" spans="2:8" ht="16.5" thickBot="1">
      <c r="B38" s="94" t="s">
        <v>194</v>
      </c>
      <c r="C38" s="68"/>
      <c r="D38" s="68"/>
      <c r="E38" s="92"/>
      <c r="F38" s="68"/>
      <c r="G38" s="68"/>
      <c r="H38" s="68"/>
    </row>
    <row r="39" spans="2:9" ht="15.75">
      <c r="B39" s="77" t="s">
        <v>195</v>
      </c>
      <c r="C39" s="78"/>
      <c r="D39" s="78"/>
      <c r="E39" s="79"/>
      <c r="F39" s="78"/>
      <c r="G39" s="78"/>
      <c r="H39" s="78"/>
      <c r="I39" s="6"/>
    </row>
    <row r="40" spans="2:9" ht="15.75">
      <c r="B40" s="83" t="s">
        <v>206</v>
      </c>
      <c r="C40" s="84"/>
      <c r="D40" s="84"/>
      <c r="E40" s="85"/>
      <c r="F40" s="84"/>
      <c r="G40" s="84"/>
      <c r="H40" s="84"/>
      <c r="I40" s="11"/>
    </row>
    <row r="41" spans="2:9" ht="16.5" thickBot="1">
      <c r="B41" s="87" t="s">
        <v>242</v>
      </c>
      <c r="C41" s="88"/>
      <c r="D41" s="88"/>
      <c r="E41" s="89"/>
      <c r="F41" s="88"/>
      <c r="G41" s="88"/>
      <c r="H41" s="88"/>
      <c r="I41" s="95"/>
    </row>
    <row r="42" spans="2:5" ht="15.75">
      <c r="B42" s="96"/>
      <c r="E42" s="61"/>
    </row>
    <row r="44" spans="2:9" ht="12.75">
      <c r="B44" s="97" t="s">
        <v>111</v>
      </c>
      <c r="C44" s="97"/>
      <c r="D44" s="97"/>
      <c r="E44" s="97"/>
      <c r="F44" s="97"/>
      <c r="G44" s="97"/>
      <c r="H44" s="97"/>
      <c r="I44" s="98"/>
    </row>
    <row r="45" spans="2:7" ht="13.5" thickBot="1">
      <c r="B45" s="1" t="s">
        <v>107</v>
      </c>
      <c r="D45" s="62"/>
      <c r="F45" s="478">
        <f>D25/(1-E25)</f>
        <v>49.284682080924945</v>
      </c>
      <c r="G45" s="1" t="s">
        <v>134</v>
      </c>
    </row>
    <row r="46" spans="2:7" ht="13.5" thickBot="1">
      <c r="B46" s="1" t="s">
        <v>108</v>
      </c>
      <c r="D46" s="62"/>
      <c r="F46" s="479">
        <f>(1-D25)/E25</f>
        <v>0.17929718842620646</v>
      </c>
      <c r="G46" s="1" t="s">
        <v>147</v>
      </c>
    </row>
    <row r="47" spans="2:4" ht="12.75">
      <c r="B47" s="68" t="s">
        <v>123</v>
      </c>
      <c r="D47" s="62"/>
    </row>
    <row r="48" spans="2:4" ht="12.75">
      <c r="B48" s="68" t="s">
        <v>57</v>
      </c>
      <c r="D48" s="62"/>
    </row>
    <row r="49" ht="12.75">
      <c r="B49" s="68" t="s">
        <v>122</v>
      </c>
    </row>
    <row r="50" spans="2:10" ht="12.75">
      <c r="B50" s="68" t="s">
        <v>119</v>
      </c>
      <c r="J50" s="99"/>
    </row>
    <row r="51" spans="2:10" ht="13.5" thickBot="1">
      <c r="B51" s="100"/>
      <c r="J51" s="99"/>
    </row>
    <row r="52" spans="2:10" ht="15" customHeight="1">
      <c r="B52" s="475" t="s">
        <v>135</v>
      </c>
      <c r="C52" s="101"/>
      <c r="D52" s="101"/>
      <c r="E52" s="101"/>
      <c r="F52" s="101"/>
      <c r="G52" s="101"/>
      <c r="H52" s="101"/>
      <c r="I52" s="102"/>
      <c r="J52" s="99"/>
    </row>
    <row r="53" spans="2:10" ht="15" customHeight="1">
      <c r="B53" s="476" t="s">
        <v>120</v>
      </c>
      <c r="C53" s="103"/>
      <c r="D53" s="103"/>
      <c r="E53" s="103"/>
      <c r="F53" s="103"/>
      <c r="G53" s="103"/>
      <c r="H53" s="103"/>
      <c r="I53" s="104"/>
      <c r="J53" s="99"/>
    </row>
    <row r="54" spans="2:10" ht="17.25" customHeight="1" thickBot="1">
      <c r="B54" s="477" t="s">
        <v>121</v>
      </c>
      <c r="C54" s="105"/>
      <c r="D54" s="105"/>
      <c r="E54" s="105"/>
      <c r="F54" s="105"/>
      <c r="G54" s="105"/>
      <c r="H54" s="105"/>
      <c r="I54" s="106"/>
      <c r="J54" s="99"/>
    </row>
    <row r="55" spans="2:10" ht="12.75">
      <c r="B55" s="42" t="s">
        <v>100</v>
      </c>
      <c r="J55" s="99"/>
    </row>
    <row r="56" spans="2:11" ht="12.75">
      <c r="B56" s="42" t="s">
        <v>58</v>
      </c>
      <c r="J56" s="99"/>
      <c r="K56" s="98"/>
    </row>
    <row r="58" ht="12.75">
      <c r="B58" s="1" t="s">
        <v>310</v>
      </c>
    </row>
    <row r="59" ht="12.75">
      <c r="K59" s="30"/>
    </row>
  </sheetData>
  <sheetProtection/>
  <mergeCells count="20">
    <mergeCell ref="B31:H31"/>
    <mergeCell ref="B5:B8"/>
    <mergeCell ref="C22:C23"/>
    <mergeCell ref="F22:F23"/>
    <mergeCell ref="C20:C21"/>
    <mergeCell ref="D3:E3"/>
    <mergeCell ref="H4:I4"/>
    <mergeCell ref="F24:I25"/>
    <mergeCell ref="C5:C6"/>
    <mergeCell ref="C18:C19"/>
    <mergeCell ref="H18:I19"/>
    <mergeCell ref="C7:C8"/>
    <mergeCell ref="H5:I8"/>
    <mergeCell ref="B18:B21"/>
    <mergeCell ref="H20:I21"/>
    <mergeCell ref="M32:N32"/>
    <mergeCell ref="C9:C10"/>
    <mergeCell ref="F9:F10"/>
    <mergeCell ref="D16:E16"/>
    <mergeCell ref="H17:I1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Q282"/>
  <sheetViews>
    <sheetView zoomScalePageLayoutView="0" workbookViewId="0" topLeftCell="A1">
      <selection activeCell="A1" sqref="A1"/>
    </sheetView>
  </sheetViews>
  <sheetFormatPr defaultColWidth="11.421875" defaultRowHeight="12.75"/>
  <cols>
    <col min="1" max="1" width="1.57421875" style="1" customWidth="1"/>
    <col min="2" max="2" width="17.57421875" style="1" customWidth="1"/>
    <col min="3" max="3" width="19.57421875" style="1" customWidth="1"/>
    <col min="4" max="4" width="19.7109375" style="1" customWidth="1"/>
    <col min="5" max="5" width="18.8515625" style="1" customWidth="1"/>
    <col min="6" max="6" width="19.28125" style="1" customWidth="1"/>
    <col min="7" max="7" width="21.00390625" style="1" customWidth="1"/>
    <col min="8" max="8" width="18.140625" style="1" customWidth="1"/>
    <col min="9" max="9" width="11.8515625" style="1" customWidth="1"/>
    <col min="10" max="10" width="13.8515625" style="1" customWidth="1"/>
    <col min="11" max="11" width="15.421875" style="1" customWidth="1"/>
    <col min="12" max="12" width="12.140625" style="1" bestFit="1" customWidth="1"/>
    <col min="13" max="13" width="11.57421875" style="1" bestFit="1" customWidth="1"/>
    <col min="14" max="15" width="11.421875" style="1" customWidth="1"/>
    <col min="16" max="18" width="12.7109375" style="1" bestFit="1" customWidth="1"/>
    <col min="19" max="19" width="13.421875" style="1" customWidth="1"/>
    <col min="20" max="20" width="11.421875" style="1" customWidth="1"/>
    <col min="21" max="22" width="12.7109375" style="1" bestFit="1" customWidth="1"/>
    <col min="23" max="23" width="11.57421875" style="1" bestFit="1" customWidth="1"/>
    <col min="24" max="16384" width="11.421875" style="1" customWidth="1"/>
  </cols>
  <sheetData>
    <row r="2" ht="12.75">
      <c r="B2" s="1" t="s">
        <v>70</v>
      </c>
    </row>
    <row r="3" ht="12.75">
      <c r="B3" s="1" t="s">
        <v>71</v>
      </c>
    </row>
    <row r="4" ht="12.75">
      <c r="B4" s="68" t="s">
        <v>41</v>
      </c>
    </row>
    <row r="5" spans="2:11" ht="15">
      <c r="B5" s="68" t="s">
        <v>42</v>
      </c>
      <c r="H5" s="192" t="s">
        <v>219</v>
      </c>
      <c r="J5" s="243"/>
      <c r="K5" s="243"/>
    </row>
    <row r="6" spans="2:12" ht="12.75">
      <c r="B6" s="68" t="s">
        <v>43</v>
      </c>
      <c r="I6" s="99"/>
      <c r="J6" s="244"/>
      <c r="K6" s="99"/>
      <c r="L6" s="245"/>
    </row>
    <row r="7" ht="13.5" thickBot="1"/>
    <row r="8" spans="2:9" ht="21.75" customHeight="1" thickBot="1">
      <c r="B8" s="583" t="s">
        <v>316</v>
      </c>
      <c r="C8" s="584"/>
      <c r="D8" s="584"/>
      <c r="E8" s="584"/>
      <c r="F8" s="584"/>
      <c r="G8" s="584"/>
      <c r="H8" s="584"/>
      <c r="I8" s="585"/>
    </row>
    <row r="9" spans="2:9" ht="13.5" thickBot="1">
      <c r="B9" s="312" t="s">
        <v>9</v>
      </c>
      <c r="C9" s="313"/>
      <c r="D9" s="536" t="s">
        <v>39</v>
      </c>
      <c r="E9" s="537"/>
      <c r="F9" s="8"/>
      <c r="G9" s="243"/>
      <c r="H9" s="243"/>
      <c r="I9" s="11"/>
    </row>
    <row r="10" spans="2:11" ht="12.75">
      <c r="B10" s="312" t="s">
        <v>10</v>
      </c>
      <c r="C10" s="314"/>
      <c r="D10" s="202" t="s">
        <v>44</v>
      </c>
      <c r="E10" s="202" t="s">
        <v>45</v>
      </c>
      <c r="F10" s="309" t="s">
        <v>0</v>
      </c>
      <c r="G10" s="9"/>
      <c r="H10" s="10"/>
      <c r="I10" s="315"/>
      <c r="K10" s="98"/>
    </row>
    <row r="11" spans="2:9" ht="12.75">
      <c r="B11" s="312" t="s">
        <v>11</v>
      </c>
      <c r="C11" s="314"/>
      <c r="D11" s="45">
        <f>C9*C10</f>
        <v>0</v>
      </c>
      <c r="E11" s="45">
        <f>C9-D11</f>
        <v>0</v>
      </c>
      <c r="F11" s="109"/>
      <c r="I11" s="11"/>
    </row>
    <row r="12" spans="2:9" ht="13.5" thickBot="1">
      <c r="B12" s="312" t="s">
        <v>12</v>
      </c>
      <c r="C12" s="314"/>
      <c r="D12" s="316"/>
      <c r="E12" s="316"/>
      <c r="F12" s="310"/>
      <c r="I12" s="11"/>
    </row>
    <row r="13" spans="2:9" ht="12.75" customHeight="1">
      <c r="B13" s="538" t="s">
        <v>40</v>
      </c>
      <c r="C13" s="527" t="s">
        <v>7</v>
      </c>
      <c r="D13" s="16">
        <f>D11*D20</f>
        <v>0</v>
      </c>
      <c r="E13" s="17">
        <f>E11-E15</f>
        <v>0</v>
      </c>
      <c r="F13" s="317">
        <f>SUM(D13:E13)</f>
        <v>0</v>
      </c>
      <c r="G13" s="46" t="s">
        <v>93</v>
      </c>
      <c r="H13" s="541" t="s">
        <v>102</v>
      </c>
      <c r="I13" s="542"/>
    </row>
    <row r="14" spans="2:9" ht="51.75" thickBot="1">
      <c r="B14" s="539"/>
      <c r="C14" s="528"/>
      <c r="D14" s="20" t="s">
        <v>112</v>
      </c>
      <c r="E14" s="21" t="s">
        <v>113</v>
      </c>
      <c r="F14" s="318" t="s">
        <v>1</v>
      </c>
      <c r="G14" s="319" t="e">
        <f>D13/F13</f>
        <v>#DIV/0!</v>
      </c>
      <c r="H14" s="543"/>
      <c r="I14" s="544"/>
    </row>
    <row r="15" spans="2:9" ht="12.75" customHeight="1">
      <c r="B15" s="539"/>
      <c r="C15" s="527" t="s">
        <v>8</v>
      </c>
      <c r="D15" s="320">
        <f>D11-D13</f>
        <v>0</v>
      </c>
      <c r="E15" s="321">
        <f>E11*E20</f>
        <v>0</v>
      </c>
      <c r="F15" s="317">
        <f>SUM(D15:E15)</f>
        <v>0</v>
      </c>
      <c r="G15" s="46" t="s">
        <v>55</v>
      </c>
      <c r="H15" s="541" t="s">
        <v>101</v>
      </c>
      <c r="I15" s="542"/>
    </row>
    <row r="16" spans="2:17" ht="64.5" customHeight="1" thickBot="1">
      <c r="B16" s="540"/>
      <c r="C16" s="528"/>
      <c r="D16" s="21" t="s">
        <v>114</v>
      </c>
      <c r="E16" s="20" t="s">
        <v>115</v>
      </c>
      <c r="F16" s="318" t="s">
        <v>2</v>
      </c>
      <c r="G16" s="322" t="e">
        <f>E15/F15</f>
        <v>#DIV/0!</v>
      </c>
      <c r="H16" s="543"/>
      <c r="I16" s="544"/>
      <c r="K16" s="545" t="s">
        <v>220</v>
      </c>
      <c r="L16" s="546"/>
      <c r="M16" s="546"/>
      <c r="N16" s="546"/>
      <c r="O16" s="546"/>
      <c r="P16" s="546"/>
      <c r="Q16" s="547"/>
    </row>
    <row r="17" spans="2:9" ht="12.75">
      <c r="B17" s="7"/>
      <c r="C17" s="548" t="s">
        <v>0</v>
      </c>
      <c r="D17" s="18">
        <f>D13+D15</f>
        <v>0</v>
      </c>
      <c r="E17" s="18">
        <f>E13+E15</f>
        <v>0</v>
      </c>
      <c r="F17" s="549">
        <f>F13+F15</f>
        <v>0</v>
      </c>
      <c r="I17" s="11"/>
    </row>
    <row r="18" spans="2:9" ht="26.25" thickBot="1">
      <c r="B18" s="7"/>
      <c r="C18" s="516"/>
      <c r="D18" s="14" t="s">
        <v>4</v>
      </c>
      <c r="E18" s="14" t="s">
        <v>3</v>
      </c>
      <c r="F18" s="518"/>
      <c r="I18" s="11"/>
    </row>
    <row r="19" spans="2:13" ht="12.75" customHeight="1">
      <c r="B19" s="7"/>
      <c r="D19" s="58" t="s">
        <v>5</v>
      </c>
      <c r="E19" s="58" t="s">
        <v>6</v>
      </c>
      <c r="F19" s="550" t="s">
        <v>139</v>
      </c>
      <c r="G19" s="551"/>
      <c r="H19" s="551"/>
      <c r="I19" s="552"/>
      <c r="M19" s="489"/>
    </row>
    <row r="20" spans="2:13" ht="13.5" thickBot="1">
      <c r="B20" s="7"/>
      <c r="D20" s="28">
        <f>C11</f>
        <v>0</v>
      </c>
      <c r="E20" s="323">
        <f>C12</f>
        <v>0</v>
      </c>
      <c r="F20" s="553"/>
      <c r="G20" s="554"/>
      <c r="H20" s="554"/>
      <c r="I20" s="555"/>
      <c r="K20" s="486"/>
      <c r="L20" s="490"/>
      <c r="M20" s="488"/>
    </row>
    <row r="21" spans="2:13" ht="13.5" thickBot="1">
      <c r="B21" s="31"/>
      <c r="C21" s="32" t="s">
        <v>105</v>
      </c>
      <c r="D21" s="324">
        <f>D20/(1-E20)</f>
        <v>0</v>
      </c>
      <c r="E21" s="325" t="e">
        <f>(1-D20)/E20</f>
        <v>#DIV/0!</v>
      </c>
      <c r="F21" s="35" t="s">
        <v>218</v>
      </c>
      <c r="G21" s="36"/>
      <c r="H21" s="36"/>
      <c r="I21" s="37"/>
      <c r="K21" s="486"/>
      <c r="L21" s="488"/>
      <c r="M21" s="488"/>
    </row>
    <row r="22" spans="3:13" ht="12.75" hidden="1">
      <c r="C22" s="63"/>
      <c r="D22" s="326"/>
      <c r="E22" s="327"/>
      <c r="F22" s="66"/>
      <c r="K22" s="487"/>
      <c r="L22" s="488" t="e">
        <f>L20/L21</f>
        <v>#DIV/0!</v>
      </c>
      <c r="M22" s="488" t="e">
        <f>M21/M20</f>
        <v>#DIV/0!</v>
      </c>
    </row>
    <row r="23" spans="3:12" ht="12.75" hidden="1">
      <c r="C23" s="76" t="s">
        <v>117</v>
      </c>
      <c r="D23" s="311"/>
      <c r="E23" s="328"/>
      <c r="F23" s="328"/>
      <c r="G23" s="329"/>
      <c r="H23" s="329"/>
      <c r="I23" s="330"/>
      <c r="J23" s="65"/>
      <c r="K23" s="137"/>
      <c r="L23" s="137"/>
    </row>
    <row r="24" spans="3:13" ht="12.75" hidden="1">
      <c r="C24" s="76" t="s">
        <v>31</v>
      </c>
      <c r="D24" s="311"/>
      <c r="E24" s="65"/>
      <c r="F24" s="65"/>
      <c r="G24" s="311"/>
      <c r="H24" s="311"/>
      <c r="I24" s="272"/>
      <c r="J24" s="65"/>
      <c r="K24" s="140"/>
      <c r="L24" s="140"/>
      <c r="M24" s="140"/>
    </row>
    <row r="25" spans="3:13" ht="12.75" hidden="1">
      <c r="C25" s="331" t="s">
        <v>221</v>
      </c>
      <c r="D25" s="62" t="s">
        <v>32</v>
      </c>
      <c r="F25" s="62" t="s">
        <v>222</v>
      </c>
      <c r="G25" s="62"/>
      <c r="H25" s="62" t="s">
        <v>33</v>
      </c>
      <c r="I25" s="62"/>
      <c r="J25" s="62" t="s">
        <v>34</v>
      </c>
      <c r="K25" s="140"/>
      <c r="L25" s="140"/>
      <c r="M25" s="140"/>
    </row>
    <row r="26" spans="3:13" ht="38.25" hidden="1">
      <c r="C26" s="143" t="s">
        <v>16</v>
      </c>
      <c r="D26" s="143" t="s">
        <v>13</v>
      </c>
      <c r="E26" s="144" t="s">
        <v>35</v>
      </c>
      <c r="F26" s="144" t="s">
        <v>32</v>
      </c>
      <c r="G26" s="144" t="s">
        <v>222</v>
      </c>
      <c r="H26" s="144" t="s">
        <v>33</v>
      </c>
      <c r="I26" s="144" t="s">
        <v>34</v>
      </c>
      <c r="J26" s="145" t="s">
        <v>46</v>
      </c>
      <c r="K26" s="144" t="s">
        <v>17</v>
      </c>
      <c r="L26" s="144" t="s">
        <v>14</v>
      </c>
      <c r="M26" s="144" t="s">
        <v>15</v>
      </c>
    </row>
    <row r="27" spans="2:13" ht="12.75" hidden="1">
      <c r="B27" s="146" t="s">
        <v>5</v>
      </c>
      <c r="C27" s="147">
        <f>D13</f>
        <v>0</v>
      </c>
      <c r="D27" s="147">
        <f>D17</f>
        <v>0</v>
      </c>
      <c r="E27" s="148" t="e">
        <f>C27/D27</f>
        <v>#DIV/0!</v>
      </c>
      <c r="F27" s="148">
        <f>2*C27+J27^2</f>
        <v>3.8414588206941245</v>
      </c>
      <c r="G27" s="148" t="e">
        <f>J27*SQRT((J27^2)+(4*C27*(1-E27)))</f>
        <v>#DIV/0!</v>
      </c>
      <c r="H27" s="149">
        <f>2*(D27+J27^2)</f>
        <v>7.682917641388249</v>
      </c>
      <c r="I27" s="150" t="s">
        <v>37</v>
      </c>
      <c r="J27" s="151">
        <f>-NORMSINV(2.5/100)</f>
        <v>1.9599639845400538</v>
      </c>
      <c r="K27" s="214" t="e">
        <f>E27</f>
        <v>#DIV/0!</v>
      </c>
      <c r="L27" s="214" t="e">
        <f>(F27-G27)/H27</f>
        <v>#DIV/0!</v>
      </c>
      <c r="M27" s="214" t="e">
        <f>(F27+G27)/H27</f>
        <v>#DIV/0!</v>
      </c>
    </row>
    <row r="28" spans="2:13" ht="12.75" hidden="1">
      <c r="B28" s="146" t="s">
        <v>6</v>
      </c>
      <c r="C28" s="147">
        <f>E15</f>
        <v>0</v>
      </c>
      <c r="D28" s="147">
        <f>E17</f>
        <v>0</v>
      </c>
      <c r="E28" s="148" t="e">
        <f>C28/D28</f>
        <v>#DIV/0!</v>
      </c>
      <c r="F28" s="148">
        <f>2*C28+J28^2</f>
        <v>3.8414588206941245</v>
      </c>
      <c r="G28" s="148" t="e">
        <f>J28*SQRT((J28^2)+(4*C28*(1-E28)))</f>
        <v>#DIV/0!</v>
      </c>
      <c r="H28" s="149">
        <f>2*(D28+J28^2)</f>
        <v>7.682917641388249</v>
      </c>
      <c r="I28" s="150" t="s">
        <v>37</v>
      </c>
      <c r="J28" s="151">
        <f>-NORMSINV(2.5/100)</f>
        <v>1.9599639845400538</v>
      </c>
      <c r="K28" s="214" t="e">
        <f>E28</f>
        <v>#DIV/0!</v>
      </c>
      <c r="L28" s="214" t="e">
        <f>(F28-G28)/H28</f>
        <v>#DIV/0!</v>
      </c>
      <c r="M28" s="214" t="e">
        <f>(F28+G28)/H28</f>
        <v>#DIV/0!</v>
      </c>
    </row>
    <row r="29" spans="2:13" ht="12.75" hidden="1">
      <c r="B29" s="154" t="s">
        <v>24</v>
      </c>
      <c r="C29" s="147">
        <f>D13</f>
        <v>0</v>
      </c>
      <c r="D29" s="152">
        <f>F13</f>
        <v>0</v>
      </c>
      <c r="E29" s="148" t="e">
        <f>C29/D29</f>
        <v>#DIV/0!</v>
      </c>
      <c r="F29" s="148">
        <f>2*C29+J29^2</f>
        <v>3.8414588206941245</v>
      </c>
      <c r="G29" s="148" t="e">
        <f>J29*SQRT((J29^2)+(4*C29*(1-E29)))</f>
        <v>#DIV/0!</v>
      </c>
      <c r="H29" s="149">
        <f>2*(D29+J29^2)</f>
        <v>7.682917641388249</v>
      </c>
      <c r="I29" s="150" t="s">
        <v>37</v>
      </c>
      <c r="J29" s="151">
        <f>-NORMSINV(2.5/100)</f>
        <v>1.9599639845400538</v>
      </c>
      <c r="K29" s="214" t="e">
        <f>E29</f>
        <v>#DIV/0!</v>
      </c>
      <c r="L29" s="214" t="e">
        <f>(F29-G29)/H29</f>
        <v>#DIV/0!</v>
      </c>
      <c r="M29" s="214" t="e">
        <f>(F29+G29)/H29</f>
        <v>#DIV/0!</v>
      </c>
    </row>
    <row r="30" spans="2:13" ht="12.75" hidden="1">
      <c r="B30" s="154" t="s">
        <v>25</v>
      </c>
      <c r="C30" s="147">
        <f>E15</f>
        <v>0</v>
      </c>
      <c r="D30" s="152">
        <f>F15</f>
        <v>0</v>
      </c>
      <c r="E30" s="148" t="e">
        <f>C30/D30</f>
        <v>#DIV/0!</v>
      </c>
      <c r="F30" s="148">
        <f>2*C30+J30^2</f>
        <v>3.8414588206941245</v>
      </c>
      <c r="G30" s="148" t="e">
        <f>J30*SQRT((J30^2)+(4*C30*(1-E30)))</f>
        <v>#DIV/0!</v>
      </c>
      <c r="H30" s="149">
        <f>2*(D30+J30^2)</f>
        <v>7.682917641388249</v>
      </c>
      <c r="I30" s="150" t="s">
        <v>37</v>
      </c>
      <c r="J30" s="151">
        <f>-NORMSINV(2.5/100)</f>
        <v>1.9599639845400538</v>
      </c>
      <c r="K30" s="214" t="e">
        <f>E30</f>
        <v>#DIV/0!</v>
      </c>
      <c r="L30" s="214" t="e">
        <f>(F30-G30)/H30</f>
        <v>#DIV/0!</v>
      </c>
      <c r="M30" s="214" t="e">
        <f>(F30+G30)/H30</f>
        <v>#DIV/0!</v>
      </c>
    </row>
    <row r="31" spans="3:12" ht="12.75" hidden="1">
      <c r="C31" s="311"/>
      <c r="D31" s="311"/>
      <c r="E31" s="328"/>
      <c r="F31" s="328"/>
      <c r="G31" s="329"/>
      <c r="H31" s="329"/>
      <c r="I31" s="330"/>
      <c r="J31" s="65"/>
      <c r="K31" s="137"/>
      <c r="L31" s="137"/>
    </row>
    <row r="32" spans="2:12" ht="13.5" hidden="1" thickBot="1">
      <c r="B32" s="332"/>
      <c r="C32" s="333"/>
      <c r="D32" s="333"/>
      <c r="E32" s="334" t="s">
        <v>223</v>
      </c>
      <c r="F32" s="334" t="s">
        <v>224</v>
      </c>
      <c r="G32" s="334" t="s">
        <v>225</v>
      </c>
      <c r="H32" s="335"/>
      <c r="I32" s="330"/>
      <c r="J32" s="65"/>
      <c r="K32" s="137"/>
      <c r="L32" s="137"/>
    </row>
    <row r="33" spans="2:12" ht="12.75" hidden="1">
      <c r="B33" s="336" t="s">
        <v>226</v>
      </c>
      <c r="C33" s="337"/>
      <c r="D33" s="338" t="e">
        <f>ROUND(K29,3)*100&amp;B36</f>
        <v>#DIV/0!</v>
      </c>
      <c r="E33" s="339" t="e">
        <f>ROUND(K30,3)*100&amp;B36</f>
        <v>#DIV/0!</v>
      </c>
      <c r="F33" s="339" t="e">
        <f>ROUND(K27,3)*100&amp;B36</f>
        <v>#DIV/0!</v>
      </c>
      <c r="G33" s="339" t="e">
        <f>ROUND(K28,3)*100&amp;B36</f>
        <v>#DIV/0!</v>
      </c>
      <c r="H33" s="340"/>
      <c r="I33" s="330"/>
      <c r="J33" s="65"/>
      <c r="K33" s="137"/>
      <c r="L33" s="137"/>
    </row>
    <row r="34" spans="2:12" ht="12.75" hidden="1">
      <c r="B34" s="341" t="s">
        <v>227</v>
      </c>
      <c r="C34" s="342"/>
      <c r="D34" s="338" t="e">
        <f>ROUND(L29,3)*100&amp;B36</f>
        <v>#DIV/0!</v>
      </c>
      <c r="E34" s="339" t="e">
        <f>ROUND(L30,3)*100&amp;B36</f>
        <v>#DIV/0!</v>
      </c>
      <c r="F34" s="339" t="e">
        <f>ROUND(L27,3)*100&amp;B36</f>
        <v>#DIV/0!</v>
      </c>
      <c r="G34" s="339" t="e">
        <f>ROUND(L28,3)*100&amp;B36</f>
        <v>#DIV/0!</v>
      </c>
      <c r="H34" s="340"/>
      <c r="I34" s="330"/>
      <c r="J34" s="65"/>
      <c r="K34" s="137"/>
      <c r="L34" s="137"/>
    </row>
    <row r="35" spans="2:12" ht="12.75" hidden="1">
      <c r="B35" s="341" t="s">
        <v>228</v>
      </c>
      <c r="C35" s="343" t="str">
        <f>ROUND(C10,4)*100&amp;B36</f>
        <v>0%</v>
      </c>
      <c r="D35" s="338" t="e">
        <f>ROUND(M29,3)*100&amp;B36</f>
        <v>#DIV/0!</v>
      </c>
      <c r="E35" s="339" t="e">
        <f>ROUND(M30,3)*100&amp;B36</f>
        <v>#DIV/0!</v>
      </c>
      <c r="F35" s="339" t="e">
        <f>ROUND(M27,3)*100&amp;B36</f>
        <v>#DIV/0!</v>
      </c>
      <c r="G35" s="339" t="e">
        <f>ROUND(M28,3)*100&amp;B36</f>
        <v>#DIV/0!</v>
      </c>
      <c r="H35" s="344">
        <f>D21</f>
        <v>0</v>
      </c>
      <c r="I35" s="330"/>
      <c r="J35" s="65"/>
      <c r="K35" s="137"/>
      <c r="L35" s="137"/>
    </row>
    <row r="36" spans="2:12" ht="12.75" hidden="1">
      <c r="B36" s="341" t="s">
        <v>229</v>
      </c>
      <c r="C36" s="345" t="s">
        <v>230</v>
      </c>
      <c r="D36" s="345" t="s">
        <v>231</v>
      </c>
      <c r="E36" s="345" t="s">
        <v>232</v>
      </c>
      <c r="F36" s="345" t="s">
        <v>5</v>
      </c>
      <c r="G36" s="346" t="s">
        <v>6</v>
      </c>
      <c r="H36" s="347" t="s">
        <v>233</v>
      </c>
      <c r="I36" s="330"/>
      <c r="J36" s="65"/>
      <c r="K36" s="137"/>
      <c r="L36" s="137"/>
    </row>
    <row r="37" spans="2:12" ht="12.75" hidden="1">
      <c r="B37" s="348" t="s">
        <v>80</v>
      </c>
      <c r="C37" s="349" t="str">
        <f>C35</f>
        <v>0%</v>
      </c>
      <c r="D37" s="350" t="e">
        <f>CONCATENATE(D33," ",B33,D34," ",B37," ",D35,B35)</f>
        <v>#DIV/0!</v>
      </c>
      <c r="E37" s="350" t="e">
        <f>CONCATENATE(E33," ",B33,E34," ",B37," ",E35,B35)</f>
        <v>#DIV/0!</v>
      </c>
      <c r="F37" s="350" t="e">
        <f>CONCATENATE(F33," ",B33,F34," ",B37," ",F35,B35)</f>
        <v>#DIV/0!</v>
      </c>
      <c r="G37" s="350" t="e">
        <f>CONCATENATE(G33," ",B33,G34," ",B37," ",G35,B35)</f>
        <v>#DIV/0!</v>
      </c>
      <c r="H37" s="351">
        <f>H35</f>
        <v>0</v>
      </c>
      <c r="I37" s="330"/>
      <c r="J37" s="65"/>
      <c r="K37" s="137"/>
      <c r="L37" s="137"/>
    </row>
    <row r="38" spans="2:12" ht="13.5" hidden="1" thickBot="1">
      <c r="B38" s="352" t="s">
        <v>234</v>
      </c>
      <c r="C38" s="353"/>
      <c r="D38" s="353"/>
      <c r="E38" s="353"/>
      <c r="F38" s="353"/>
      <c r="G38" s="353"/>
      <c r="H38" s="354"/>
      <c r="I38" s="330"/>
      <c r="J38" s="65"/>
      <c r="K38" s="137"/>
      <c r="L38" s="137"/>
    </row>
    <row r="39" spans="9:13" ht="12.75">
      <c r="I39" s="330"/>
      <c r="J39" s="65"/>
      <c r="K39" s="137"/>
      <c r="L39" s="488"/>
      <c r="M39" s="488"/>
    </row>
    <row r="40" spans="2:12" ht="13.5" customHeight="1">
      <c r="B40" s="355" t="s">
        <v>272</v>
      </c>
      <c r="C40" s="355" t="s">
        <v>231</v>
      </c>
      <c r="D40" s="356" t="s">
        <v>232</v>
      </c>
      <c r="E40" s="356" t="s">
        <v>5</v>
      </c>
      <c r="F40" s="356" t="s">
        <v>6</v>
      </c>
      <c r="G40" s="356" t="s">
        <v>233</v>
      </c>
      <c r="I40" s="330"/>
      <c r="J40" s="65"/>
      <c r="K40" s="137"/>
      <c r="L40" s="137"/>
    </row>
    <row r="41" spans="2:12" ht="21" customHeight="1">
      <c r="B41" s="357" t="str">
        <f aca="true" t="shared" si="0" ref="B41:G41">C37</f>
        <v>0%</v>
      </c>
      <c r="C41" s="357" t="e">
        <f t="shared" si="0"/>
        <v>#DIV/0!</v>
      </c>
      <c r="D41" s="357" t="e">
        <f t="shared" si="0"/>
        <v>#DIV/0!</v>
      </c>
      <c r="E41" s="357" t="e">
        <f t="shared" si="0"/>
        <v>#DIV/0!</v>
      </c>
      <c r="F41" s="357" t="e">
        <f t="shared" si="0"/>
        <v>#DIV/0!</v>
      </c>
      <c r="G41" s="358">
        <f t="shared" si="0"/>
        <v>0</v>
      </c>
      <c r="I41" s="330"/>
      <c r="J41" s="65"/>
      <c r="K41" s="137"/>
      <c r="L41" s="137"/>
    </row>
    <row r="42" spans="3:12" ht="12.75">
      <c r="C42" s="311"/>
      <c r="D42" s="311"/>
      <c r="E42" s="328"/>
      <c r="F42" s="328"/>
      <c r="G42" s="329"/>
      <c r="H42" s="329"/>
      <c r="I42" s="330"/>
      <c r="J42" s="65"/>
      <c r="K42" s="137"/>
      <c r="L42" s="137"/>
    </row>
    <row r="43" spans="3:12" ht="12.75">
      <c r="C43" s="311"/>
      <c r="D43" s="311"/>
      <c r="E43" s="328"/>
      <c r="F43" s="328"/>
      <c r="G43" s="329"/>
      <c r="H43" s="329"/>
      <c r="I43" s="330"/>
      <c r="J43" s="65"/>
      <c r="K43" s="137"/>
      <c r="L43" s="137"/>
    </row>
    <row r="44" spans="2:11" ht="15.75">
      <c r="B44" s="359" t="s">
        <v>132</v>
      </c>
      <c r="C44" s="311"/>
      <c r="D44" s="328"/>
      <c r="E44" s="328"/>
      <c r="F44" s="329"/>
      <c r="G44" s="329"/>
      <c r="H44" s="330"/>
      <c r="I44" s="65"/>
      <c r="J44" s="137"/>
      <c r="K44" s="137"/>
    </row>
    <row r="45" ht="15">
      <c r="B45" s="360" t="s">
        <v>140</v>
      </c>
    </row>
    <row r="46" ht="15">
      <c r="B46" s="360" t="s">
        <v>137</v>
      </c>
    </row>
    <row r="47" ht="15">
      <c r="B47" s="360" t="s">
        <v>138</v>
      </c>
    </row>
    <row r="48" ht="15">
      <c r="B48" s="360" t="s">
        <v>141</v>
      </c>
    </row>
    <row r="49" ht="15">
      <c r="B49" s="361" t="s">
        <v>142</v>
      </c>
    </row>
    <row r="50" ht="13.5" thickBot="1"/>
    <row r="51" spans="2:7" ht="31.5" customHeight="1">
      <c r="B51" s="556" t="s">
        <v>235</v>
      </c>
      <c r="C51" s="557"/>
      <c r="D51" s="557"/>
      <c r="E51" s="557"/>
      <c r="F51" s="557"/>
      <c r="G51" s="558"/>
    </row>
    <row r="52" spans="2:10" ht="31.5" customHeight="1" thickBot="1">
      <c r="B52" s="559" t="s">
        <v>148</v>
      </c>
      <c r="C52" s="560"/>
      <c r="D52" s="560"/>
      <c r="E52" s="560"/>
      <c r="F52" s="560"/>
      <c r="G52" s="561"/>
      <c r="H52" s="227"/>
      <c r="I52" s="227"/>
      <c r="J52" s="227"/>
    </row>
    <row r="53" spans="2:8" ht="13.5" thickBot="1">
      <c r="B53" s="312" t="s">
        <v>9</v>
      </c>
      <c r="C53" s="313"/>
      <c r="D53" s="536" t="s">
        <v>39</v>
      </c>
      <c r="E53" s="537"/>
      <c r="F53" s="8"/>
      <c r="G53" s="243"/>
      <c r="H53" s="243"/>
    </row>
    <row r="54" spans="2:11" ht="12.75">
      <c r="B54" s="312" t="s">
        <v>10</v>
      </c>
      <c r="C54" s="314"/>
      <c r="D54" s="202" t="s">
        <v>236</v>
      </c>
      <c r="E54" s="202" t="s">
        <v>237</v>
      </c>
      <c r="F54" s="309" t="s">
        <v>0</v>
      </c>
      <c r="G54" s="9"/>
      <c r="H54" s="10"/>
      <c r="I54" s="362"/>
      <c r="K54" s="98"/>
    </row>
    <row r="55" spans="2:6" ht="12.75">
      <c r="B55" s="312" t="s">
        <v>11</v>
      </c>
      <c r="C55" s="314"/>
      <c r="D55" s="363">
        <f>C53*C54</f>
        <v>0</v>
      </c>
      <c r="E55" s="363">
        <f>C53-D55</f>
        <v>0</v>
      </c>
      <c r="F55" s="109"/>
    </row>
    <row r="56" spans="2:6" ht="13.5" thickBot="1">
      <c r="B56" s="312" t="s">
        <v>12</v>
      </c>
      <c r="C56" s="314"/>
      <c r="D56" s="364"/>
      <c r="E56" s="364"/>
      <c r="F56" s="109"/>
    </row>
    <row r="57" spans="2:9" ht="12.75">
      <c r="B57" s="538" t="s">
        <v>40</v>
      </c>
      <c r="C57" s="527" t="s">
        <v>7</v>
      </c>
      <c r="D57" s="365">
        <f>D55*D64</f>
        <v>0</v>
      </c>
      <c r="E57" s="366">
        <f>E55-E59</f>
        <v>0</v>
      </c>
      <c r="F57" s="112">
        <f>SUM(D57:E57)</f>
        <v>0</v>
      </c>
      <c r="G57" s="46" t="s">
        <v>93</v>
      </c>
      <c r="H57" s="367"/>
      <c r="I57" s="367"/>
    </row>
    <row r="58" spans="2:9" ht="51.75" thickBot="1">
      <c r="B58" s="539"/>
      <c r="C58" s="528"/>
      <c r="D58" s="20" t="s">
        <v>112</v>
      </c>
      <c r="E58" s="21" t="s">
        <v>113</v>
      </c>
      <c r="F58" s="310" t="s">
        <v>1</v>
      </c>
      <c r="G58" s="368" t="e">
        <f>D57/F57</f>
        <v>#DIV/0!</v>
      </c>
      <c r="H58" s="367"/>
      <c r="I58" s="367"/>
    </row>
    <row r="59" spans="2:9" ht="12.75">
      <c r="B59" s="539"/>
      <c r="C59" s="527" t="s">
        <v>8</v>
      </c>
      <c r="D59" s="366">
        <f>D55-D57</f>
        <v>0</v>
      </c>
      <c r="E59" s="365">
        <f>E55*E64</f>
        <v>0</v>
      </c>
      <c r="F59" s="112">
        <f>SUM(D59:E59)</f>
        <v>0</v>
      </c>
      <c r="G59" s="46" t="s">
        <v>55</v>
      </c>
      <c r="H59" s="367"/>
      <c r="I59" s="367"/>
    </row>
    <row r="60" spans="2:9" ht="51.75" thickBot="1">
      <c r="B60" s="540"/>
      <c r="C60" s="528"/>
      <c r="D60" s="21" t="s">
        <v>114</v>
      </c>
      <c r="E60" s="20" t="s">
        <v>115</v>
      </c>
      <c r="F60" s="310" t="s">
        <v>2</v>
      </c>
      <c r="G60" s="322" t="e">
        <f>E59/F59</f>
        <v>#DIV/0!</v>
      </c>
      <c r="H60" s="367"/>
      <c r="I60" s="367"/>
    </row>
    <row r="61" spans="2:6" ht="12.75">
      <c r="B61" s="7"/>
      <c r="C61" s="548" t="s">
        <v>0</v>
      </c>
      <c r="D61" s="363">
        <f>D57+D59</f>
        <v>0</v>
      </c>
      <c r="E61" s="124">
        <f>E57+E59</f>
        <v>0</v>
      </c>
      <c r="F61" s="549">
        <f>F57+F59</f>
        <v>0</v>
      </c>
    </row>
    <row r="62" spans="2:6" ht="26.25" thickBot="1">
      <c r="B62" s="7"/>
      <c r="C62" s="516"/>
      <c r="D62" s="14" t="s">
        <v>4</v>
      </c>
      <c r="E62" s="14" t="s">
        <v>3</v>
      </c>
      <c r="F62" s="518"/>
    </row>
    <row r="63" spans="2:9" ht="12.75">
      <c r="B63" s="7"/>
      <c r="D63" s="58" t="s">
        <v>5</v>
      </c>
      <c r="E63" s="58" t="s">
        <v>6</v>
      </c>
      <c r="F63" s="369"/>
      <c r="G63" s="367"/>
      <c r="H63" s="367"/>
      <c r="I63" s="367"/>
    </row>
    <row r="64" spans="2:9" ht="13.5" thickBot="1">
      <c r="B64" s="7"/>
      <c r="D64" s="28">
        <f>C55</f>
        <v>0</v>
      </c>
      <c r="E64" s="323">
        <f>C56</f>
        <v>0</v>
      </c>
      <c r="F64" s="370"/>
      <c r="G64" s="371"/>
      <c r="H64" s="367"/>
      <c r="I64" s="367"/>
    </row>
    <row r="65" spans="2:7" ht="13.5" thickBot="1">
      <c r="B65" s="31"/>
      <c r="C65" s="32" t="s">
        <v>105</v>
      </c>
      <c r="D65" s="324">
        <f>D64/(1-E64)</f>
        <v>0</v>
      </c>
      <c r="E65" s="325" t="e">
        <f>(1-D64)/E64</f>
        <v>#DIV/0!</v>
      </c>
      <c r="F65" s="35" t="s">
        <v>218</v>
      </c>
      <c r="G65" s="37"/>
    </row>
    <row r="66" spans="3:6" ht="12.75" hidden="1">
      <c r="C66" s="63"/>
      <c r="D66" s="326"/>
      <c r="E66" s="327"/>
      <c r="F66" s="66"/>
    </row>
    <row r="67" spans="3:12" ht="12.75" hidden="1">
      <c r="C67" s="76" t="s">
        <v>117</v>
      </c>
      <c r="D67" s="311"/>
      <c r="E67" s="328"/>
      <c r="F67" s="328"/>
      <c r="G67" s="329"/>
      <c r="H67" s="329"/>
      <c r="I67" s="330"/>
      <c r="J67" s="65"/>
      <c r="K67" s="137"/>
      <c r="L67" s="137"/>
    </row>
    <row r="68" spans="3:13" ht="12.75" hidden="1">
      <c r="C68" s="76" t="s">
        <v>31</v>
      </c>
      <c r="D68" s="311"/>
      <c r="E68" s="65"/>
      <c r="F68" s="65"/>
      <c r="G68" s="311"/>
      <c r="H68" s="311"/>
      <c r="I68" s="272"/>
      <c r="J68" s="65"/>
      <c r="K68" s="140"/>
      <c r="L68" s="140"/>
      <c r="M68" s="140"/>
    </row>
    <row r="69" spans="3:13" ht="12.75" hidden="1">
      <c r="C69" s="331" t="s">
        <v>221</v>
      </c>
      <c r="D69" s="62" t="s">
        <v>32</v>
      </c>
      <c r="F69" s="62" t="s">
        <v>222</v>
      </c>
      <c r="G69" s="62"/>
      <c r="H69" s="62" t="s">
        <v>33</v>
      </c>
      <c r="I69" s="62"/>
      <c r="J69" s="62" t="s">
        <v>34</v>
      </c>
      <c r="K69" s="140"/>
      <c r="L69" s="140"/>
      <c r="M69" s="140"/>
    </row>
    <row r="70" spans="3:13" ht="38.25" hidden="1">
      <c r="C70" s="143" t="s">
        <v>16</v>
      </c>
      <c r="D70" s="143" t="s">
        <v>13</v>
      </c>
      <c r="E70" s="144" t="s">
        <v>35</v>
      </c>
      <c r="F70" s="144" t="s">
        <v>32</v>
      </c>
      <c r="G70" s="144" t="s">
        <v>222</v>
      </c>
      <c r="H70" s="144" t="s">
        <v>33</v>
      </c>
      <c r="I70" s="144" t="s">
        <v>34</v>
      </c>
      <c r="J70" s="145" t="s">
        <v>46</v>
      </c>
      <c r="K70" s="144" t="s">
        <v>17</v>
      </c>
      <c r="L70" s="144" t="s">
        <v>14</v>
      </c>
      <c r="M70" s="144" t="s">
        <v>15</v>
      </c>
    </row>
    <row r="71" spans="2:13" ht="12.75" hidden="1">
      <c r="B71" s="146" t="s">
        <v>5</v>
      </c>
      <c r="C71" s="372">
        <f>D57</f>
        <v>0</v>
      </c>
      <c r="D71" s="147">
        <f>D61</f>
        <v>0</v>
      </c>
      <c r="E71" s="148" t="e">
        <f>C71/D71</f>
        <v>#DIV/0!</v>
      </c>
      <c r="F71" s="148">
        <f>2*C71+J71^2</f>
        <v>3.8414588206941245</v>
      </c>
      <c r="G71" s="148" t="e">
        <f>J71*SQRT((J71^2)+(4*C71*(1-E71)))</f>
        <v>#DIV/0!</v>
      </c>
      <c r="H71" s="149">
        <f>2*(D71+J71^2)</f>
        <v>7.682917641388249</v>
      </c>
      <c r="I71" s="150" t="s">
        <v>37</v>
      </c>
      <c r="J71" s="151">
        <f>-NORMSINV(2.5/100)</f>
        <v>1.9599639845400538</v>
      </c>
      <c r="K71" s="214" t="e">
        <f>E71</f>
        <v>#DIV/0!</v>
      </c>
      <c r="L71" s="214" t="e">
        <f>(F71-G71)/H71</f>
        <v>#DIV/0!</v>
      </c>
      <c r="M71" s="214" t="e">
        <f>(F71+G71)/H71</f>
        <v>#DIV/0!</v>
      </c>
    </row>
    <row r="72" spans="2:13" ht="12.75" hidden="1">
      <c r="B72" s="146" t="s">
        <v>6</v>
      </c>
      <c r="C72" s="372">
        <f>E59</f>
        <v>0</v>
      </c>
      <c r="D72" s="147">
        <f>E61</f>
        <v>0</v>
      </c>
      <c r="E72" s="148" t="e">
        <f>C72/D72</f>
        <v>#DIV/0!</v>
      </c>
      <c r="F72" s="148">
        <f>2*C72+J72^2</f>
        <v>3.8414588206941245</v>
      </c>
      <c r="G72" s="148" t="e">
        <f>J72*SQRT((J72^2)+(4*C72*(1-E72)))</f>
        <v>#DIV/0!</v>
      </c>
      <c r="H72" s="149">
        <f>2*(D72+J72^2)</f>
        <v>7.682917641388249</v>
      </c>
      <c r="I72" s="150" t="s">
        <v>37</v>
      </c>
      <c r="J72" s="151">
        <f>-NORMSINV(2.5/100)</f>
        <v>1.9599639845400538</v>
      </c>
      <c r="K72" s="214" t="e">
        <f>E72</f>
        <v>#DIV/0!</v>
      </c>
      <c r="L72" s="214" t="e">
        <f>(F72-G72)/H72</f>
        <v>#DIV/0!</v>
      </c>
      <c r="M72" s="214" t="e">
        <f>(F72+G72)/H72</f>
        <v>#DIV/0!</v>
      </c>
    </row>
    <row r="73" spans="2:13" ht="12.75" hidden="1">
      <c r="B73" s="154" t="s">
        <v>24</v>
      </c>
      <c r="C73" s="372">
        <f>D57</f>
        <v>0</v>
      </c>
      <c r="D73" s="152">
        <f>F57</f>
        <v>0</v>
      </c>
      <c r="E73" s="148" t="e">
        <f>C73/D73</f>
        <v>#DIV/0!</v>
      </c>
      <c r="F73" s="148">
        <f>2*C73+J73^2</f>
        <v>3.8414588206941245</v>
      </c>
      <c r="G73" s="148" t="e">
        <f>J73*SQRT((J73^2)+(4*C73*(1-E73)))</f>
        <v>#DIV/0!</v>
      </c>
      <c r="H73" s="149">
        <f>2*(D73+J73^2)</f>
        <v>7.682917641388249</v>
      </c>
      <c r="I73" s="150" t="s">
        <v>37</v>
      </c>
      <c r="J73" s="151">
        <f>-NORMSINV(2.5/100)</f>
        <v>1.9599639845400538</v>
      </c>
      <c r="K73" s="214" t="e">
        <f>E73</f>
        <v>#DIV/0!</v>
      </c>
      <c r="L73" s="214" t="e">
        <f>(F73-G73)/H73</f>
        <v>#DIV/0!</v>
      </c>
      <c r="M73" s="214" t="e">
        <f>(F73+G73)/H73</f>
        <v>#DIV/0!</v>
      </c>
    </row>
    <row r="74" spans="2:13" ht="12.75" hidden="1">
      <c r="B74" s="154" t="s">
        <v>25</v>
      </c>
      <c r="C74" s="372">
        <f>E59</f>
        <v>0</v>
      </c>
      <c r="D74" s="152">
        <f>F59</f>
        <v>0</v>
      </c>
      <c r="E74" s="148" t="e">
        <f>C74/D74</f>
        <v>#DIV/0!</v>
      </c>
      <c r="F74" s="148">
        <f>2*C74+J74^2</f>
        <v>3.8414588206941245</v>
      </c>
      <c r="G74" s="148" t="e">
        <f>J74*SQRT((J74^2)+(4*C74*(1-E74)))</f>
        <v>#DIV/0!</v>
      </c>
      <c r="H74" s="149">
        <f>2*(D74+J74^2)</f>
        <v>7.682917641388249</v>
      </c>
      <c r="I74" s="150" t="s">
        <v>37</v>
      </c>
      <c r="J74" s="151">
        <f>-NORMSINV(2.5/100)</f>
        <v>1.9599639845400538</v>
      </c>
      <c r="K74" s="214" t="e">
        <f>E74</f>
        <v>#DIV/0!</v>
      </c>
      <c r="L74" s="214" t="e">
        <f>(F74-G74)/H74</f>
        <v>#DIV/0!</v>
      </c>
      <c r="M74" s="214" t="e">
        <f>(F74+G74)/H74</f>
        <v>#DIV/0!</v>
      </c>
    </row>
    <row r="75" spans="3:11" ht="12.75" hidden="1">
      <c r="C75" s="227"/>
      <c r="D75" s="227"/>
      <c r="E75" s="227"/>
      <c r="F75" s="227"/>
      <c r="G75" s="227"/>
      <c r="H75" s="227"/>
      <c r="I75" s="227"/>
      <c r="J75" s="227"/>
      <c r="K75" s="227"/>
    </row>
    <row r="76" spans="2:11" ht="13.5" hidden="1" thickBot="1">
      <c r="B76" s="332"/>
      <c r="C76" s="333"/>
      <c r="D76" s="333"/>
      <c r="E76" s="334" t="s">
        <v>223</v>
      </c>
      <c r="F76" s="334" t="s">
        <v>224</v>
      </c>
      <c r="G76" s="334" t="s">
        <v>225</v>
      </c>
      <c r="H76" s="335"/>
      <c r="I76" s="227"/>
      <c r="J76" s="227"/>
      <c r="K76" s="227"/>
    </row>
    <row r="77" spans="2:11" ht="12.75" hidden="1">
      <c r="B77" s="336" t="s">
        <v>226</v>
      </c>
      <c r="C77" s="337"/>
      <c r="D77" s="338" t="e">
        <f>ROUND(K73,3)*100&amp;B80</f>
        <v>#DIV/0!</v>
      </c>
      <c r="E77" s="339" t="e">
        <f>ROUND(K74,3)*100&amp;B80</f>
        <v>#DIV/0!</v>
      </c>
      <c r="F77" s="339" t="e">
        <f>ROUND(K71,3)*100&amp;B80</f>
        <v>#DIV/0!</v>
      </c>
      <c r="G77" s="339" t="e">
        <f>ROUND(K72,3)*100&amp;B80</f>
        <v>#DIV/0!</v>
      </c>
      <c r="H77" s="340"/>
      <c r="I77" s="227"/>
      <c r="J77" s="227"/>
      <c r="K77" s="227"/>
    </row>
    <row r="78" spans="2:11" ht="12.75" hidden="1">
      <c r="B78" s="341" t="s">
        <v>227</v>
      </c>
      <c r="C78" s="342"/>
      <c r="D78" s="338" t="e">
        <f>ROUND(L73,3)*100&amp;B80</f>
        <v>#DIV/0!</v>
      </c>
      <c r="E78" s="339" t="e">
        <f>ROUND(L74,3)*100&amp;B80</f>
        <v>#DIV/0!</v>
      </c>
      <c r="F78" s="339" t="e">
        <f>ROUND(L71,3)*100&amp;B80</f>
        <v>#DIV/0!</v>
      </c>
      <c r="G78" s="339" t="e">
        <f>ROUND(L72,3)*100&amp;B80</f>
        <v>#DIV/0!</v>
      </c>
      <c r="H78" s="340"/>
      <c r="I78" s="227"/>
      <c r="J78" s="227"/>
      <c r="K78" s="227"/>
    </row>
    <row r="79" spans="2:11" ht="12.75" hidden="1">
      <c r="B79" s="341" t="s">
        <v>228</v>
      </c>
      <c r="C79" s="343" t="str">
        <f>ROUND(C54,4)*100&amp;B80</f>
        <v>0%</v>
      </c>
      <c r="D79" s="338" t="e">
        <f>ROUND(M73,3)*100&amp;B80</f>
        <v>#DIV/0!</v>
      </c>
      <c r="E79" s="339" t="e">
        <f>ROUND(M74,3)*100&amp;B80</f>
        <v>#DIV/0!</v>
      </c>
      <c r="F79" s="339" t="e">
        <f>ROUND(M71,3)*100&amp;B80</f>
        <v>#DIV/0!</v>
      </c>
      <c r="G79" s="339" t="e">
        <f>ROUND(M72,3)*100&amp;B80</f>
        <v>#DIV/0!</v>
      </c>
      <c r="H79" s="344">
        <f>D65</f>
        <v>0</v>
      </c>
      <c r="I79" s="227"/>
      <c r="J79" s="227"/>
      <c r="K79" s="227"/>
    </row>
    <row r="80" spans="2:11" ht="12.75" hidden="1">
      <c r="B80" s="341" t="s">
        <v>229</v>
      </c>
      <c r="C80" s="345" t="s">
        <v>230</v>
      </c>
      <c r="D80" s="345" t="s">
        <v>231</v>
      </c>
      <c r="E80" s="345" t="s">
        <v>232</v>
      </c>
      <c r="F80" s="345" t="s">
        <v>5</v>
      </c>
      <c r="G80" s="346" t="s">
        <v>6</v>
      </c>
      <c r="H80" s="347" t="s">
        <v>233</v>
      </c>
      <c r="I80" s="227"/>
      <c r="J80" s="227"/>
      <c r="K80" s="227"/>
    </row>
    <row r="81" spans="2:11" ht="12.75" hidden="1">
      <c r="B81" s="348" t="s">
        <v>80</v>
      </c>
      <c r="C81" s="349" t="str">
        <f>C79</f>
        <v>0%</v>
      </c>
      <c r="D81" s="350" t="e">
        <f>CONCATENATE(D77," ",B77,D78," ",B81," ",D79,B79)</f>
        <v>#DIV/0!</v>
      </c>
      <c r="E81" s="350" t="e">
        <f>CONCATENATE(E77," ",B77,E78," ",B81," ",E79,B79)</f>
        <v>#DIV/0!</v>
      </c>
      <c r="F81" s="350" t="e">
        <f>CONCATENATE(F77," ",B77,F78," ",B81," ",F79,B79)</f>
        <v>#DIV/0!</v>
      </c>
      <c r="G81" s="350" t="e">
        <f>CONCATENATE(G77," ",B77,G78," ",B81," ",G79,B79)</f>
        <v>#DIV/0!</v>
      </c>
      <c r="H81" s="351">
        <f>H79</f>
        <v>0</v>
      </c>
      <c r="I81" s="227"/>
      <c r="J81" s="227"/>
      <c r="K81" s="227"/>
    </row>
    <row r="82" spans="2:11" ht="13.5" hidden="1" thickBot="1">
      <c r="B82" s="352" t="s">
        <v>234</v>
      </c>
      <c r="C82" s="353"/>
      <c r="D82" s="353"/>
      <c r="E82" s="353"/>
      <c r="F82" s="353"/>
      <c r="G82" s="353"/>
      <c r="H82" s="354"/>
      <c r="I82" s="227"/>
      <c r="J82" s="227"/>
      <c r="K82" s="227"/>
    </row>
    <row r="83" spans="9:11" ht="12.75">
      <c r="I83" s="227"/>
      <c r="J83" s="227"/>
      <c r="K83" s="227"/>
    </row>
    <row r="84" spans="2:11" ht="12.75">
      <c r="B84" s="355" t="s">
        <v>272</v>
      </c>
      <c r="C84" s="355" t="s">
        <v>231</v>
      </c>
      <c r="D84" s="356" t="s">
        <v>232</v>
      </c>
      <c r="E84" s="356" t="s">
        <v>5</v>
      </c>
      <c r="F84" s="356" t="s">
        <v>6</v>
      </c>
      <c r="G84" s="356" t="s">
        <v>233</v>
      </c>
      <c r="I84" s="227"/>
      <c r="J84" s="227"/>
      <c r="K84" s="227"/>
    </row>
    <row r="85" spans="2:11" ht="20.25" customHeight="1">
      <c r="B85" s="357" t="str">
        <f aca="true" t="shared" si="1" ref="B85:G85">C81</f>
        <v>0%</v>
      </c>
      <c r="C85" s="357" t="e">
        <f t="shared" si="1"/>
        <v>#DIV/0!</v>
      </c>
      <c r="D85" s="357" t="e">
        <f t="shared" si="1"/>
        <v>#DIV/0!</v>
      </c>
      <c r="E85" s="357" t="e">
        <f t="shared" si="1"/>
        <v>#DIV/0!</v>
      </c>
      <c r="F85" s="357" t="e">
        <f t="shared" si="1"/>
        <v>#DIV/0!</v>
      </c>
      <c r="G85" s="358">
        <f t="shared" si="1"/>
        <v>0</v>
      </c>
      <c r="I85" s="227"/>
      <c r="J85" s="227"/>
      <c r="K85" s="227"/>
    </row>
    <row r="86" spans="3:11" ht="12.75">
      <c r="C86" s="227"/>
      <c r="D86" s="227"/>
      <c r="E86" s="227"/>
      <c r="F86" s="227"/>
      <c r="G86" s="227"/>
      <c r="H86" s="227"/>
      <c r="I86" s="227"/>
      <c r="J86" s="227"/>
      <c r="K86" s="227"/>
    </row>
    <row r="87" ht="13.5" thickBot="1"/>
    <row r="88" spans="2:7" ht="15">
      <c r="B88" s="562" t="s">
        <v>202</v>
      </c>
      <c r="C88" s="563"/>
      <c r="D88" s="563"/>
      <c r="E88" s="563"/>
      <c r="F88" s="563"/>
      <c r="G88" s="564"/>
    </row>
    <row r="89" spans="2:7" ht="15">
      <c r="B89" s="471" t="s">
        <v>118</v>
      </c>
      <c r="C89" s="472"/>
      <c r="D89" s="472"/>
      <c r="E89" s="472"/>
      <c r="F89" s="472"/>
      <c r="G89" s="473"/>
    </row>
    <row r="90" spans="2:7" ht="15">
      <c r="B90" s="422" t="s">
        <v>280</v>
      </c>
      <c r="C90" s="420"/>
      <c r="D90" s="420"/>
      <c r="E90" s="420"/>
      <c r="F90" s="420"/>
      <c r="G90" s="421"/>
    </row>
    <row r="91" spans="2:7" ht="39.75" customHeight="1" thickBot="1">
      <c r="B91" s="565" t="s">
        <v>281</v>
      </c>
      <c r="C91" s="566"/>
      <c r="D91" s="566"/>
      <c r="E91" s="566"/>
      <c r="F91" s="566"/>
      <c r="G91" s="567"/>
    </row>
    <row r="92" spans="2:8" ht="13.5" thickBot="1">
      <c r="B92" s="312" t="s">
        <v>9</v>
      </c>
      <c r="C92" s="313"/>
      <c r="D92" s="536" t="s">
        <v>39</v>
      </c>
      <c r="E92" s="537"/>
      <c r="F92" s="8"/>
      <c r="G92" s="243"/>
      <c r="H92" s="243"/>
    </row>
    <row r="93" spans="2:11" ht="12.75">
      <c r="B93" s="312" t="s">
        <v>10</v>
      </c>
      <c r="C93" s="314"/>
      <c r="D93" s="202" t="s">
        <v>143</v>
      </c>
      <c r="E93" s="202" t="s">
        <v>144</v>
      </c>
      <c r="F93" s="309" t="s">
        <v>0</v>
      </c>
      <c r="G93" s="9"/>
      <c r="H93" s="10"/>
      <c r="I93" s="362"/>
      <c r="K93" s="98"/>
    </row>
    <row r="94" spans="2:6" ht="12.75">
      <c r="B94" s="312" t="s">
        <v>11</v>
      </c>
      <c r="C94" s="314"/>
      <c r="D94" s="45">
        <f>C92*C93</f>
        <v>0</v>
      </c>
      <c r="E94" s="45">
        <f>C92-D94</f>
        <v>0</v>
      </c>
      <c r="F94" s="109"/>
    </row>
    <row r="95" spans="2:6" ht="13.5" thickBot="1">
      <c r="B95" s="312" t="s">
        <v>12</v>
      </c>
      <c r="C95" s="314"/>
      <c r="D95" s="364"/>
      <c r="E95" s="364"/>
      <c r="F95" s="109"/>
    </row>
    <row r="96" spans="2:9" ht="12.75">
      <c r="B96" s="538" t="s">
        <v>40</v>
      </c>
      <c r="C96" s="527" t="s">
        <v>7</v>
      </c>
      <c r="D96" s="321">
        <f>D94*D103</f>
        <v>0</v>
      </c>
      <c r="E96" s="320">
        <f>E94-E98</f>
        <v>0</v>
      </c>
      <c r="F96" s="112">
        <f>SUM(D96:E96)</f>
        <v>0</v>
      </c>
      <c r="G96" s="46" t="s">
        <v>93</v>
      </c>
      <c r="H96" s="367"/>
      <c r="I96" s="367"/>
    </row>
    <row r="97" spans="2:9" ht="51.75" thickBot="1">
      <c r="B97" s="539"/>
      <c r="C97" s="528"/>
      <c r="D97" s="20" t="s">
        <v>112</v>
      </c>
      <c r="E97" s="21" t="s">
        <v>113</v>
      </c>
      <c r="F97" s="310" t="s">
        <v>1</v>
      </c>
      <c r="G97" s="368" t="e">
        <f>D96/F96</f>
        <v>#DIV/0!</v>
      </c>
      <c r="H97" s="367"/>
      <c r="I97" s="367"/>
    </row>
    <row r="98" spans="2:9" ht="12.75">
      <c r="B98" s="539"/>
      <c r="C98" s="527" t="s">
        <v>8</v>
      </c>
      <c r="D98" s="320">
        <f>D94-D96</f>
        <v>0</v>
      </c>
      <c r="E98" s="321">
        <f>E94*E103</f>
        <v>0</v>
      </c>
      <c r="F98" s="112">
        <f>SUM(D98:E98)</f>
        <v>0</v>
      </c>
      <c r="G98" s="46" t="s">
        <v>55</v>
      </c>
      <c r="H98" s="367"/>
      <c r="I98" s="367"/>
    </row>
    <row r="99" spans="2:9" ht="51.75" thickBot="1">
      <c r="B99" s="540"/>
      <c r="C99" s="528"/>
      <c r="D99" s="21" t="s">
        <v>114</v>
      </c>
      <c r="E99" s="20" t="s">
        <v>115</v>
      </c>
      <c r="F99" s="310" t="s">
        <v>2</v>
      </c>
      <c r="G99" s="322" t="e">
        <f>E98/F98</f>
        <v>#DIV/0!</v>
      </c>
      <c r="H99" s="367"/>
      <c r="I99" s="367"/>
    </row>
    <row r="100" spans="2:6" ht="12.75">
      <c r="B100" s="7"/>
      <c r="C100" s="548" t="s">
        <v>0</v>
      </c>
      <c r="D100" s="18">
        <f>D96+D98</f>
        <v>0</v>
      </c>
      <c r="E100" s="18">
        <f>E96+E98</f>
        <v>0</v>
      </c>
      <c r="F100" s="549">
        <f>F96+F98</f>
        <v>0</v>
      </c>
    </row>
    <row r="101" spans="2:6" ht="26.25" thickBot="1">
      <c r="B101" s="7"/>
      <c r="C101" s="516"/>
      <c r="D101" s="14" t="s">
        <v>4</v>
      </c>
      <c r="E101" s="14" t="s">
        <v>3</v>
      </c>
      <c r="F101" s="518"/>
    </row>
    <row r="102" spans="2:9" ht="12.75">
      <c r="B102" s="7"/>
      <c r="D102" s="58" t="s">
        <v>5</v>
      </c>
      <c r="E102" s="58" t="s">
        <v>6</v>
      </c>
      <c r="F102" s="369"/>
      <c r="G102" s="367"/>
      <c r="H102" s="367"/>
      <c r="I102" s="367"/>
    </row>
    <row r="103" spans="2:9" ht="14.25" customHeight="1" thickBot="1">
      <c r="B103" s="7"/>
      <c r="D103" s="28">
        <f>C94</f>
        <v>0</v>
      </c>
      <c r="E103" s="323">
        <f>C95</f>
        <v>0</v>
      </c>
      <c r="F103" s="370"/>
      <c r="G103" s="371"/>
      <c r="H103" s="367"/>
      <c r="I103" s="367"/>
    </row>
    <row r="104" spans="2:7" ht="16.5" customHeight="1" thickBot="1">
      <c r="B104" s="31"/>
      <c r="C104" s="32" t="s">
        <v>105</v>
      </c>
      <c r="D104" s="324">
        <f>D103/(1-E103)</f>
        <v>0</v>
      </c>
      <c r="E104" s="325" t="e">
        <f>(1-D103)/E103</f>
        <v>#DIV/0!</v>
      </c>
      <c r="F104" s="35" t="s">
        <v>218</v>
      </c>
      <c r="G104" s="37"/>
    </row>
    <row r="105" spans="3:6" ht="14.25" customHeight="1" hidden="1">
      <c r="C105" s="63"/>
      <c r="D105" s="326"/>
      <c r="E105" s="327"/>
      <c r="F105" s="66"/>
    </row>
    <row r="106" spans="3:12" ht="12.75" hidden="1">
      <c r="C106" s="76" t="s">
        <v>117</v>
      </c>
      <c r="D106" s="311"/>
      <c r="E106" s="328"/>
      <c r="F106" s="328"/>
      <c r="G106" s="329"/>
      <c r="H106" s="329"/>
      <c r="I106" s="330"/>
      <c r="J106" s="65"/>
      <c r="K106" s="137"/>
      <c r="L106" s="137"/>
    </row>
    <row r="107" spans="3:13" ht="12.75" hidden="1">
      <c r="C107" s="76" t="s">
        <v>31</v>
      </c>
      <c r="D107" s="311"/>
      <c r="E107" s="65"/>
      <c r="F107" s="65"/>
      <c r="G107" s="311"/>
      <c r="H107" s="311"/>
      <c r="I107" s="272"/>
      <c r="J107" s="65"/>
      <c r="K107" s="140"/>
      <c r="L107" s="140"/>
      <c r="M107" s="140"/>
    </row>
    <row r="108" spans="3:13" ht="12.75" hidden="1">
      <c r="C108" s="331" t="s">
        <v>221</v>
      </c>
      <c r="D108" s="62" t="s">
        <v>32</v>
      </c>
      <c r="F108" s="62" t="s">
        <v>222</v>
      </c>
      <c r="G108" s="62"/>
      <c r="H108" s="62" t="s">
        <v>33</v>
      </c>
      <c r="I108" s="62"/>
      <c r="J108" s="62" t="s">
        <v>34</v>
      </c>
      <c r="K108" s="140"/>
      <c r="L108" s="140"/>
      <c r="M108" s="140"/>
    </row>
    <row r="109" spans="3:13" ht="38.25" hidden="1">
      <c r="C109" s="143" t="s">
        <v>16</v>
      </c>
      <c r="D109" s="143" t="s">
        <v>13</v>
      </c>
      <c r="E109" s="144" t="s">
        <v>35</v>
      </c>
      <c r="F109" s="144" t="s">
        <v>32</v>
      </c>
      <c r="G109" s="144" t="s">
        <v>222</v>
      </c>
      <c r="H109" s="144" t="s">
        <v>33</v>
      </c>
      <c r="I109" s="144" t="s">
        <v>34</v>
      </c>
      <c r="J109" s="145" t="s">
        <v>46</v>
      </c>
      <c r="K109" s="144" t="s">
        <v>17</v>
      </c>
      <c r="L109" s="144" t="s">
        <v>14</v>
      </c>
      <c r="M109" s="144" t="s">
        <v>15</v>
      </c>
    </row>
    <row r="110" spans="2:13" ht="12.75" hidden="1">
      <c r="B110" s="146" t="s">
        <v>5</v>
      </c>
      <c r="C110" s="372">
        <f>D96</f>
        <v>0</v>
      </c>
      <c r="D110" s="147">
        <f>D100</f>
        <v>0</v>
      </c>
      <c r="E110" s="148" t="e">
        <f>C110/D110</f>
        <v>#DIV/0!</v>
      </c>
      <c r="F110" s="148">
        <f>2*C110+J110^2</f>
        <v>3.8414588206941245</v>
      </c>
      <c r="G110" s="148" t="e">
        <f>J110*SQRT((J110^2)+(4*C110*(1-E110)))</f>
        <v>#DIV/0!</v>
      </c>
      <c r="H110" s="149">
        <f>2*(D110+J110^2)</f>
        <v>7.682917641388249</v>
      </c>
      <c r="I110" s="150" t="s">
        <v>37</v>
      </c>
      <c r="J110" s="151">
        <f>-NORMSINV(2.5/100)</f>
        <v>1.9599639845400538</v>
      </c>
      <c r="K110" s="214" t="e">
        <f>E110</f>
        <v>#DIV/0!</v>
      </c>
      <c r="L110" s="214" t="e">
        <f>(F110-G110)/H110</f>
        <v>#DIV/0!</v>
      </c>
      <c r="M110" s="214" t="e">
        <f>(F110+G110)/H110</f>
        <v>#DIV/0!</v>
      </c>
    </row>
    <row r="111" spans="2:13" ht="12.75" hidden="1">
      <c r="B111" s="146" t="s">
        <v>6</v>
      </c>
      <c r="C111" s="372">
        <f>E98</f>
        <v>0</v>
      </c>
      <c r="D111" s="147">
        <f>E100</f>
        <v>0</v>
      </c>
      <c r="E111" s="148" t="e">
        <f>C111/D111</f>
        <v>#DIV/0!</v>
      </c>
      <c r="F111" s="148">
        <f>2*C111+J111^2</f>
        <v>3.8414588206941245</v>
      </c>
      <c r="G111" s="148" t="e">
        <f>J111*SQRT((J111^2)+(4*C111*(1-E111)))</f>
        <v>#DIV/0!</v>
      </c>
      <c r="H111" s="149">
        <f>2*(D111+J111^2)</f>
        <v>7.682917641388249</v>
      </c>
      <c r="I111" s="150" t="s">
        <v>37</v>
      </c>
      <c r="J111" s="151">
        <f>-NORMSINV(2.5/100)</f>
        <v>1.9599639845400538</v>
      </c>
      <c r="K111" s="214" t="e">
        <f>E111</f>
        <v>#DIV/0!</v>
      </c>
      <c r="L111" s="214" t="e">
        <f>(F111-G111)/H111</f>
        <v>#DIV/0!</v>
      </c>
      <c r="M111" s="214" t="e">
        <f>(F111+G111)/H111</f>
        <v>#DIV/0!</v>
      </c>
    </row>
    <row r="112" spans="2:13" ht="12.75" hidden="1">
      <c r="B112" s="154" t="s">
        <v>24</v>
      </c>
      <c r="C112" s="372">
        <f>D96</f>
        <v>0</v>
      </c>
      <c r="D112" s="152">
        <f>F96</f>
        <v>0</v>
      </c>
      <c r="E112" s="148" t="e">
        <f>C112/D112</f>
        <v>#DIV/0!</v>
      </c>
      <c r="F112" s="148">
        <f>2*C112+J112^2</f>
        <v>3.8414588206941245</v>
      </c>
      <c r="G112" s="148" t="e">
        <f>J112*SQRT((J112^2)+(4*C112*(1-E112)))</f>
        <v>#DIV/0!</v>
      </c>
      <c r="H112" s="149">
        <f>2*(D112+J112^2)</f>
        <v>7.682917641388249</v>
      </c>
      <c r="I112" s="150" t="s">
        <v>37</v>
      </c>
      <c r="J112" s="151">
        <f>-NORMSINV(2.5/100)</f>
        <v>1.9599639845400538</v>
      </c>
      <c r="K112" s="214" t="e">
        <f>E112</f>
        <v>#DIV/0!</v>
      </c>
      <c r="L112" s="214" t="e">
        <f>(F112-G112)/H112</f>
        <v>#DIV/0!</v>
      </c>
      <c r="M112" s="214" t="e">
        <f>(F112+G112)/H112</f>
        <v>#DIV/0!</v>
      </c>
    </row>
    <row r="113" spans="2:13" ht="12.75" hidden="1">
      <c r="B113" s="154" t="s">
        <v>25</v>
      </c>
      <c r="C113" s="372">
        <f>E98</f>
        <v>0</v>
      </c>
      <c r="D113" s="152">
        <f>F98</f>
        <v>0</v>
      </c>
      <c r="E113" s="148" t="e">
        <f>C113/D113</f>
        <v>#DIV/0!</v>
      </c>
      <c r="F113" s="148">
        <f>2*C113+J113^2</f>
        <v>3.8414588206941245</v>
      </c>
      <c r="G113" s="148" t="e">
        <f>J113*SQRT((J113^2)+(4*C113*(1-E113)))</f>
        <v>#DIV/0!</v>
      </c>
      <c r="H113" s="149">
        <f>2*(D113+J113^2)</f>
        <v>7.682917641388249</v>
      </c>
      <c r="I113" s="150" t="s">
        <v>37</v>
      </c>
      <c r="J113" s="151">
        <f>-NORMSINV(2.5/100)</f>
        <v>1.9599639845400538</v>
      </c>
      <c r="K113" s="214" t="e">
        <f>E113</f>
        <v>#DIV/0!</v>
      </c>
      <c r="L113" s="214" t="e">
        <f>(F113-G113)/H113</f>
        <v>#DIV/0!</v>
      </c>
      <c r="M113" s="214" t="e">
        <f>(F113+G113)/H113</f>
        <v>#DIV/0!</v>
      </c>
    </row>
    <row r="114" spans="2:13" ht="12.75" hidden="1">
      <c r="B114" s="373"/>
      <c r="C114" s="373"/>
      <c r="D114" s="374"/>
      <c r="E114" s="328"/>
      <c r="F114" s="328"/>
      <c r="G114" s="328"/>
      <c r="H114" s="375"/>
      <c r="I114" s="329"/>
      <c r="J114" s="65"/>
      <c r="K114" s="65"/>
      <c r="L114" s="65"/>
      <c r="M114" s="65"/>
    </row>
    <row r="115" spans="2:13" ht="13.5" hidden="1" thickBot="1">
      <c r="B115" s="332"/>
      <c r="C115" s="333"/>
      <c r="D115" s="333"/>
      <c r="E115" s="334" t="s">
        <v>223</v>
      </c>
      <c r="F115" s="334" t="s">
        <v>224</v>
      </c>
      <c r="G115" s="334" t="s">
        <v>225</v>
      </c>
      <c r="H115" s="335"/>
      <c r="I115" s="329"/>
      <c r="J115" s="65"/>
      <c r="K115" s="65"/>
      <c r="L115" s="65"/>
      <c r="M115" s="65"/>
    </row>
    <row r="116" spans="2:13" ht="12.75" hidden="1">
      <c r="B116" s="336" t="s">
        <v>226</v>
      </c>
      <c r="C116" s="337"/>
      <c r="D116" s="338" t="e">
        <f>ROUND(K112,3)*100&amp;B119</f>
        <v>#DIV/0!</v>
      </c>
      <c r="E116" s="339" t="e">
        <f>ROUND(K113,3)*100&amp;B119</f>
        <v>#DIV/0!</v>
      </c>
      <c r="F116" s="339" t="e">
        <f>ROUND(K110,3)*100&amp;B119</f>
        <v>#DIV/0!</v>
      </c>
      <c r="G116" s="339" t="e">
        <f>ROUND(K111,3)*100&amp;B119</f>
        <v>#DIV/0!</v>
      </c>
      <c r="H116" s="340"/>
      <c r="I116" s="329"/>
      <c r="J116" s="65"/>
      <c r="K116" s="65"/>
      <c r="L116" s="65"/>
      <c r="M116" s="65"/>
    </row>
    <row r="117" spans="2:13" ht="12.75" hidden="1">
      <c r="B117" s="341" t="s">
        <v>227</v>
      </c>
      <c r="C117" s="342"/>
      <c r="D117" s="338" t="e">
        <f>ROUND(L112,3)*100&amp;B119</f>
        <v>#DIV/0!</v>
      </c>
      <c r="E117" s="339" t="e">
        <f>ROUND(L113,3)*100&amp;B119</f>
        <v>#DIV/0!</v>
      </c>
      <c r="F117" s="339" t="e">
        <f>ROUND(L110,3)*100&amp;B119</f>
        <v>#DIV/0!</v>
      </c>
      <c r="G117" s="339" t="e">
        <f>ROUND(L111,3)*100&amp;B119</f>
        <v>#DIV/0!</v>
      </c>
      <c r="H117" s="340"/>
      <c r="I117" s="329"/>
      <c r="J117" s="65"/>
      <c r="K117" s="65"/>
      <c r="L117" s="65"/>
      <c r="M117" s="65"/>
    </row>
    <row r="118" spans="2:13" ht="12.75" hidden="1">
      <c r="B118" s="341" t="s">
        <v>228</v>
      </c>
      <c r="C118" s="343" t="str">
        <f>ROUND(C93,4)*100&amp;B119</f>
        <v>0%</v>
      </c>
      <c r="D118" s="338" t="e">
        <f>ROUND(M112,3)*100&amp;B119</f>
        <v>#DIV/0!</v>
      </c>
      <c r="E118" s="339" t="e">
        <f>ROUND(M113,3)*100&amp;B119</f>
        <v>#DIV/0!</v>
      </c>
      <c r="F118" s="339" t="e">
        <f>ROUND(M110,3)*100&amp;B119</f>
        <v>#DIV/0!</v>
      </c>
      <c r="G118" s="339" t="e">
        <f>ROUND(M111,3)*100&amp;B119</f>
        <v>#DIV/0!</v>
      </c>
      <c r="H118" s="344">
        <f>D104</f>
        <v>0</v>
      </c>
      <c r="I118" s="329"/>
      <c r="J118" s="65"/>
      <c r="K118" s="65"/>
      <c r="L118" s="65"/>
      <c r="M118" s="65"/>
    </row>
    <row r="119" spans="2:13" ht="12.75" hidden="1">
      <c r="B119" s="341" t="s">
        <v>229</v>
      </c>
      <c r="C119" s="345" t="s">
        <v>230</v>
      </c>
      <c r="D119" s="345" t="s">
        <v>231</v>
      </c>
      <c r="E119" s="345" t="s">
        <v>232</v>
      </c>
      <c r="F119" s="345" t="s">
        <v>5</v>
      </c>
      <c r="G119" s="346" t="s">
        <v>6</v>
      </c>
      <c r="H119" s="347" t="s">
        <v>233</v>
      </c>
      <c r="I119" s="329"/>
      <c r="J119" s="65"/>
      <c r="K119" s="65"/>
      <c r="L119" s="65"/>
      <c r="M119" s="65"/>
    </row>
    <row r="120" spans="2:13" ht="12.75" hidden="1">
      <c r="B120" s="348" t="s">
        <v>80</v>
      </c>
      <c r="C120" s="349" t="str">
        <f>C118</f>
        <v>0%</v>
      </c>
      <c r="D120" s="350" t="e">
        <f>CONCATENATE(D116," ",B116,D117," ",B120," ",D118,B118)</f>
        <v>#DIV/0!</v>
      </c>
      <c r="E120" s="350" t="e">
        <f>CONCATENATE(E116," ",B116,E117," ",B120," ",E118,B118)</f>
        <v>#DIV/0!</v>
      </c>
      <c r="F120" s="350" t="e">
        <f>CONCATENATE(F116," ",B116,F117," ",B120," ",F118,B118)</f>
        <v>#DIV/0!</v>
      </c>
      <c r="G120" s="350" t="e">
        <f>CONCATENATE(G116," ",B116,G117," ",B120," ",G118,B118)</f>
        <v>#DIV/0!</v>
      </c>
      <c r="H120" s="351">
        <f>H118</f>
        <v>0</v>
      </c>
      <c r="I120" s="329"/>
      <c r="J120" s="65"/>
      <c r="K120" s="65"/>
      <c r="L120" s="65"/>
      <c r="M120" s="65"/>
    </row>
    <row r="121" spans="2:13" ht="13.5" hidden="1" thickBot="1">
      <c r="B121" s="352" t="s">
        <v>234</v>
      </c>
      <c r="C121" s="353"/>
      <c r="D121" s="353"/>
      <c r="E121" s="353"/>
      <c r="F121" s="353"/>
      <c r="G121" s="353"/>
      <c r="H121" s="354"/>
      <c r="I121" s="329"/>
      <c r="J121" s="65"/>
      <c r="K121" s="65"/>
      <c r="L121" s="65"/>
      <c r="M121" s="65"/>
    </row>
    <row r="123" spans="2:7" ht="12.75">
      <c r="B123" s="355" t="s">
        <v>272</v>
      </c>
      <c r="C123" s="355" t="s">
        <v>231</v>
      </c>
      <c r="D123" s="356" t="s">
        <v>232</v>
      </c>
      <c r="E123" s="356" t="s">
        <v>5</v>
      </c>
      <c r="F123" s="356" t="s">
        <v>6</v>
      </c>
      <c r="G123" s="356" t="s">
        <v>233</v>
      </c>
    </row>
    <row r="124" spans="2:7" ht="18.75" customHeight="1">
      <c r="B124" s="357" t="str">
        <f aca="true" t="shared" si="2" ref="B124:G124">C120</f>
        <v>0%</v>
      </c>
      <c r="C124" s="357" t="e">
        <f t="shared" si="2"/>
        <v>#DIV/0!</v>
      </c>
      <c r="D124" s="357" t="e">
        <f t="shared" si="2"/>
        <v>#DIV/0!</v>
      </c>
      <c r="E124" s="357" t="e">
        <f t="shared" si="2"/>
        <v>#DIV/0!</v>
      </c>
      <c r="F124" s="357" t="e">
        <f t="shared" si="2"/>
        <v>#DIV/0!</v>
      </c>
      <c r="G124" s="358">
        <f t="shared" si="2"/>
        <v>0</v>
      </c>
    </row>
    <row r="126" spans="8:9" ht="15" customHeight="1" thickBot="1">
      <c r="H126" s="68"/>
      <c r="I126" s="68"/>
    </row>
    <row r="127" spans="2:9" ht="15">
      <c r="B127" s="562" t="s">
        <v>282</v>
      </c>
      <c r="C127" s="563"/>
      <c r="D127" s="563"/>
      <c r="E127" s="563"/>
      <c r="F127" s="563"/>
      <c r="G127" s="564"/>
      <c r="H127" s="376"/>
      <c r="I127" s="376"/>
    </row>
    <row r="128" spans="2:9" ht="18.75" customHeight="1" thickBot="1">
      <c r="B128" s="571" t="s">
        <v>238</v>
      </c>
      <c r="C128" s="572"/>
      <c r="D128" s="572"/>
      <c r="E128" s="572"/>
      <c r="F128" s="572"/>
      <c r="G128" s="573"/>
      <c r="H128" s="376"/>
      <c r="I128" s="376"/>
    </row>
    <row r="129" spans="2:9" ht="17.25" customHeight="1">
      <c r="B129" s="423" t="s">
        <v>197</v>
      </c>
      <c r="C129" s="424"/>
      <c r="D129" s="424"/>
      <c r="E129" s="424"/>
      <c r="F129" s="424"/>
      <c r="G129" s="425"/>
      <c r="H129" s="376"/>
      <c r="I129" s="376"/>
    </row>
    <row r="130" spans="2:9" ht="24" customHeight="1" thickBot="1">
      <c r="B130" s="568" t="s">
        <v>196</v>
      </c>
      <c r="C130" s="569"/>
      <c r="D130" s="569"/>
      <c r="E130" s="569"/>
      <c r="F130" s="569"/>
      <c r="G130" s="570"/>
      <c r="H130" s="376"/>
      <c r="I130" s="376"/>
    </row>
    <row r="131" spans="2:8" ht="13.5" thickBot="1">
      <c r="B131" s="312" t="s">
        <v>9</v>
      </c>
      <c r="C131" s="313"/>
      <c r="D131" s="536" t="s">
        <v>39</v>
      </c>
      <c r="E131" s="537"/>
      <c r="F131" s="8"/>
      <c r="G131" s="243"/>
      <c r="H131" s="243"/>
    </row>
    <row r="132" spans="2:11" ht="12.75">
      <c r="B132" s="312" t="s">
        <v>10</v>
      </c>
      <c r="C132" s="314"/>
      <c r="D132" s="202" t="s">
        <v>143</v>
      </c>
      <c r="E132" s="202" t="s">
        <v>144</v>
      </c>
      <c r="F132" s="309" t="s">
        <v>0</v>
      </c>
      <c r="G132" s="9"/>
      <c r="H132" s="10"/>
      <c r="I132" s="362"/>
      <c r="K132" s="98"/>
    </row>
    <row r="133" spans="2:6" ht="12.75">
      <c r="B133" s="312" t="s">
        <v>11</v>
      </c>
      <c r="C133" s="314"/>
      <c r="D133" s="45">
        <f>C131*C132</f>
        <v>0</v>
      </c>
      <c r="E133" s="45">
        <f>C131-D133</f>
        <v>0</v>
      </c>
      <c r="F133" s="109"/>
    </row>
    <row r="134" spans="2:6" ht="13.5" thickBot="1">
      <c r="B134" s="312" t="s">
        <v>12</v>
      </c>
      <c r="C134" s="314"/>
      <c r="D134" s="364"/>
      <c r="E134" s="364"/>
      <c r="F134" s="109"/>
    </row>
    <row r="135" spans="2:9" ht="12.75">
      <c r="B135" s="538" t="s">
        <v>40</v>
      </c>
      <c r="C135" s="527" t="s">
        <v>7</v>
      </c>
      <c r="D135" s="321">
        <f>D133*D142</f>
        <v>0</v>
      </c>
      <c r="E135" s="366">
        <f>E133-E137</f>
        <v>0</v>
      </c>
      <c r="F135" s="112">
        <f>SUM(D135:E135)</f>
        <v>0</v>
      </c>
      <c r="G135" s="46" t="s">
        <v>93</v>
      </c>
      <c r="H135" s="367"/>
      <c r="I135" s="367"/>
    </row>
    <row r="136" spans="2:9" ht="51.75" thickBot="1">
      <c r="B136" s="539"/>
      <c r="C136" s="528"/>
      <c r="D136" s="20" t="s">
        <v>112</v>
      </c>
      <c r="E136" s="21" t="s">
        <v>113</v>
      </c>
      <c r="F136" s="310" t="s">
        <v>1</v>
      </c>
      <c r="G136" s="368" t="e">
        <f>D135/F135</f>
        <v>#DIV/0!</v>
      </c>
      <c r="H136" s="367"/>
      <c r="I136" s="367"/>
    </row>
    <row r="137" spans="2:9" ht="12.75">
      <c r="B137" s="539"/>
      <c r="C137" s="527" t="s">
        <v>8</v>
      </c>
      <c r="D137" s="320">
        <f>D133-D135</f>
        <v>0</v>
      </c>
      <c r="E137" s="365">
        <f>E133*E142</f>
        <v>0</v>
      </c>
      <c r="F137" s="112">
        <f>SUM(D137:E137)</f>
        <v>0</v>
      </c>
      <c r="G137" s="46" t="s">
        <v>55</v>
      </c>
      <c r="H137" s="367"/>
      <c r="I137" s="367"/>
    </row>
    <row r="138" spans="2:9" ht="51.75" thickBot="1">
      <c r="B138" s="540"/>
      <c r="C138" s="528"/>
      <c r="D138" s="21" t="s">
        <v>114</v>
      </c>
      <c r="E138" s="20" t="s">
        <v>115</v>
      </c>
      <c r="F138" s="310" t="s">
        <v>2</v>
      </c>
      <c r="G138" s="322" t="e">
        <f>E137/F137</f>
        <v>#DIV/0!</v>
      </c>
      <c r="H138" s="367"/>
      <c r="I138" s="367"/>
    </row>
    <row r="139" spans="2:6" ht="12.75">
      <c r="B139" s="7"/>
      <c r="C139" s="548" t="s">
        <v>0</v>
      </c>
      <c r="D139" s="18">
        <f>D135+D137</f>
        <v>0</v>
      </c>
      <c r="E139" s="18">
        <f>E135+E137</f>
        <v>0</v>
      </c>
      <c r="F139" s="549">
        <f>F135+F137</f>
        <v>0</v>
      </c>
    </row>
    <row r="140" spans="2:6" ht="26.25" thickBot="1">
      <c r="B140" s="7"/>
      <c r="C140" s="516"/>
      <c r="D140" s="14" t="s">
        <v>4</v>
      </c>
      <c r="E140" s="14" t="s">
        <v>3</v>
      </c>
      <c r="F140" s="518"/>
    </row>
    <row r="141" spans="2:9" ht="12.75">
      <c r="B141" s="7"/>
      <c r="D141" s="58" t="s">
        <v>5</v>
      </c>
      <c r="E141" s="58" t="s">
        <v>6</v>
      </c>
      <c r="F141" s="369"/>
      <c r="G141" s="377" t="s">
        <v>239</v>
      </c>
      <c r="H141" s="367"/>
      <c r="I141" s="367"/>
    </row>
    <row r="142" spans="2:9" ht="13.5" thickBot="1">
      <c r="B142" s="7"/>
      <c r="D142" s="28">
        <f>C133</f>
        <v>0</v>
      </c>
      <c r="E142" s="323">
        <f>C134</f>
        <v>0</v>
      </c>
      <c r="F142" s="370"/>
      <c r="G142" s="371"/>
      <c r="H142" s="367"/>
      <c r="I142" s="367"/>
    </row>
    <row r="143" spans="2:7" ht="13.5" thickBot="1">
      <c r="B143" s="31"/>
      <c r="C143" s="32" t="s">
        <v>105</v>
      </c>
      <c r="D143" s="324">
        <f>D142/(1-E142)</f>
        <v>0</v>
      </c>
      <c r="E143" s="325" t="e">
        <f>(1-D142)/E142</f>
        <v>#DIV/0!</v>
      </c>
      <c r="F143" s="35" t="s">
        <v>109</v>
      </c>
      <c r="G143" s="37"/>
    </row>
    <row r="144" spans="3:6" ht="12.75" hidden="1">
      <c r="C144" s="63"/>
      <c r="D144" s="326"/>
      <c r="E144" s="327"/>
      <c r="F144" s="66"/>
    </row>
    <row r="145" spans="3:12" ht="12.75" hidden="1">
      <c r="C145" s="76" t="s">
        <v>117</v>
      </c>
      <c r="D145" s="311"/>
      <c r="E145" s="328"/>
      <c r="F145" s="328"/>
      <c r="G145" s="329"/>
      <c r="H145" s="329"/>
      <c r="I145" s="330"/>
      <c r="J145" s="65"/>
      <c r="K145" s="137"/>
      <c r="L145" s="137"/>
    </row>
    <row r="146" spans="3:13" ht="12.75" hidden="1">
      <c r="C146" s="76" t="s">
        <v>31</v>
      </c>
      <c r="D146" s="311"/>
      <c r="E146" s="65"/>
      <c r="F146" s="65"/>
      <c r="G146" s="311"/>
      <c r="H146" s="311"/>
      <c r="I146" s="272"/>
      <c r="J146" s="65"/>
      <c r="K146" s="140"/>
      <c r="L146" s="140"/>
      <c r="M146" s="140"/>
    </row>
    <row r="147" spans="3:13" ht="12.75" hidden="1">
      <c r="C147" s="331" t="s">
        <v>221</v>
      </c>
      <c r="D147" s="62" t="s">
        <v>32</v>
      </c>
      <c r="F147" s="62" t="s">
        <v>222</v>
      </c>
      <c r="G147" s="62"/>
      <c r="H147" s="62" t="s">
        <v>33</v>
      </c>
      <c r="I147" s="62"/>
      <c r="J147" s="62" t="s">
        <v>34</v>
      </c>
      <c r="K147" s="140"/>
      <c r="L147" s="140"/>
      <c r="M147" s="140"/>
    </row>
    <row r="148" spans="3:13" ht="38.25" hidden="1">
      <c r="C148" s="143" t="s">
        <v>16</v>
      </c>
      <c r="D148" s="143" t="s">
        <v>13</v>
      </c>
      <c r="E148" s="144" t="s">
        <v>35</v>
      </c>
      <c r="F148" s="144" t="s">
        <v>32</v>
      </c>
      <c r="G148" s="144" t="s">
        <v>222</v>
      </c>
      <c r="H148" s="144" t="s">
        <v>33</v>
      </c>
      <c r="I148" s="144" t="s">
        <v>34</v>
      </c>
      <c r="J148" s="145" t="s">
        <v>46</v>
      </c>
      <c r="K148" s="144" t="s">
        <v>17</v>
      </c>
      <c r="L148" s="144" t="s">
        <v>14</v>
      </c>
      <c r="M148" s="144" t="s">
        <v>15</v>
      </c>
    </row>
    <row r="149" spans="2:13" ht="12.75" hidden="1">
      <c r="B149" s="146" t="s">
        <v>5</v>
      </c>
      <c r="C149" s="372">
        <f>D135</f>
        <v>0</v>
      </c>
      <c r="D149" s="147">
        <f>D139</f>
        <v>0</v>
      </c>
      <c r="E149" s="148" t="e">
        <f>C149/D149</f>
        <v>#DIV/0!</v>
      </c>
      <c r="F149" s="148">
        <f>2*C149+J149^2</f>
        <v>3.8414588206941245</v>
      </c>
      <c r="G149" s="148" t="e">
        <f>J149*SQRT((J149^2)+(4*C149*(1-E149)))</f>
        <v>#DIV/0!</v>
      </c>
      <c r="H149" s="149">
        <f>2*(D149+J149^2)</f>
        <v>7.682917641388249</v>
      </c>
      <c r="I149" s="150" t="s">
        <v>37</v>
      </c>
      <c r="J149" s="151">
        <f>-NORMSINV(2.5/100)</f>
        <v>1.9599639845400538</v>
      </c>
      <c r="K149" s="214" t="e">
        <f>E149</f>
        <v>#DIV/0!</v>
      </c>
      <c r="L149" s="214" t="e">
        <f>(F149-G149)/H149</f>
        <v>#DIV/0!</v>
      </c>
      <c r="M149" s="214" t="e">
        <f>(F149+G149)/H149</f>
        <v>#DIV/0!</v>
      </c>
    </row>
    <row r="150" spans="2:13" ht="12.75" hidden="1">
      <c r="B150" s="146" t="s">
        <v>6</v>
      </c>
      <c r="C150" s="372">
        <f>E137</f>
        <v>0</v>
      </c>
      <c r="D150" s="147">
        <f>E139</f>
        <v>0</v>
      </c>
      <c r="E150" s="148" t="e">
        <f>C150/D150</f>
        <v>#DIV/0!</v>
      </c>
      <c r="F150" s="148">
        <f>2*C150+J150^2</f>
        <v>3.8414588206941245</v>
      </c>
      <c r="G150" s="148" t="e">
        <f>J150*SQRT((J150^2)+(4*C150*(1-E150)))</f>
        <v>#DIV/0!</v>
      </c>
      <c r="H150" s="149">
        <f>2*(D150+J150^2)</f>
        <v>7.682917641388249</v>
      </c>
      <c r="I150" s="150" t="s">
        <v>37</v>
      </c>
      <c r="J150" s="151">
        <f>-NORMSINV(2.5/100)</f>
        <v>1.9599639845400538</v>
      </c>
      <c r="K150" s="214" t="e">
        <f>E150</f>
        <v>#DIV/0!</v>
      </c>
      <c r="L150" s="214" t="e">
        <f>(F150-G150)/H150</f>
        <v>#DIV/0!</v>
      </c>
      <c r="M150" s="214" t="e">
        <f>(F150+G150)/H150</f>
        <v>#DIV/0!</v>
      </c>
    </row>
    <row r="151" spans="2:13" ht="12.75" hidden="1">
      <c r="B151" s="154" t="s">
        <v>24</v>
      </c>
      <c r="C151" s="372">
        <f>D135</f>
        <v>0</v>
      </c>
      <c r="D151" s="152">
        <f>F135</f>
        <v>0</v>
      </c>
      <c r="E151" s="148" t="e">
        <f>C151/D151</f>
        <v>#DIV/0!</v>
      </c>
      <c r="F151" s="148">
        <f>2*C151+J151^2</f>
        <v>3.8414588206941245</v>
      </c>
      <c r="G151" s="148" t="e">
        <f>J151*SQRT((J151^2)+(4*C151*(1-E151)))</f>
        <v>#DIV/0!</v>
      </c>
      <c r="H151" s="149">
        <f>2*(D151+J151^2)</f>
        <v>7.682917641388249</v>
      </c>
      <c r="I151" s="150" t="s">
        <v>37</v>
      </c>
      <c r="J151" s="151">
        <f>-NORMSINV(2.5/100)</f>
        <v>1.9599639845400538</v>
      </c>
      <c r="K151" s="214" t="e">
        <f>E151</f>
        <v>#DIV/0!</v>
      </c>
      <c r="L151" s="214" t="e">
        <f>(F151-G151)/H151</f>
        <v>#DIV/0!</v>
      </c>
      <c r="M151" s="214" t="e">
        <f>(F151+G151)/H151</f>
        <v>#DIV/0!</v>
      </c>
    </row>
    <row r="152" spans="2:13" ht="12.75" hidden="1">
      <c r="B152" s="154" t="s">
        <v>25</v>
      </c>
      <c r="C152" s="372">
        <f>E137</f>
        <v>0</v>
      </c>
      <c r="D152" s="152">
        <f>F137</f>
        <v>0</v>
      </c>
      <c r="E152" s="148" t="e">
        <f>C152/D152</f>
        <v>#DIV/0!</v>
      </c>
      <c r="F152" s="148">
        <f>2*C152+J152^2</f>
        <v>3.8414588206941245</v>
      </c>
      <c r="G152" s="148" t="e">
        <f>J152*SQRT((J152^2)+(4*C152*(1-E152)))</f>
        <v>#DIV/0!</v>
      </c>
      <c r="H152" s="149">
        <f>2*(D152+J152^2)</f>
        <v>7.682917641388249</v>
      </c>
      <c r="I152" s="150" t="s">
        <v>37</v>
      </c>
      <c r="J152" s="151">
        <f>-NORMSINV(2.5/100)</f>
        <v>1.9599639845400538</v>
      </c>
      <c r="K152" s="214" t="e">
        <f>E152</f>
        <v>#DIV/0!</v>
      </c>
      <c r="L152" s="214" t="e">
        <f>(F152-G152)/H152</f>
        <v>#DIV/0!</v>
      </c>
      <c r="M152" s="214" t="e">
        <f>(F152+G152)/H152</f>
        <v>#DIV/0!</v>
      </c>
    </row>
    <row r="153" spans="3:13" ht="12.75" hidden="1">
      <c r="C153" s="373"/>
      <c r="D153" s="374"/>
      <c r="E153" s="65"/>
      <c r="F153" s="65"/>
      <c r="G153" s="65"/>
      <c r="H153" s="378"/>
      <c r="I153" s="311"/>
      <c r="J153" s="65"/>
      <c r="K153" s="137"/>
      <c r="L153" s="137"/>
      <c r="M153" s="137"/>
    </row>
    <row r="154" spans="2:13" ht="13.5" hidden="1" thickBot="1">
      <c r="B154" s="332"/>
      <c r="C154" s="333"/>
      <c r="D154" s="333"/>
      <c r="E154" s="334" t="s">
        <v>223</v>
      </c>
      <c r="F154" s="334" t="s">
        <v>224</v>
      </c>
      <c r="G154" s="334" t="s">
        <v>225</v>
      </c>
      <c r="H154" s="335"/>
      <c r="I154" s="311"/>
      <c r="J154" s="65"/>
      <c r="K154" s="137"/>
      <c r="L154" s="137"/>
      <c r="M154" s="137"/>
    </row>
    <row r="155" spans="2:13" ht="12.75" hidden="1">
      <c r="B155" s="336" t="s">
        <v>226</v>
      </c>
      <c r="C155" s="337"/>
      <c r="D155" s="338" t="e">
        <f>ROUND(K151,3)*100&amp;B158</f>
        <v>#DIV/0!</v>
      </c>
      <c r="E155" s="339" t="e">
        <f>ROUND(K152,3)*100&amp;B158</f>
        <v>#DIV/0!</v>
      </c>
      <c r="F155" s="339" t="e">
        <f>ROUND(K149,3)*100&amp;B158</f>
        <v>#DIV/0!</v>
      </c>
      <c r="G155" s="339" t="e">
        <f>ROUND(K150,3)*100&amp;B158</f>
        <v>#DIV/0!</v>
      </c>
      <c r="H155" s="340"/>
      <c r="I155" s="311"/>
      <c r="J155" s="65"/>
      <c r="K155" s="137"/>
      <c r="L155" s="137"/>
      <c r="M155" s="137"/>
    </row>
    <row r="156" spans="2:13" ht="12.75" hidden="1">
      <c r="B156" s="341" t="s">
        <v>227</v>
      </c>
      <c r="C156" s="342"/>
      <c r="D156" s="338" t="e">
        <f>ROUND(L151,3)*100&amp;B158</f>
        <v>#DIV/0!</v>
      </c>
      <c r="E156" s="339" t="e">
        <f>ROUND(L152,3)*100&amp;B158</f>
        <v>#DIV/0!</v>
      </c>
      <c r="F156" s="339" t="e">
        <f>ROUND(L149,3)*100&amp;B158</f>
        <v>#DIV/0!</v>
      </c>
      <c r="G156" s="339" t="e">
        <f>ROUND(L150,3)*100&amp;B158</f>
        <v>#DIV/0!</v>
      </c>
      <c r="H156" s="340"/>
      <c r="I156" s="311"/>
      <c r="J156" s="65"/>
      <c r="K156" s="137"/>
      <c r="L156" s="137"/>
      <c r="M156" s="137"/>
    </row>
    <row r="157" spans="2:13" ht="12.75" hidden="1">
      <c r="B157" s="341" t="s">
        <v>228</v>
      </c>
      <c r="C157" s="343" t="str">
        <f>ROUND(C132,4)*100&amp;B158</f>
        <v>0%</v>
      </c>
      <c r="D157" s="338" t="e">
        <f>ROUND(M151,3)*100&amp;B158</f>
        <v>#DIV/0!</v>
      </c>
      <c r="E157" s="339" t="e">
        <f>ROUND(M152,3)*100&amp;B158</f>
        <v>#DIV/0!</v>
      </c>
      <c r="F157" s="339" t="e">
        <f>ROUND(M149,3)*100&amp;B158</f>
        <v>#DIV/0!</v>
      </c>
      <c r="G157" s="339" t="e">
        <f>ROUND(M150,3)*100&amp;B158</f>
        <v>#DIV/0!</v>
      </c>
      <c r="H157" s="344">
        <f>D143</f>
        <v>0</v>
      </c>
      <c r="I157" s="311"/>
      <c r="J157" s="65"/>
      <c r="K157" s="137"/>
      <c r="L157" s="137"/>
      <c r="M157" s="137"/>
    </row>
    <row r="158" spans="2:13" ht="12.75" hidden="1">
      <c r="B158" s="341" t="s">
        <v>229</v>
      </c>
      <c r="C158" s="345" t="s">
        <v>230</v>
      </c>
      <c r="D158" s="345" t="s">
        <v>231</v>
      </c>
      <c r="E158" s="345" t="s">
        <v>232</v>
      </c>
      <c r="F158" s="345" t="s">
        <v>5</v>
      </c>
      <c r="G158" s="346" t="s">
        <v>6</v>
      </c>
      <c r="H158" s="347" t="s">
        <v>233</v>
      </c>
      <c r="I158" s="311"/>
      <c r="J158" s="65"/>
      <c r="K158" s="137"/>
      <c r="L158" s="137"/>
      <c r="M158" s="137"/>
    </row>
    <row r="159" spans="2:13" ht="12.75" hidden="1">
      <c r="B159" s="348" t="s">
        <v>80</v>
      </c>
      <c r="C159" s="349" t="str">
        <f>C157</f>
        <v>0%</v>
      </c>
      <c r="D159" s="350" t="e">
        <f>CONCATENATE(D155," ",B155,D156," ",B159," ",D157,B157)</f>
        <v>#DIV/0!</v>
      </c>
      <c r="E159" s="350" t="e">
        <f>CONCATENATE(E155," ",B155,E156," ",B159," ",E157,B157)</f>
        <v>#DIV/0!</v>
      </c>
      <c r="F159" s="350" t="e">
        <f>CONCATENATE(F155," ",B155,F156," ",B159," ",F157,B157)</f>
        <v>#DIV/0!</v>
      </c>
      <c r="G159" s="350" t="e">
        <f>CONCATENATE(G155," ",B155,G156," ",B159," ",G157,B157)</f>
        <v>#DIV/0!</v>
      </c>
      <c r="H159" s="351">
        <f>H157</f>
        <v>0</v>
      </c>
      <c r="I159" s="311"/>
      <c r="J159" s="65"/>
      <c r="K159" s="137"/>
      <c r="L159" s="137"/>
      <c r="M159" s="137"/>
    </row>
    <row r="160" spans="2:13" ht="13.5" hidden="1" thickBot="1">
      <c r="B160" s="352" t="s">
        <v>234</v>
      </c>
      <c r="C160" s="353"/>
      <c r="D160" s="353"/>
      <c r="E160" s="353"/>
      <c r="F160" s="353"/>
      <c r="G160" s="353"/>
      <c r="H160" s="354"/>
      <c r="I160" s="311"/>
      <c r="J160" s="65"/>
      <c r="K160" s="137"/>
      <c r="L160" s="137"/>
      <c r="M160" s="137"/>
    </row>
    <row r="161" spans="9:13" ht="12.75">
      <c r="I161" s="311"/>
      <c r="J161" s="65"/>
      <c r="K161" s="137"/>
      <c r="L161" s="137"/>
      <c r="M161" s="137"/>
    </row>
    <row r="162" spans="2:13" ht="15" customHeight="1">
      <c r="B162" s="355" t="s">
        <v>272</v>
      </c>
      <c r="C162" s="355" t="s">
        <v>231</v>
      </c>
      <c r="D162" s="356" t="s">
        <v>232</v>
      </c>
      <c r="E162" s="356" t="s">
        <v>5</v>
      </c>
      <c r="F162" s="356" t="s">
        <v>6</v>
      </c>
      <c r="G162" s="356" t="s">
        <v>233</v>
      </c>
      <c r="I162" s="311"/>
      <c r="J162" s="65"/>
      <c r="K162" s="137"/>
      <c r="L162" s="137"/>
      <c r="M162" s="137"/>
    </row>
    <row r="163" spans="2:7" ht="17.25" customHeight="1">
      <c r="B163" s="357" t="str">
        <f aca="true" t="shared" si="3" ref="B163:G163">C159</f>
        <v>0%</v>
      </c>
      <c r="C163" s="357" t="e">
        <f t="shared" si="3"/>
        <v>#DIV/0!</v>
      </c>
      <c r="D163" s="357" t="e">
        <f t="shared" si="3"/>
        <v>#DIV/0!</v>
      </c>
      <c r="E163" s="357" t="e">
        <f t="shared" si="3"/>
        <v>#DIV/0!</v>
      </c>
      <c r="F163" s="357" t="e">
        <f t="shared" si="3"/>
        <v>#DIV/0!</v>
      </c>
      <c r="G163" s="358">
        <f t="shared" si="3"/>
        <v>0</v>
      </c>
    </row>
    <row r="165" ht="13.5" thickBot="1"/>
    <row r="166" spans="2:7" ht="15">
      <c r="B166" s="474" t="s">
        <v>304</v>
      </c>
      <c r="C166" s="379"/>
      <c r="D166" s="379"/>
      <c r="E166" s="379"/>
      <c r="F166" s="379"/>
      <c r="G166" s="380"/>
    </row>
    <row r="167" spans="2:7" ht="15">
      <c r="B167" s="471" t="s">
        <v>270</v>
      </c>
      <c r="C167" s="427"/>
      <c r="D167" s="427"/>
      <c r="E167" s="427"/>
      <c r="F167" s="427"/>
      <c r="G167" s="428"/>
    </row>
    <row r="168" spans="2:8" ht="12.75">
      <c r="B168" s="123" t="s">
        <v>74</v>
      </c>
      <c r="C168" s="227"/>
      <c r="D168" s="227"/>
      <c r="E168" s="227"/>
      <c r="F168" s="227"/>
      <c r="G168" s="381"/>
      <c r="H168" s="1" t="s">
        <v>268</v>
      </c>
    </row>
    <row r="169" spans="2:8" ht="13.5" thickBot="1">
      <c r="B169" s="426" t="s">
        <v>305</v>
      </c>
      <c r="C169" s="382"/>
      <c r="D169" s="382"/>
      <c r="E169" s="382"/>
      <c r="F169" s="382"/>
      <c r="G169" s="383"/>
      <c r="H169" s="68" t="s">
        <v>269</v>
      </c>
    </row>
    <row r="170" spans="2:8" ht="13.5" thickBot="1">
      <c r="B170" s="312" t="s">
        <v>9</v>
      </c>
      <c r="C170" s="313"/>
      <c r="D170" s="536" t="s">
        <v>39</v>
      </c>
      <c r="E170" s="537"/>
      <c r="F170" s="8"/>
      <c r="G170" s="243"/>
      <c r="H170" s="243"/>
    </row>
    <row r="171" spans="2:11" ht="12.75">
      <c r="B171" s="312" t="s">
        <v>10</v>
      </c>
      <c r="C171" s="314"/>
      <c r="D171" s="202" t="s">
        <v>308</v>
      </c>
      <c r="E171" s="202" t="s">
        <v>309</v>
      </c>
      <c r="F171" s="405" t="s">
        <v>0</v>
      </c>
      <c r="G171" s="9"/>
      <c r="H171" s="10"/>
      <c r="I171" s="362"/>
      <c r="K171" s="98"/>
    </row>
    <row r="172" spans="2:6" ht="12.75">
      <c r="B172" s="312" t="s">
        <v>11</v>
      </c>
      <c r="C172" s="314"/>
      <c r="D172" s="45">
        <f>C170*C171</f>
        <v>0</v>
      </c>
      <c r="E172" s="45">
        <f>C170-D172</f>
        <v>0</v>
      </c>
      <c r="F172" s="109"/>
    </row>
    <row r="173" spans="2:6" ht="13.5" thickBot="1">
      <c r="B173" s="312" t="s">
        <v>12</v>
      </c>
      <c r="C173" s="314"/>
      <c r="D173" s="364"/>
      <c r="E173" s="364"/>
      <c r="F173" s="109"/>
    </row>
    <row r="174" spans="2:9" ht="12.75">
      <c r="B174" s="538" t="s">
        <v>40</v>
      </c>
      <c r="C174" s="527" t="s">
        <v>7</v>
      </c>
      <c r="D174" s="321">
        <f>D172*D181</f>
        <v>0</v>
      </c>
      <c r="E174" s="366">
        <f>E172-E176</f>
        <v>0</v>
      </c>
      <c r="F174" s="112">
        <f>SUM(D174:E174)</f>
        <v>0</v>
      </c>
      <c r="G174" s="46" t="s">
        <v>93</v>
      </c>
      <c r="H174" s="367"/>
      <c r="I174" s="367"/>
    </row>
    <row r="175" spans="2:9" ht="51.75" thickBot="1">
      <c r="B175" s="539"/>
      <c r="C175" s="528"/>
      <c r="D175" s="20" t="s">
        <v>112</v>
      </c>
      <c r="E175" s="21" t="s">
        <v>113</v>
      </c>
      <c r="F175" s="406" t="s">
        <v>1</v>
      </c>
      <c r="G175" s="368" t="e">
        <f>D174/F174</f>
        <v>#DIV/0!</v>
      </c>
      <c r="H175" s="367"/>
      <c r="I175" s="367"/>
    </row>
    <row r="176" spans="2:9" ht="12.75">
      <c r="B176" s="539"/>
      <c r="C176" s="527" t="s">
        <v>8</v>
      </c>
      <c r="D176" s="320">
        <f>D172-D174</f>
        <v>0</v>
      </c>
      <c r="E176" s="365">
        <f>E172*E181</f>
        <v>0</v>
      </c>
      <c r="F176" s="112">
        <f>SUM(D176:E176)</f>
        <v>0</v>
      </c>
      <c r="G176" s="46" t="s">
        <v>55</v>
      </c>
      <c r="H176" s="367"/>
      <c r="I176" s="367"/>
    </row>
    <row r="177" spans="2:9" ht="51.75" thickBot="1">
      <c r="B177" s="540"/>
      <c r="C177" s="528"/>
      <c r="D177" s="21" t="s">
        <v>114</v>
      </c>
      <c r="E177" s="20" t="s">
        <v>115</v>
      </c>
      <c r="F177" s="406" t="s">
        <v>2</v>
      </c>
      <c r="G177" s="322" t="e">
        <f>E176/F176</f>
        <v>#DIV/0!</v>
      </c>
      <c r="H177" s="367"/>
      <c r="I177" s="367"/>
    </row>
    <row r="178" spans="2:6" ht="12.75">
      <c r="B178" s="7"/>
      <c r="C178" s="548" t="s">
        <v>0</v>
      </c>
      <c r="D178" s="18">
        <f>D174+D176</f>
        <v>0</v>
      </c>
      <c r="E178" s="18">
        <f>E174+E176</f>
        <v>0</v>
      </c>
      <c r="F178" s="549">
        <f>F174+F176</f>
        <v>0</v>
      </c>
    </row>
    <row r="179" spans="2:6" ht="26.25" thickBot="1">
      <c r="B179" s="7"/>
      <c r="C179" s="516"/>
      <c r="D179" s="408" t="s">
        <v>4</v>
      </c>
      <c r="E179" s="408" t="s">
        <v>3</v>
      </c>
      <c r="F179" s="518"/>
    </row>
    <row r="180" spans="2:9" ht="12.75">
      <c r="B180" s="7"/>
      <c r="D180" s="58" t="s">
        <v>5</v>
      </c>
      <c r="E180" s="58" t="s">
        <v>6</v>
      </c>
      <c r="F180" s="369"/>
      <c r="G180" s="377"/>
      <c r="H180" s="367"/>
      <c r="I180" s="367"/>
    </row>
    <row r="181" spans="2:9" ht="13.5" thickBot="1">
      <c r="B181" s="7"/>
      <c r="D181" s="28">
        <f>C172</f>
        <v>0</v>
      </c>
      <c r="E181" s="323">
        <f>C173</f>
        <v>0</v>
      </c>
      <c r="F181" s="370"/>
      <c r="G181" s="371"/>
      <c r="H181" s="367"/>
      <c r="I181" s="367"/>
    </row>
    <row r="182" spans="2:7" ht="14.25" customHeight="1" thickBot="1">
      <c r="B182" s="31"/>
      <c r="C182" s="32" t="s">
        <v>105</v>
      </c>
      <c r="D182" s="324">
        <f>D181/(1-E181)</f>
        <v>0</v>
      </c>
      <c r="E182" s="325" t="e">
        <f>(1-D181)/E181</f>
        <v>#DIV/0!</v>
      </c>
      <c r="F182" s="35" t="s">
        <v>109</v>
      </c>
      <c r="G182" s="37"/>
    </row>
    <row r="183" spans="3:6" ht="12.75" hidden="1">
      <c r="C183" s="63"/>
      <c r="D183" s="326"/>
      <c r="E183" s="327"/>
      <c r="F183" s="66"/>
    </row>
    <row r="184" spans="3:12" ht="12.75" hidden="1">
      <c r="C184" s="76" t="s">
        <v>117</v>
      </c>
      <c r="D184" s="407"/>
      <c r="E184" s="328"/>
      <c r="F184" s="328"/>
      <c r="G184" s="329"/>
      <c r="H184" s="329"/>
      <c r="I184" s="330"/>
      <c r="J184" s="65"/>
      <c r="K184" s="137"/>
      <c r="L184" s="137"/>
    </row>
    <row r="185" spans="3:13" ht="12.75" hidden="1">
      <c r="C185" s="76" t="s">
        <v>31</v>
      </c>
      <c r="D185" s="407"/>
      <c r="E185" s="65"/>
      <c r="F185" s="65"/>
      <c r="G185" s="407"/>
      <c r="H185" s="407"/>
      <c r="I185" s="272"/>
      <c r="J185" s="65"/>
      <c r="K185" s="140"/>
      <c r="L185" s="140"/>
      <c r="M185" s="140"/>
    </row>
    <row r="186" spans="3:13" ht="12.75" hidden="1">
      <c r="C186" s="331" t="s">
        <v>221</v>
      </c>
      <c r="D186" s="62" t="s">
        <v>32</v>
      </c>
      <c r="F186" s="62" t="s">
        <v>222</v>
      </c>
      <c r="G186" s="62"/>
      <c r="H186" s="62" t="s">
        <v>33</v>
      </c>
      <c r="I186" s="62"/>
      <c r="J186" s="62" t="s">
        <v>34</v>
      </c>
      <c r="K186" s="140"/>
      <c r="L186" s="140"/>
      <c r="M186" s="140"/>
    </row>
    <row r="187" spans="3:13" ht="38.25" hidden="1">
      <c r="C187" s="143" t="s">
        <v>16</v>
      </c>
      <c r="D187" s="143" t="s">
        <v>13</v>
      </c>
      <c r="E187" s="144" t="s">
        <v>35</v>
      </c>
      <c r="F187" s="144" t="s">
        <v>32</v>
      </c>
      <c r="G187" s="144" t="s">
        <v>222</v>
      </c>
      <c r="H187" s="144" t="s">
        <v>33</v>
      </c>
      <c r="I187" s="144" t="s">
        <v>34</v>
      </c>
      <c r="J187" s="145" t="s">
        <v>46</v>
      </c>
      <c r="K187" s="144" t="s">
        <v>17</v>
      </c>
      <c r="L187" s="144" t="s">
        <v>14</v>
      </c>
      <c r="M187" s="144" t="s">
        <v>15</v>
      </c>
    </row>
    <row r="188" spans="2:13" ht="12.75" hidden="1">
      <c r="B188" s="146" t="s">
        <v>5</v>
      </c>
      <c r="C188" s="372">
        <f>D174</f>
        <v>0</v>
      </c>
      <c r="D188" s="147">
        <f>D178</f>
        <v>0</v>
      </c>
      <c r="E188" s="148" t="e">
        <f>C188/D188</f>
        <v>#DIV/0!</v>
      </c>
      <c r="F188" s="148">
        <f>2*C188+J188^2</f>
        <v>3.8414588206941245</v>
      </c>
      <c r="G188" s="148" t="e">
        <f>J188*SQRT((J188^2)+(4*C188*(1-E188)))</f>
        <v>#DIV/0!</v>
      </c>
      <c r="H188" s="149">
        <f>2*(D188+J188^2)</f>
        <v>7.682917641388249</v>
      </c>
      <c r="I188" s="150" t="s">
        <v>37</v>
      </c>
      <c r="J188" s="151">
        <f>-NORMSINV(2.5/100)</f>
        <v>1.9599639845400538</v>
      </c>
      <c r="K188" s="214" t="e">
        <f>E188</f>
        <v>#DIV/0!</v>
      </c>
      <c r="L188" s="214" t="e">
        <f>(F188-G188)/H188</f>
        <v>#DIV/0!</v>
      </c>
      <c r="M188" s="214" t="e">
        <f>(F188+G188)/H188</f>
        <v>#DIV/0!</v>
      </c>
    </row>
    <row r="189" spans="2:13" ht="12.75" hidden="1">
      <c r="B189" s="146" t="s">
        <v>6</v>
      </c>
      <c r="C189" s="372">
        <f>E176</f>
        <v>0</v>
      </c>
      <c r="D189" s="147">
        <f>E178</f>
        <v>0</v>
      </c>
      <c r="E189" s="148" t="e">
        <f>C189/D189</f>
        <v>#DIV/0!</v>
      </c>
      <c r="F189" s="148">
        <f>2*C189+J189^2</f>
        <v>3.8414588206941245</v>
      </c>
      <c r="G189" s="148" t="e">
        <f>J189*SQRT((J189^2)+(4*C189*(1-E189)))</f>
        <v>#DIV/0!</v>
      </c>
      <c r="H189" s="149">
        <f>2*(D189+J189^2)</f>
        <v>7.682917641388249</v>
      </c>
      <c r="I189" s="150" t="s">
        <v>37</v>
      </c>
      <c r="J189" s="151">
        <f>-NORMSINV(2.5/100)</f>
        <v>1.9599639845400538</v>
      </c>
      <c r="K189" s="214" t="e">
        <f>E189</f>
        <v>#DIV/0!</v>
      </c>
      <c r="L189" s="214" t="e">
        <f>(F189-G189)/H189</f>
        <v>#DIV/0!</v>
      </c>
      <c r="M189" s="214" t="e">
        <f>(F189+G189)/H189</f>
        <v>#DIV/0!</v>
      </c>
    </row>
    <row r="190" spans="2:13" ht="12.75" hidden="1">
      <c r="B190" s="154" t="s">
        <v>24</v>
      </c>
      <c r="C190" s="372">
        <f>D174</f>
        <v>0</v>
      </c>
      <c r="D190" s="152">
        <f>F174</f>
        <v>0</v>
      </c>
      <c r="E190" s="148" t="e">
        <f>C190/D190</f>
        <v>#DIV/0!</v>
      </c>
      <c r="F190" s="148">
        <f>2*C190+J190^2</f>
        <v>3.8414588206941245</v>
      </c>
      <c r="G190" s="148" t="e">
        <f>J190*SQRT((J190^2)+(4*C190*(1-E190)))</f>
        <v>#DIV/0!</v>
      </c>
      <c r="H190" s="149">
        <f>2*(D190+J190^2)</f>
        <v>7.682917641388249</v>
      </c>
      <c r="I190" s="150" t="s">
        <v>37</v>
      </c>
      <c r="J190" s="151">
        <f>-NORMSINV(2.5/100)</f>
        <v>1.9599639845400538</v>
      </c>
      <c r="K190" s="214" t="e">
        <f>E190</f>
        <v>#DIV/0!</v>
      </c>
      <c r="L190" s="214" t="e">
        <f>(F190-G190)/H190</f>
        <v>#DIV/0!</v>
      </c>
      <c r="M190" s="214" t="e">
        <f>(F190+G190)/H190</f>
        <v>#DIV/0!</v>
      </c>
    </row>
    <row r="191" spans="2:13" ht="12.75" hidden="1">
      <c r="B191" s="154" t="s">
        <v>25</v>
      </c>
      <c r="C191" s="372">
        <f>E176</f>
        <v>0</v>
      </c>
      <c r="D191" s="152">
        <f>F176</f>
        <v>0</v>
      </c>
      <c r="E191" s="148" t="e">
        <f>C191/D191</f>
        <v>#DIV/0!</v>
      </c>
      <c r="F191" s="148">
        <f>2*C191+J191^2</f>
        <v>3.8414588206941245</v>
      </c>
      <c r="G191" s="148" t="e">
        <f>J191*SQRT((J191^2)+(4*C191*(1-E191)))</f>
        <v>#DIV/0!</v>
      </c>
      <c r="H191" s="149">
        <f>2*(D191+J191^2)</f>
        <v>7.682917641388249</v>
      </c>
      <c r="I191" s="150" t="s">
        <v>37</v>
      </c>
      <c r="J191" s="151">
        <f>-NORMSINV(2.5/100)</f>
        <v>1.9599639845400538</v>
      </c>
      <c r="K191" s="214" t="e">
        <f>E191</f>
        <v>#DIV/0!</v>
      </c>
      <c r="L191" s="214" t="e">
        <f>(F191-G191)/H191</f>
        <v>#DIV/0!</v>
      </c>
      <c r="M191" s="214" t="e">
        <f>(F191+G191)/H191</f>
        <v>#DIV/0!</v>
      </c>
    </row>
    <row r="192" spans="3:8" ht="13.5" hidden="1" thickBot="1">
      <c r="C192" s="373"/>
      <c r="D192" s="374"/>
      <c r="E192" s="65"/>
      <c r="F192" s="65"/>
      <c r="G192" s="65"/>
      <c r="H192" s="378"/>
    </row>
    <row r="193" spans="2:8" ht="13.5" hidden="1" thickBot="1">
      <c r="B193" s="332"/>
      <c r="C193" s="333"/>
      <c r="D193" s="333"/>
      <c r="E193" s="334" t="s">
        <v>223</v>
      </c>
      <c r="F193" s="334" t="s">
        <v>224</v>
      </c>
      <c r="G193" s="334" t="s">
        <v>225</v>
      </c>
      <c r="H193" s="335"/>
    </row>
    <row r="194" spans="2:8" ht="12.75" hidden="1">
      <c r="B194" s="336" t="s">
        <v>226</v>
      </c>
      <c r="C194" s="337"/>
      <c r="D194" s="338" t="e">
        <f>ROUND(K190,3)*100&amp;B197</f>
        <v>#DIV/0!</v>
      </c>
      <c r="E194" s="339" t="e">
        <f>ROUND(K191,3)*100&amp;B197</f>
        <v>#DIV/0!</v>
      </c>
      <c r="F194" s="339" t="e">
        <f>ROUND(K188,3)*100&amp;B197</f>
        <v>#DIV/0!</v>
      </c>
      <c r="G194" s="339" t="e">
        <f>ROUND(K189,3)*100&amp;B197</f>
        <v>#DIV/0!</v>
      </c>
      <c r="H194" s="340"/>
    </row>
    <row r="195" spans="2:8" ht="12.75" hidden="1">
      <c r="B195" s="341" t="s">
        <v>227</v>
      </c>
      <c r="C195" s="342"/>
      <c r="D195" s="338" t="e">
        <f>ROUND(L190,3)*100&amp;B197</f>
        <v>#DIV/0!</v>
      </c>
      <c r="E195" s="339" t="e">
        <f>ROUND(L191,3)*100&amp;B197</f>
        <v>#DIV/0!</v>
      </c>
      <c r="F195" s="339" t="e">
        <f>ROUND(L188,3)*100&amp;B197</f>
        <v>#DIV/0!</v>
      </c>
      <c r="G195" s="339" t="e">
        <f>ROUND(L189,3)*100&amp;B197</f>
        <v>#DIV/0!</v>
      </c>
      <c r="H195" s="340"/>
    </row>
    <row r="196" spans="2:8" ht="12.75" hidden="1">
      <c r="B196" s="341" t="s">
        <v>228</v>
      </c>
      <c r="C196" s="343" t="str">
        <f>ROUND(C171,4)*100&amp;B197</f>
        <v>0%</v>
      </c>
      <c r="D196" s="338" t="e">
        <f>ROUND(M190,3)*100&amp;B197</f>
        <v>#DIV/0!</v>
      </c>
      <c r="E196" s="339" t="e">
        <f>ROUND(M191,3)*100&amp;B197</f>
        <v>#DIV/0!</v>
      </c>
      <c r="F196" s="339" t="e">
        <f>ROUND(M188,3)*100&amp;B197</f>
        <v>#DIV/0!</v>
      </c>
      <c r="G196" s="339" t="e">
        <f>ROUND(M189,3)*100&amp;B197</f>
        <v>#DIV/0!</v>
      </c>
      <c r="H196" s="344">
        <f>D182</f>
        <v>0</v>
      </c>
    </row>
    <row r="197" spans="2:8" ht="12.75" hidden="1">
      <c r="B197" s="341" t="s">
        <v>229</v>
      </c>
      <c r="C197" s="345" t="s">
        <v>230</v>
      </c>
      <c r="D197" s="345" t="s">
        <v>231</v>
      </c>
      <c r="E197" s="345" t="s">
        <v>232</v>
      </c>
      <c r="F197" s="345" t="s">
        <v>5</v>
      </c>
      <c r="G197" s="346" t="s">
        <v>6</v>
      </c>
      <c r="H197" s="347" t="s">
        <v>233</v>
      </c>
    </row>
    <row r="198" spans="2:8" ht="12.75" hidden="1">
      <c r="B198" s="348" t="s">
        <v>80</v>
      </c>
      <c r="C198" s="349" t="str">
        <f>C196</f>
        <v>0%</v>
      </c>
      <c r="D198" s="350" t="e">
        <f>CONCATENATE(D194," ",B194,D195," ",B198," ",D196,B196)</f>
        <v>#DIV/0!</v>
      </c>
      <c r="E198" s="350" t="e">
        <f>CONCATENATE(E194," ",B194,E195," ",B198," ",E196,B196)</f>
        <v>#DIV/0!</v>
      </c>
      <c r="F198" s="350" t="e">
        <f>CONCATENATE(F194," ",B194,F195," ",B198," ",F196,B196)</f>
        <v>#DIV/0!</v>
      </c>
      <c r="G198" s="350" t="e">
        <f>CONCATENATE(G194," ",B194,G195," ",B198," ",G196,B196)</f>
        <v>#DIV/0!</v>
      </c>
      <c r="H198" s="351">
        <f>H196</f>
        <v>0</v>
      </c>
    </row>
    <row r="199" spans="2:8" ht="13.5" hidden="1" thickBot="1">
      <c r="B199" s="352" t="s">
        <v>234</v>
      </c>
      <c r="C199" s="353"/>
      <c r="D199" s="353"/>
      <c r="E199" s="353"/>
      <c r="F199" s="353"/>
      <c r="G199" s="353"/>
      <c r="H199" s="354"/>
    </row>
    <row r="201" spans="2:7" ht="14.25" customHeight="1">
      <c r="B201" s="355" t="s">
        <v>272</v>
      </c>
      <c r="C201" s="355" t="s">
        <v>231</v>
      </c>
      <c r="D201" s="356" t="s">
        <v>232</v>
      </c>
      <c r="E201" s="356" t="s">
        <v>5</v>
      </c>
      <c r="F201" s="356" t="s">
        <v>6</v>
      </c>
      <c r="G201" s="356" t="s">
        <v>233</v>
      </c>
    </row>
    <row r="202" spans="2:7" ht="21" customHeight="1">
      <c r="B202" s="357" t="str">
        <f aca="true" t="shared" si="4" ref="B202:G202">C198</f>
        <v>0%</v>
      </c>
      <c r="C202" s="357" t="e">
        <f t="shared" si="4"/>
        <v>#DIV/0!</v>
      </c>
      <c r="D202" s="357" t="e">
        <f t="shared" si="4"/>
        <v>#DIV/0!</v>
      </c>
      <c r="E202" s="357" t="e">
        <f t="shared" si="4"/>
        <v>#DIV/0!</v>
      </c>
      <c r="F202" s="357" t="e">
        <f t="shared" si="4"/>
        <v>#DIV/0!</v>
      </c>
      <c r="G202" s="358">
        <f t="shared" si="4"/>
        <v>0</v>
      </c>
    </row>
    <row r="204" ht="12.75"/>
    <row r="205" ht="13.5" thickBot="1">
      <c r="B205" s="68"/>
    </row>
    <row r="206" spans="2:7" ht="15">
      <c r="B206" s="556" t="s">
        <v>199</v>
      </c>
      <c r="C206" s="557"/>
      <c r="D206" s="557"/>
      <c r="E206" s="557"/>
      <c r="F206" s="557"/>
      <c r="G206" s="558"/>
    </row>
    <row r="207" spans="2:7" ht="58.5" customHeight="1">
      <c r="B207" s="574" t="s">
        <v>243</v>
      </c>
      <c r="C207" s="575"/>
      <c r="D207" s="575"/>
      <c r="E207" s="575"/>
      <c r="F207" s="575"/>
      <c r="G207" s="576"/>
    </row>
    <row r="208" spans="2:7" ht="12.75">
      <c r="B208" s="577" t="s">
        <v>198</v>
      </c>
      <c r="C208" s="578"/>
      <c r="D208" s="578"/>
      <c r="E208" s="578"/>
      <c r="F208" s="578"/>
      <c r="G208" s="579"/>
    </row>
    <row r="209" spans="2:7" ht="33.75" customHeight="1">
      <c r="B209" s="580" t="s">
        <v>240</v>
      </c>
      <c r="C209" s="581"/>
      <c r="D209" s="581"/>
      <c r="E209" s="581"/>
      <c r="F209" s="581"/>
      <c r="G209" s="582"/>
    </row>
    <row r="210" spans="2:7" ht="12.75">
      <c r="B210" s="586" t="s">
        <v>244</v>
      </c>
      <c r="C210" s="587"/>
      <c r="D210" s="587"/>
      <c r="E210" s="587"/>
      <c r="F210" s="587"/>
      <c r="G210" s="588"/>
    </row>
    <row r="211" spans="2:7" ht="12.75">
      <c r="B211" s="589" t="s">
        <v>245</v>
      </c>
      <c r="C211" s="590"/>
      <c r="D211" s="590"/>
      <c r="E211" s="590"/>
      <c r="F211" s="590"/>
      <c r="G211" s="591"/>
    </row>
    <row r="212" spans="2:7" ht="17.25" customHeight="1" thickBot="1">
      <c r="B212" s="386" t="s">
        <v>241</v>
      </c>
      <c r="C212" s="387"/>
      <c r="D212" s="387"/>
      <c r="E212" s="387"/>
      <c r="F212" s="387"/>
      <c r="G212" s="388"/>
    </row>
    <row r="213" spans="2:8" ht="13.5" thickBot="1">
      <c r="B213" s="312" t="s">
        <v>9</v>
      </c>
      <c r="C213" s="313"/>
      <c r="D213" s="536" t="s">
        <v>39</v>
      </c>
      <c r="E213" s="537"/>
      <c r="F213" s="8"/>
      <c r="G213" s="243"/>
      <c r="H213" s="243"/>
    </row>
    <row r="214" spans="2:11" ht="12.75">
      <c r="B214" s="312" t="s">
        <v>155</v>
      </c>
      <c r="C214" s="314"/>
      <c r="D214" s="202" t="s">
        <v>77</v>
      </c>
      <c r="E214" s="202" t="s">
        <v>78</v>
      </c>
      <c r="F214" s="309" t="s">
        <v>0</v>
      </c>
      <c r="G214" s="9"/>
      <c r="H214" s="10"/>
      <c r="I214" s="362"/>
      <c r="K214" s="98"/>
    </row>
    <row r="215" spans="2:6" ht="12.75">
      <c r="B215" s="312" t="s">
        <v>11</v>
      </c>
      <c r="C215" s="314"/>
      <c r="D215" s="45">
        <f>C213*C214</f>
        <v>0</v>
      </c>
      <c r="E215" s="45">
        <f>C213-D215</f>
        <v>0</v>
      </c>
      <c r="F215" s="109"/>
    </row>
    <row r="216" spans="2:6" ht="13.5" thickBot="1">
      <c r="B216" s="312" t="s">
        <v>12</v>
      </c>
      <c r="C216" s="314"/>
      <c r="D216" s="364"/>
      <c r="E216" s="364"/>
      <c r="F216" s="109"/>
    </row>
    <row r="217" spans="2:9" ht="12.75">
      <c r="B217" s="538" t="s">
        <v>40</v>
      </c>
      <c r="C217" s="527" t="s">
        <v>200</v>
      </c>
      <c r="D217" s="321">
        <f>D215*D224</f>
        <v>0</v>
      </c>
      <c r="E217" s="320">
        <f>E215-E219</f>
        <v>0</v>
      </c>
      <c r="F217" s="384">
        <f>SUM(D217:E217)</f>
        <v>0</v>
      </c>
      <c r="G217" s="46" t="s">
        <v>93</v>
      </c>
      <c r="H217" s="367"/>
      <c r="I217" s="367"/>
    </row>
    <row r="218" spans="2:9" ht="51.75" thickBot="1">
      <c r="B218" s="539"/>
      <c r="C218" s="528"/>
      <c r="D218" s="20" t="s">
        <v>112</v>
      </c>
      <c r="E218" s="21" t="s">
        <v>113</v>
      </c>
      <c r="F218" s="310" t="s">
        <v>1</v>
      </c>
      <c r="G218" s="368" t="e">
        <f>D217/F217</f>
        <v>#DIV/0!</v>
      </c>
      <c r="H218" s="367"/>
      <c r="I218" s="367"/>
    </row>
    <row r="219" spans="2:9" ht="12.75">
      <c r="B219" s="539"/>
      <c r="C219" s="527" t="s">
        <v>201</v>
      </c>
      <c r="D219" s="320">
        <f>D215-D217</f>
        <v>0</v>
      </c>
      <c r="E219" s="321">
        <f>E215*E224</f>
        <v>0</v>
      </c>
      <c r="F219" s="384">
        <f>SUM(D219:E219)</f>
        <v>0</v>
      </c>
      <c r="G219" s="46" t="s">
        <v>55</v>
      </c>
      <c r="H219" s="367"/>
      <c r="I219" s="68"/>
    </row>
    <row r="220" spans="2:9" ht="51.75" thickBot="1">
      <c r="B220" s="540"/>
      <c r="C220" s="528"/>
      <c r="D220" s="21" t="s">
        <v>114</v>
      </c>
      <c r="E220" s="20" t="s">
        <v>115</v>
      </c>
      <c r="F220" s="310" t="s">
        <v>2</v>
      </c>
      <c r="G220" s="322" t="e">
        <f>E219/F219</f>
        <v>#DIV/0!</v>
      </c>
      <c r="H220" s="367"/>
      <c r="I220" s="68"/>
    </row>
    <row r="221" spans="2:6" ht="12.75">
      <c r="B221" s="7"/>
      <c r="C221" s="548" t="s">
        <v>0</v>
      </c>
      <c r="D221" s="18">
        <f>D217+D219</f>
        <v>0</v>
      </c>
      <c r="E221" s="18">
        <f>E217+E219</f>
        <v>0</v>
      </c>
      <c r="F221" s="549">
        <f>F217+F219</f>
        <v>0</v>
      </c>
    </row>
    <row r="222" spans="2:6" ht="26.25" thickBot="1">
      <c r="B222" s="7"/>
      <c r="C222" s="516"/>
      <c r="D222" s="14" t="s">
        <v>4</v>
      </c>
      <c r="E222" s="14" t="s">
        <v>3</v>
      </c>
      <c r="F222" s="518"/>
    </row>
    <row r="223" spans="2:9" ht="12.75">
      <c r="B223" s="7"/>
      <c r="D223" s="58" t="s">
        <v>5</v>
      </c>
      <c r="E223" s="58" t="s">
        <v>6</v>
      </c>
      <c r="F223" s="369"/>
      <c r="G223" s="367"/>
      <c r="I223" s="367"/>
    </row>
    <row r="224" spans="2:9" ht="13.5" thickBot="1">
      <c r="B224" s="7"/>
      <c r="D224" s="28">
        <f>C215</f>
        <v>0</v>
      </c>
      <c r="E224" s="385">
        <f>C216</f>
        <v>0</v>
      </c>
      <c r="F224" s="370"/>
      <c r="G224" s="371"/>
      <c r="I224" s="367"/>
    </row>
    <row r="225" spans="2:7" ht="13.5" thickBot="1">
      <c r="B225" s="31"/>
      <c r="C225" s="32" t="s">
        <v>105</v>
      </c>
      <c r="D225" s="324">
        <f>D224/(1-E224)</f>
        <v>0</v>
      </c>
      <c r="E225" s="325" t="e">
        <f>(1-D224)/E224</f>
        <v>#DIV/0!</v>
      </c>
      <c r="F225" s="35" t="s">
        <v>109</v>
      </c>
      <c r="G225" s="37"/>
    </row>
    <row r="226" spans="3:6" ht="12.75" hidden="1">
      <c r="C226" s="63"/>
      <c r="D226" s="326"/>
      <c r="E226" s="327"/>
      <c r="F226" s="66"/>
    </row>
    <row r="227" spans="3:12" ht="12.75" hidden="1">
      <c r="C227" s="76" t="s">
        <v>117</v>
      </c>
      <c r="D227" s="311"/>
      <c r="E227" s="328"/>
      <c r="F227" s="328"/>
      <c r="G227" s="329"/>
      <c r="H227" s="329"/>
      <c r="I227" s="330"/>
      <c r="J227" s="65"/>
      <c r="K227" s="137"/>
      <c r="L227" s="137"/>
    </row>
    <row r="228" spans="3:13" ht="12.75" hidden="1">
      <c r="C228" s="76" t="s">
        <v>31</v>
      </c>
      <c r="D228" s="311"/>
      <c r="E228" s="65"/>
      <c r="F228" s="65"/>
      <c r="G228" s="311"/>
      <c r="H228" s="311"/>
      <c r="I228" s="272"/>
      <c r="J228" s="65"/>
      <c r="K228" s="140"/>
      <c r="L228" s="140"/>
      <c r="M228" s="140"/>
    </row>
    <row r="229" spans="3:13" ht="12.75" hidden="1">
      <c r="C229" s="331" t="s">
        <v>221</v>
      </c>
      <c r="D229" s="62" t="s">
        <v>32</v>
      </c>
      <c r="F229" s="62" t="s">
        <v>222</v>
      </c>
      <c r="G229" s="62"/>
      <c r="H229" s="62" t="s">
        <v>33</v>
      </c>
      <c r="I229" s="62"/>
      <c r="J229" s="62" t="s">
        <v>34</v>
      </c>
      <c r="K229" s="140"/>
      <c r="L229" s="140"/>
      <c r="M229" s="140"/>
    </row>
    <row r="230" spans="3:13" ht="38.25" hidden="1">
      <c r="C230" s="143" t="s">
        <v>16</v>
      </c>
      <c r="D230" s="143" t="s">
        <v>13</v>
      </c>
      <c r="E230" s="144" t="s">
        <v>35</v>
      </c>
      <c r="F230" s="144" t="s">
        <v>32</v>
      </c>
      <c r="G230" s="144" t="s">
        <v>222</v>
      </c>
      <c r="H230" s="144" t="s">
        <v>33</v>
      </c>
      <c r="I230" s="144" t="s">
        <v>34</v>
      </c>
      <c r="J230" s="145" t="s">
        <v>46</v>
      </c>
      <c r="K230" s="144" t="s">
        <v>17</v>
      </c>
      <c r="L230" s="144" t="s">
        <v>14</v>
      </c>
      <c r="M230" s="144" t="s">
        <v>15</v>
      </c>
    </row>
    <row r="231" spans="2:13" ht="12.75" hidden="1">
      <c r="B231" s="146" t="s">
        <v>5</v>
      </c>
      <c r="C231" s="372">
        <f>D217</f>
        <v>0</v>
      </c>
      <c r="D231" s="147">
        <f>D221</f>
        <v>0</v>
      </c>
      <c r="E231" s="148" t="e">
        <f>C231/D231</f>
        <v>#DIV/0!</v>
      </c>
      <c r="F231" s="148">
        <f>2*C231+J231^2</f>
        <v>3.8414588206941245</v>
      </c>
      <c r="G231" s="148" t="e">
        <f>J231*SQRT((J231^2)+(4*C231*(1-E231)))</f>
        <v>#DIV/0!</v>
      </c>
      <c r="H231" s="149">
        <f>2*(D231+J231^2)</f>
        <v>7.682917641388249</v>
      </c>
      <c r="I231" s="150" t="s">
        <v>37</v>
      </c>
      <c r="J231" s="151">
        <f>-NORMSINV(2.5/100)</f>
        <v>1.9599639845400538</v>
      </c>
      <c r="K231" s="214" t="e">
        <f>E231</f>
        <v>#DIV/0!</v>
      </c>
      <c r="L231" s="214" t="e">
        <f>(F231-G231)/H231</f>
        <v>#DIV/0!</v>
      </c>
      <c r="M231" s="214" t="e">
        <f>(F231+G231)/H231</f>
        <v>#DIV/0!</v>
      </c>
    </row>
    <row r="232" spans="2:13" ht="12.75" hidden="1">
      <c r="B232" s="146" t="s">
        <v>6</v>
      </c>
      <c r="C232" s="372">
        <f>E219</f>
        <v>0</v>
      </c>
      <c r="D232" s="147">
        <f>E221</f>
        <v>0</v>
      </c>
      <c r="E232" s="148" t="e">
        <f>C232/D232</f>
        <v>#DIV/0!</v>
      </c>
      <c r="F232" s="148">
        <f>2*C232+J232^2</f>
        <v>3.8414588206941245</v>
      </c>
      <c r="G232" s="148" t="e">
        <f>J232*SQRT((J232^2)+(4*C232*(1-E232)))</f>
        <v>#DIV/0!</v>
      </c>
      <c r="H232" s="149">
        <f>2*(D232+J232^2)</f>
        <v>7.682917641388249</v>
      </c>
      <c r="I232" s="150" t="s">
        <v>37</v>
      </c>
      <c r="J232" s="151">
        <f>-NORMSINV(2.5/100)</f>
        <v>1.9599639845400538</v>
      </c>
      <c r="K232" s="214" t="e">
        <f>E232</f>
        <v>#DIV/0!</v>
      </c>
      <c r="L232" s="214" t="e">
        <f>(F232-G232)/H232</f>
        <v>#DIV/0!</v>
      </c>
      <c r="M232" s="214" t="e">
        <f>(F232+G232)/H232</f>
        <v>#DIV/0!</v>
      </c>
    </row>
    <row r="233" spans="2:13" ht="12.75" hidden="1">
      <c r="B233" s="154" t="s">
        <v>24</v>
      </c>
      <c r="C233" s="372">
        <f>D217</f>
        <v>0</v>
      </c>
      <c r="D233" s="152">
        <f>F217</f>
        <v>0</v>
      </c>
      <c r="E233" s="148" t="e">
        <f>C233/D233</f>
        <v>#DIV/0!</v>
      </c>
      <c r="F233" s="148">
        <f>2*C233+J233^2</f>
        <v>3.8414588206941245</v>
      </c>
      <c r="G233" s="148" t="e">
        <f>J233*SQRT((J233^2)+(4*C233*(1-E233)))</f>
        <v>#DIV/0!</v>
      </c>
      <c r="H233" s="149">
        <f>2*(D233+J233^2)</f>
        <v>7.682917641388249</v>
      </c>
      <c r="I233" s="150" t="s">
        <v>37</v>
      </c>
      <c r="J233" s="151">
        <f>-NORMSINV(2.5/100)</f>
        <v>1.9599639845400538</v>
      </c>
      <c r="K233" s="214" t="e">
        <f>E233</f>
        <v>#DIV/0!</v>
      </c>
      <c r="L233" s="214" t="e">
        <f>(F233-G233)/H233</f>
        <v>#DIV/0!</v>
      </c>
      <c r="M233" s="214" t="e">
        <f>(F233+G233)/H233</f>
        <v>#DIV/0!</v>
      </c>
    </row>
    <row r="234" spans="2:13" ht="12.75" hidden="1">
      <c r="B234" s="154" t="s">
        <v>25</v>
      </c>
      <c r="C234" s="372">
        <f>E219</f>
        <v>0</v>
      </c>
      <c r="D234" s="152">
        <f>F219</f>
        <v>0</v>
      </c>
      <c r="E234" s="148" t="e">
        <f>C234/D234</f>
        <v>#DIV/0!</v>
      </c>
      <c r="F234" s="148">
        <f>2*C234+J234^2</f>
        <v>3.8414588206941245</v>
      </c>
      <c r="G234" s="148" t="e">
        <f>J234*SQRT((J234^2)+(4*C234*(1-E234)))</f>
        <v>#DIV/0!</v>
      </c>
      <c r="H234" s="149">
        <f>2*(D234+J234^2)</f>
        <v>7.682917641388249</v>
      </c>
      <c r="I234" s="150" t="s">
        <v>37</v>
      </c>
      <c r="J234" s="151">
        <f>-NORMSINV(2.5/100)</f>
        <v>1.9599639845400538</v>
      </c>
      <c r="K234" s="214" t="e">
        <f>E234</f>
        <v>#DIV/0!</v>
      </c>
      <c r="L234" s="214" t="e">
        <f>(F234-G234)/H234</f>
        <v>#DIV/0!</v>
      </c>
      <c r="M234" s="214" t="e">
        <f>(F234+G234)/H234</f>
        <v>#DIV/0!</v>
      </c>
    </row>
    <row r="235" ht="13.5" hidden="1" thickBot="1"/>
    <row r="236" spans="2:8" ht="13.5" hidden="1" thickBot="1">
      <c r="B236" s="332"/>
      <c r="C236" s="333"/>
      <c r="D236" s="333"/>
      <c r="E236" s="334" t="s">
        <v>223</v>
      </c>
      <c r="F236" s="334" t="s">
        <v>224</v>
      </c>
      <c r="G236" s="334" t="s">
        <v>225</v>
      </c>
      <c r="H236" s="335"/>
    </row>
    <row r="237" spans="2:8" ht="12.75" hidden="1">
      <c r="B237" s="336" t="s">
        <v>226</v>
      </c>
      <c r="C237" s="337"/>
      <c r="D237" s="338" t="e">
        <f>ROUND(K233,3)*100&amp;B240</f>
        <v>#DIV/0!</v>
      </c>
      <c r="E237" s="339" t="e">
        <f>ROUND(K234,3)*100&amp;B240</f>
        <v>#DIV/0!</v>
      </c>
      <c r="F237" s="339" t="e">
        <f>ROUND(K231,3)*100&amp;B240</f>
        <v>#DIV/0!</v>
      </c>
      <c r="G237" s="339" t="e">
        <f>ROUND(K232,3)*100&amp;B240</f>
        <v>#DIV/0!</v>
      </c>
      <c r="H237" s="340"/>
    </row>
    <row r="238" spans="2:8" ht="12.75" hidden="1">
      <c r="B238" s="341" t="s">
        <v>227</v>
      </c>
      <c r="C238" s="342"/>
      <c r="D238" s="338" t="e">
        <f>ROUND(L233,3)*100&amp;B240</f>
        <v>#DIV/0!</v>
      </c>
      <c r="E238" s="339" t="e">
        <f>ROUND(L234,3)*100&amp;B240</f>
        <v>#DIV/0!</v>
      </c>
      <c r="F238" s="339" t="e">
        <f>ROUND(L231,3)*100&amp;B240</f>
        <v>#DIV/0!</v>
      </c>
      <c r="G238" s="339" t="e">
        <f>ROUND(L232,3)*100&amp;B240</f>
        <v>#DIV/0!</v>
      </c>
      <c r="H238" s="340"/>
    </row>
    <row r="239" spans="2:8" ht="12.75" hidden="1">
      <c r="B239" s="341" t="s">
        <v>228</v>
      </c>
      <c r="C239" s="343" t="str">
        <f>ROUND(C214,4)*100&amp;B240</f>
        <v>0%</v>
      </c>
      <c r="D239" s="338" t="e">
        <f>ROUND(M233,3)*100&amp;B240</f>
        <v>#DIV/0!</v>
      </c>
      <c r="E239" s="339" t="e">
        <f>ROUND(M234,3)*100&amp;B240</f>
        <v>#DIV/0!</v>
      </c>
      <c r="F239" s="339" t="e">
        <f>ROUND(M231,3)*100&amp;B240</f>
        <v>#DIV/0!</v>
      </c>
      <c r="G239" s="339" t="e">
        <f>ROUND(M232,3)*100&amp;B240</f>
        <v>#DIV/0!</v>
      </c>
      <c r="H239" s="344">
        <f>D225</f>
        <v>0</v>
      </c>
    </row>
    <row r="240" spans="2:8" ht="12.75" hidden="1">
      <c r="B240" s="341" t="s">
        <v>229</v>
      </c>
      <c r="C240" s="345" t="s">
        <v>272</v>
      </c>
      <c r="D240" s="345" t="s">
        <v>231</v>
      </c>
      <c r="E240" s="345" t="s">
        <v>232</v>
      </c>
      <c r="F240" s="345" t="s">
        <v>5</v>
      </c>
      <c r="G240" s="346" t="s">
        <v>6</v>
      </c>
      <c r="H240" s="347" t="s">
        <v>233</v>
      </c>
    </row>
    <row r="241" spans="2:8" ht="12.75" hidden="1">
      <c r="B241" s="348" t="s">
        <v>80</v>
      </c>
      <c r="C241" s="349" t="str">
        <f>C239</f>
        <v>0%</v>
      </c>
      <c r="D241" s="350" t="e">
        <f>CONCATENATE(D237," ",B237,D238," ",B241," ",D239,B239)</f>
        <v>#DIV/0!</v>
      </c>
      <c r="E241" s="350" t="e">
        <f>CONCATENATE(E237," ",B237,E238," ",B241," ",E239,B239)</f>
        <v>#DIV/0!</v>
      </c>
      <c r="F241" s="350" t="e">
        <f>CONCATENATE(F237," ",B237,F238," ",B241," ",F239,B239)</f>
        <v>#DIV/0!</v>
      </c>
      <c r="G241" s="350" t="e">
        <f>CONCATENATE(G237," ",B237,G238," ",B241," ",G239,B239)</f>
        <v>#DIV/0!</v>
      </c>
      <c r="H241" s="351">
        <f>H239</f>
        <v>0</v>
      </c>
    </row>
    <row r="242" spans="2:8" ht="13.5" hidden="1" thickBot="1">
      <c r="B242" s="352" t="s">
        <v>234</v>
      </c>
      <c r="C242" s="353"/>
      <c r="D242" s="353"/>
      <c r="E242" s="353"/>
      <c r="F242" s="353"/>
      <c r="G242" s="353"/>
      <c r="H242" s="354"/>
    </row>
    <row r="244" spans="2:7" ht="20.25" customHeight="1">
      <c r="B244" s="355" t="s">
        <v>272</v>
      </c>
      <c r="C244" s="355" t="s">
        <v>231</v>
      </c>
      <c r="D244" s="356" t="s">
        <v>232</v>
      </c>
      <c r="E244" s="356" t="s">
        <v>5</v>
      </c>
      <c r="F244" s="356" t="s">
        <v>6</v>
      </c>
      <c r="G244" s="356" t="s">
        <v>233</v>
      </c>
    </row>
    <row r="245" spans="2:7" ht="19.5" customHeight="1">
      <c r="B245" s="357" t="str">
        <f aca="true" t="shared" si="5" ref="B245:G245">C241</f>
        <v>0%</v>
      </c>
      <c r="C245" s="357" t="e">
        <f t="shared" si="5"/>
        <v>#DIV/0!</v>
      </c>
      <c r="D245" s="357" t="e">
        <f t="shared" si="5"/>
        <v>#DIV/0!</v>
      </c>
      <c r="E245" s="357" t="e">
        <f t="shared" si="5"/>
        <v>#DIV/0!</v>
      </c>
      <c r="F245" s="357" t="e">
        <f t="shared" si="5"/>
        <v>#DIV/0!</v>
      </c>
      <c r="G245" s="358">
        <f t="shared" si="5"/>
        <v>0</v>
      </c>
    </row>
    <row r="247" ht="13.5" thickBot="1"/>
    <row r="248" spans="2:7" ht="36" customHeight="1">
      <c r="B248" s="562" t="s">
        <v>307</v>
      </c>
      <c r="C248" s="563"/>
      <c r="D248" s="563"/>
      <c r="E248" s="563"/>
      <c r="F248" s="563"/>
      <c r="G248" s="564"/>
    </row>
    <row r="249" spans="2:7" ht="28.5" customHeight="1" thickBot="1">
      <c r="B249" s="592" t="s">
        <v>306</v>
      </c>
      <c r="C249" s="593"/>
      <c r="D249" s="593"/>
      <c r="E249" s="593"/>
      <c r="F249" s="593"/>
      <c r="G249" s="594"/>
    </row>
    <row r="250" spans="2:8" ht="13.5" thickBot="1">
      <c r="B250" s="312" t="s">
        <v>9</v>
      </c>
      <c r="C250" s="313"/>
      <c r="D250" s="536" t="s">
        <v>39</v>
      </c>
      <c r="E250" s="537"/>
      <c r="F250" s="8"/>
      <c r="G250" s="243"/>
      <c r="H250" s="243"/>
    </row>
    <row r="251" spans="2:11" ht="12.75">
      <c r="B251" s="312" t="s">
        <v>10</v>
      </c>
      <c r="C251" s="314"/>
      <c r="D251" s="202" t="s">
        <v>77</v>
      </c>
      <c r="E251" s="202" t="s">
        <v>78</v>
      </c>
      <c r="F251" s="410" t="s">
        <v>0</v>
      </c>
      <c r="G251" s="9"/>
      <c r="H251" s="10"/>
      <c r="I251" s="362"/>
      <c r="K251" s="98"/>
    </row>
    <row r="252" spans="2:6" ht="12.75">
      <c r="B252" s="312" t="s">
        <v>11</v>
      </c>
      <c r="C252" s="314"/>
      <c r="D252" s="45">
        <f>C250*C251</f>
        <v>0</v>
      </c>
      <c r="E252" s="45">
        <f>C250-D252</f>
        <v>0</v>
      </c>
      <c r="F252" s="109"/>
    </row>
    <row r="253" spans="2:6" ht="13.5" thickBot="1">
      <c r="B253" s="469" t="s">
        <v>12</v>
      </c>
      <c r="C253" s="470"/>
      <c r="D253" s="316"/>
      <c r="E253" s="316"/>
      <c r="F253" s="109"/>
    </row>
    <row r="254" spans="2:9" ht="12.75">
      <c r="B254" s="538" t="s">
        <v>40</v>
      </c>
      <c r="C254" s="527" t="s">
        <v>7</v>
      </c>
      <c r="D254" s="321">
        <f>D252*D261</f>
        <v>0</v>
      </c>
      <c r="E254" s="366">
        <f>E252-E256</f>
        <v>0</v>
      </c>
      <c r="F254" s="112">
        <f>SUM(D254:E254)</f>
        <v>0</v>
      </c>
      <c r="G254" s="46" t="s">
        <v>93</v>
      </c>
      <c r="H254" s="367"/>
      <c r="I254" s="367"/>
    </row>
    <row r="255" spans="2:9" ht="51.75" thickBot="1">
      <c r="B255" s="539"/>
      <c r="C255" s="528"/>
      <c r="D255" s="20" t="s">
        <v>112</v>
      </c>
      <c r="E255" s="21" t="s">
        <v>113</v>
      </c>
      <c r="F255" s="411" t="s">
        <v>1</v>
      </c>
      <c r="G255" s="368" t="e">
        <f>D254/F254</f>
        <v>#DIV/0!</v>
      </c>
      <c r="H255" s="367"/>
      <c r="I255" s="367"/>
    </row>
    <row r="256" spans="2:9" ht="12.75">
      <c r="B256" s="539"/>
      <c r="C256" s="527" t="s">
        <v>8</v>
      </c>
      <c r="D256" s="320">
        <f>D252-D254</f>
        <v>0</v>
      </c>
      <c r="E256" s="365">
        <f>E252*E261</f>
        <v>0</v>
      </c>
      <c r="F256" s="112">
        <f>SUM(D256:E256)</f>
        <v>0</v>
      </c>
      <c r="G256" s="46" t="s">
        <v>55</v>
      </c>
      <c r="H256" s="367"/>
      <c r="I256" s="367"/>
    </row>
    <row r="257" spans="2:9" ht="51.75" thickBot="1">
      <c r="B257" s="540"/>
      <c r="C257" s="528"/>
      <c r="D257" s="21" t="s">
        <v>114</v>
      </c>
      <c r="E257" s="20" t="s">
        <v>115</v>
      </c>
      <c r="F257" s="411" t="s">
        <v>2</v>
      </c>
      <c r="G257" s="322" t="e">
        <f>E256/F256</f>
        <v>#DIV/0!</v>
      </c>
      <c r="H257" s="367"/>
      <c r="I257" s="367"/>
    </row>
    <row r="258" spans="2:6" ht="12.75">
      <c r="B258" s="7"/>
      <c r="C258" s="548" t="s">
        <v>0</v>
      </c>
      <c r="D258" s="18">
        <f>D254+D256</f>
        <v>0</v>
      </c>
      <c r="E258" s="18">
        <f>E254+E256</f>
        <v>0</v>
      </c>
      <c r="F258" s="549">
        <f>F254+F256</f>
        <v>0</v>
      </c>
    </row>
    <row r="259" spans="2:6" ht="26.25" thickBot="1">
      <c r="B259" s="7"/>
      <c r="C259" s="516"/>
      <c r="D259" s="413" t="s">
        <v>4</v>
      </c>
      <c r="E259" s="413" t="s">
        <v>3</v>
      </c>
      <c r="F259" s="518"/>
    </row>
    <row r="260" spans="2:9" ht="12.75">
      <c r="B260" s="7"/>
      <c r="D260" s="58" t="s">
        <v>5</v>
      </c>
      <c r="E260" s="58" t="s">
        <v>6</v>
      </c>
      <c r="F260" s="369"/>
      <c r="G260" s="377"/>
      <c r="H260" s="367"/>
      <c r="I260" s="367"/>
    </row>
    <row r="261" spans="2:9" ht="13.5" thickBot="1">
      <c r="B261" s="7"/>
      <c r="D261" s="28">
        <f>C252</f>
        <v>0</v>
      </c>
      <c r="E261" s="323">
        <f>C253</f>
        <v>0</v>
      </c>
      <c r="F261" s="370"/>
      <c r="G261" s="371"/>
      <c r="H261" s="367"/>
      <c r="I261" s="367"/>
    </row>
    <row r="262" spans="2:7" ht="13.5" thickBot="1">
      <c r="B262" s="31"/>
      <c r="C262" s="32" t="s">
        <v>105</v>
      </c>
      <c r="D262" s="324">
        <f>D261/(1-E261)</f>
        <v>0</v>
      </c>
      <c r="E262" s="325" t="e">
        <f>(1-D261)/E261</f>
        <v>#DIV/0!</v>
      </c>
      <c r="F262" s="35" t="s">
        <v>109</v>
      </c>
      <c r="G262" s="37"/>
    </row>
    <row r="263" spans="3:6" ht="12.75">
      <c r="C263" s="63"/>
      <c r="D263" s="326"/>
      <c r="E263" s="327"/>
      <c r="F263" s="66"/>
    </row>
    <row r="264" spans="3:12" ht="12.75" hidden="1">
      <c r="C264" s="76" t="s">
        <v>117</v>
      </c>
      <c r="D264" s="412"/>
      <c r="E264" s="328"/>
      <c r="F264" s="328"/>
      <c r="G264" s="329"/>
      <c r="H264" s="329"/>
      <c r="I264" s="330"/>
      <c r="J264" s="65"/>
      <c r="K264" s="137"/>
      <c r="L264" s="137"/>
    </row>
    <row r="265" spans="3:13" ht="12.75" hidden="1">
      <c r="C265" s="76" t="s">
        <v>31</v>
      </c>
      <c r="D265" s="412"/>
      <c r="E265" s="65"/>
      <c r="F265" s="65"/>
      <c r="G265" s="412"/>
      <c r="H265" s="412"/>
      <c r="I265" s="272"/>
      <c r="J265" s="65"/>
      <c r="K265" s="140"/>
      <c r="L265" s="140"/>
      <c r="M265" s="140"/>
    </row>
    <row r="266" spans="3:13" ht="12.75" hidden="1">
      <c r="C266" s="331" t="s">
        <v>221</v>
      </c>
      <c r="D266" s="62" t="s">
        <v>32</v>
      </c>
      <c r="F266" s="62" t="s">
        <v>222</v>
      </c>
      <c r="G266" s="62"/>
      <c r="H266" s="62" t="s">
        <v>33</v>
      </c>
      <c r="I266" s="62"/>
      <c r="J266" s="62" t="s">
        <v>34</v>
      </c>
      <c r="K266" s="140"/>
      <c r="L266" s="140"/>
      <c r="M266" s="140"/>
    </row>
    <row r="267" spans="3:13" ht="38.25" hidden="1">
      <c r="C267" s="143" t="s">
        <v>16</v>
      </c>
      <c r="D267" s="143" t="s">
        <v>13</v>
      </c>
      <c r="E267" s="144" t="s">
        <v>35</v>
      </c>
      <c r="F267" s="144" t="s">
        <v>32</v>
      </c>
      <c r="G267" s="144" t="s">
        <v>222</v>
      </c>
      <c r="H267" s="144" t="s">
        <v>33</v>
      </c>
      <c r="I267" s="144" t="s">
        <v>34</v>
      </c>
      <c r="J267" s="145" t="s">
        <v>46</v>
      </c>
      <c r="K267" s="144" t="s">
        <v>17</v>
      </c>
      <c r="L267" s="144" t="s">
        <v>14</v>
      </c>
      <c r="M267" s="144" t="s">
        <v>15</v>
      </c>
    </row>
    <row r="268" spans="2:13" ht="12.75" hidden="1">
      <c r="B268" s="146" t="s">
        <v>5</v>
      </c>
      <c r="C268" s="372">
        <f>D254</f>
        <v>0</v>
      </c>
      <c r="D268" s="147">
        <f>D258</f>
        <v>0</v>
      </c>
      <c r="E268" s="148" t="e">
        <f>C268/D268</f>
        <v>#DIV/0!</v>
      </c>
      <c r="F268" s="148">
        <f>2*C268+J268^2</f>
        <v>3.8414588206941245</v>
      </c>
      <c r="G268" s="148" t="e">
        <f>J268*SQRT((J268^2)+(4*C268*(1-E268)))</f>
        <v>#DIV/0!</v>
      </c>
      <c r="H268" s="149">
        <f>2*(D268+J268^2)</f>
        <v>7.682917641388249</v>
      </c>
      <c r="I268" s="150" t="s">
        <v>37</v>
      </c>
      <c r="J268" s="151">
        <f>-NORMSINV(2.5/100)</f>
        <v>1.9599639845400538</v>
      </c>
      <c r="K268" s="214" t="e">
        <f>E268</f>
        <v>#DIV/0!</v>
      </c>
      <c r="L268" s="214" t="e">
        <f>(F268-G268)/H268</f>
        <v>#DIV/0!</v>
      </c>
      <c r="M268" s="214" t="e">
        <f>(F268+G268)/H268</f>
        <v>#DIV/0!</v>
      </c>
    </row>
    <row r="269" spans="2:13" ht="12.75" hidden="1">
      <c r="B269" s="146" t="s">
        <v>6</v>
      </c>
      <c r="C269" s="372">
        <f>E256</f>
        <v>0</v>
      </c>
      <c r="D269" s="147">
        <f>E258</f>
        <v>0</v>
      </c>
      <c r="E269" s="148" t="e">
        <f>C269/D269</f>
        <v>#DIV/0!</v>
      </c>
      <c r="F269" s="148">
        <f>2*C269+J269^2</f>
        <v>3.8414588206941245</v>
      </c>
      <c r="G269" s="148" t="e">
        <f>J269*SQRT((J269^2)+(4*C269*(1-E269)))</f>
        <v>#DIV/0!</v>
      </c>
      <c r="H269" s="149">
        <f>2*(D269+J269^2)</f>
        <v>7.682917641388249</v>
      </c>
      <c r="I269" s="150" t="s">
        <v>37</v>
      </c>
      <c r="J269" s="151">
        <f>-NORMSINV(2.5/100)</f>
        <v>1.9599639845400538</v>
      </c>
      <c r="K269" s="214" t="e">
        <f>E269</f>
        <v>#DIV/0!</v>
      </c>
      <c r="L269" s="214" t="e">
        <f>(F269-G269)/H269</f>
        <v>#DIV/0!</v>
      </c>
      <c r="M269" s="214" t="e">
        <f>(F269+G269)/H269</f>
        <v>#DIV/0!</v>
      </c>
    </row>
    <row r="270" spans="2:13" ht="12.75" hidden="1">
      <c r="B270" s="154" t="s">
        <v>24</v>
      </c>
      <c r="C270" s="372">
        <f>D254</f>
        <v>0</v>
      </c>
      <c r="D270" s="152">
        <f>F254</f>
        <v>0</v>
      </c>
      <c r="E270" s="148" t="e">
        <f>C270/D270</f>
        <v>#DIV/0!</v>
      </c>
      <c r="F270" s="148">
        <f>2*C270+J270^2</f>
        <v>3.8414588206941245</v>
      </c>
      <c r="G270" s="148" t="e">
        <f>J270*SQRT((J270^2)+(4*C270*(1-E270)))</f>
        <v>#DIV/0!</v>
      </c>
      <c r="H270" s="149">
        <f>2*(D270+J270^2)</f>
        <v>7.682917641388249</v>
      </c>
      <c r="I270" s="150" t="s">
        <v>37</v>
      </c>
      <c r="J270" s="151">
        <f>-NORMSINV(2.5/100)</f>
        <v>1.9599639845400538</v>
      </c>
      <c r="K270" s="214" t="e">
        <f>E270</f>
        <v>#DIV/0!</v>
      </c>
      <c r="L270" s="214" t="e">
        <f>(F270-G270)/H270</f>
        <v>#DIV/0!</v>
      </c>
      <c r="M270" s="214" t="e">
        <f>(F270+G270)/H270</f>
        <v>#DIV/0!</v>
      </c>
    </row>
    <row r="271" spans="2:13" ht="12.75" hidden="1">
      <c r="B271" s="154" t="s">
        <v>25</v>
      </c>
      <c r="C271" s="372">
        <f>E256</f>
        <v>0</v>
      </c>
      <c r="D271" s="152">
        <f>F256</f>
        <v>0</v>
      </c>
      <c r="E271" s="148" t="e">
        <f>C271/D271</f>
        <v>#DIV/0!</v>
      </c>
      <c r="F271" s="148">
        <f>2*C271+J271^2</f>
        <v>3.8414588206941245</v>
      </c>
      <c r="G271" s="148" t="e">
        <f>J271*SQRT((J271^2)+(4*C271*(1-E271)))</f>
        <v>#DIV/0!</v>
      </c>
      <c r="H271" s="149">
        <f>2*(D271+J271^2)</f>
        <v>7.682917641388249</v>
      </c>
      <c r="I271" s="150" t="s">
        <v>37</v>
      </c>
      <c r="J271" s="151">
        <f>-NORMSINV(2.5/100)</f>
        <v>1.9599639845400538</v>
      </c>
      <c r="K271" s="214" t="e">
        <f>E271</f>
        <v>#DIV/0!</v>
      </c>
      <c r="L271" s="214" t="e">
        <f>(F271-G271)/H271</f>
        <v>#DIV/0!</v>
      </c>
      <c r="M271" s="214" t="e">
        <f>(F271+G271)/H271</f>
        <v>#DIV/0!</v>
      </c>
    </row>
    <row r="272" spans="3:8" ht="13.5" hidden="1" thickBot="1">
      <c r="C272" s="373"/>
      <c r="D272" s="374"/>
      <c r="E272" s="65"/>
      <c r="F272" s="65"/>
      <c r="G272" s="65"/>
      <c r="H272" s="378"/>
    </row>
    <row r="273" spans="2:8" ht="13.5" hidden="1" thickBot="1">
      <c r="B273" s="332"/>
      <c r="C273" s="333"/>
      <c r="D273" s="333"/>
      <c r="E273" s="334" t="s">
        <v>223</v>
      </c>
      <c r="F273" s="334" t="s">
        <v>224</v>
      </c>
      <c r="G273" s="334" t="s">
        <v>225</v>
      </c>
      <c r="H273" s="335"/>
    </row>
    <row r="274" spans="2:8" ht="12.75" hidden="1">
      <c r="B274" s="336" t="s">
        <v>226</v>
      </c>
      <c r="C274" s="337"/>
      <c r="D274" s="338" t="e">
        <f>ROUND(K270,3)*100&amp;B277</f>
        <v>#DIV/0!</v>
      </c>
      <c r="E274" s="339" t="e">
        <f>ROUND(K271,3)*100&amp;B277</f>
        <v>#DIV/0!</v>
      </c>
      <c r="F274" s="339" t="e">
        <f>ROUND(K268,3)*100&amp;B277</f>
        <v>#DIV/0!</v>
      </c>
      <c r="G274" s="339" t="e">
        <f>ROUND(K269,3)*100&amp;B277</f>
        <v>#DIV/0!</v>
      </c>
      <c r="H274" s="340"/>
    </row>
    <row r="275" spans="2:8" ht="12.75" hidden="1">
      <c r="B275" s="341" t="s">
        <v>227</v>
      </c>
      <c r="C275" s="342"/>
      <c r="D275" s="338" t="e">
        <f>ROUND(L270,3)*100&amp;B277</f>
        <v>#DIV/0!</v>
      </c>
      <c r="E275" s="339" t="e">
        <f>ROUND(L271,3)*100&amp;B277</f>
        <v>#DIV/0!</v>
      </c>
      <c r="F275" s="339" t="e">
        <f>ROUND(L268,3)*100&amp;B277</f>
        <v>#DIV/0!</v>
      </c>
      <c r="G275" s="339" t="e">
        <f>ROUND(L269,3)*100&amp;B277</f>
        <v>#DIV/0!</v>
      </c>
      <c r="H275" s="340"/>
    </row>
    <row r="276" spans="2:8" ht="12.75" hidden="1">
      <c r="B276" s="341" t="s">
        <v>228</v>
      </c>
      <c r="C276" s="343" t="str">
        <f>ROUND(C251,4)*100&amp;B277</f>
        <v>0%</v>
      </c>
      <c r="D276" s="338" t="e">
        <f>ROUND(M270,3)*100&amp;B277</f>
        <v>#DIV/0!</v>
      </c>
      <c r="E276" s="339" t="e">
        <f>ROUND(M271,3)*100&amp;B277</f>
        <v>#DIV/0!</v>
      </c>
      <c r="F276" s="339" t="e">
        <f>ROUND(M268,3)*100&amp;B277</f>
        <v>#DIV/0!</v>
      </c>
      <c r="G276" s="339" t="e">
        <f>ROUND(M269,3)*100&amp;B277</f>
        <v>#DIV/0!</v>
      </c>
      <c r="H276" s="344">
        <f>D262</f>
        <v>0</v>
      </c>
    </row>
    <row r="277" spans="2:8" ht="12.75" hidden="1">
      <c r="B277" s="341" t="s">
        <v>229</v>
      </c>
      <c r="C277" s="345" t="s">
        <v>230</v>
      </c>
      <c r="D277" s="345" t="s">
        <v>231</v>
      </c>
      <c r="E277" s="345" t="s">
        <v>232</v>
      </c>
      <c r="F277" s="345" t="s">
        <v>5</v>
      </c>
      <c r="G277" s="346" t="s">
        <v>6</v>
      </c>
      <c r="H277" s="347" t="s">
        <v>233</v>
      </c>
    </row>
    <row r="278" spans="2:8" ht="12.75" hidden="1">
      <c r="B278" s="348" t="s">
        <v>80</v>
      </c>
      <c r="C278" s="349" t="str">
        <f>C276</f>
        <v>0%</v>
      </c>
      <c r="D278" s="350" t="e">
        <f>CONCATENATE(D274," ",B274,D275," ",B278," ",D276,B276)</f>
        <v>#DIV/0!</v>
      </c>
      <c r="E278" s="350" t="e">
        <f>CONCATENATE(E274," ",B274,E275," ",B278," ",E276,B276)</f>
        <v>#DIV/0!</v>
      </c>
      <c r="F278" s="350" t="e">
        <f>CONCATENATE(F274," ",B274,F275," ",B278," ",F276,B276)</f>
        <v>#DIV/0!</v>
      </c>
      <c r="G278" s="350" t="e">
        <f>CONCATENATE(G274," ",B274,G275," ",B278," ",G276,B276)</f>
        <v>#DIV/0!</v>
      </c>
      <c r="H278" s="351">
        <f>H276</f>
        <v>0</v>
      </c>
    </row>
    <row r="279" spans="2:8" ht="13.5" hidden="1" thickBot="1">
      <c r="B279" s="352" t="s">
        <v>234</v>
      </c>
      <c r="C279" s="353"/>
      <c r="D279" s="353"/>
      <c r="E279" s="353"/>
      <c r="F279" s="353"/>
      <c r="G279" s="353"/>
      <c r="H279" s="354"/>
    </row>
    <row r="281" spans="2:7" ht="14.25" customHeight="1">
      <c r="B281" s="355" t="s">
        <v>272</v>
      </c>
      <c r="C281" s="355" t="s">
        <v>231</v>
      </c>
      <c r="D281" s="356" t="s">
        <v>232</v>
      </c>
      <c r="E281" s="356" t="s">
        <v>5</v>
      </c>
      <c r="F281" s="356" t="s">
        <v>6</v>
      </c>
      <c r="G281" s="356" t="s">
        <v>233</v>
      </c>
    </row>
    <row r="282" spans="2:7" ht="13.5" customHeight="1">
      <c r="B282" s="357" t="str">
        <f aca="true" t="shared" si="6" ref="B282:G282">C278</f>
        <v>0%</v>
      </c>
      <c r="C282" s="357" t="e">
        <f t="shared" si="6"/>
        <v>#DIV/0!</v>
      </c>
      <c r="D282" s="357" t="e">
        <f t="shared" si="6"/>
        <v>#DIV/0!</v>
      </c>
      <c r="E282" s="357" t="e">
        <f t="shared" si="6"/>
        <v>#DIV/0!</v>
      </c>
      <c r="F282" s="357" t="e">
        <f t="shared" si="6"/>
        <v>#DIV/0!</v>
      </c>
      <c r="G282" s="358">
        <f t="shared" si="6"/>
        <v>0</v>
      </c>
    </row>
  </sheetData>
  <sheetProtection/>
  <mergeCells count="62">
    <mergeCell ref="B127:G127"/>
    <mergeCell ref="B248:G248"/>
    <mergeCell ref="B249:G249"/>
    <mergeCell ref="D250:E250"/>
    <mergeCell ref="B254:B257"/>
    <mergeCell ref="C254:C255"/>
    <mergeCell ref="C256:C257"/>
    <mergeCell ref="C219:C220"/>
    <mergeCell ref="C178:C179"/>
    <mergeCell ref="F178:F179"/>
    <mergeCell ref="C258:C259"/>
    <mergeCell ref="F258:F259"/>
    <mergeCell ref="B8:I8"/>
    <mergeCell ref="C221:C222"/>
    <mergeCell ref="F221:F222"/>
    <mergeCell ref="B210:G210"/>
    <mergeCell ref="B211:G211"/>
    <mergeCell ref="D213:E213"/>
    <mergeCell ref="B217:B220"/>
    <mergeCell ref="C217:C218"/>
    <mergeCell ref="B206:G206"/>
    <mergeCell ref="B207:G207"/>
    <mergeCell ref="B208:G208"/>
    <mergeCell ref="B209:G209"/>
    <mergeCell ref="C139:C140"/>
    <mergeCell ref="F139:F140"/>
    <mergeCell ref="D170:E170"/>
    <mergeCell ref="B174:B177"/>
    <mergeCell ref="C174:C175"/>
    <mergeCell ref="C176:C177"/>
    <mergeCell ref="B130:G130"/>
    <mergeCell ref="B128:G128"/>
    <mergeCell ref="D131:E131"/>
    <mergeCell ref="B135:B138"/>
    <mergeCell ref="C135:C136"/>
    <mergeCell ref="C137:C138"/>
    <mergeCell ref="B88:G88"/>
    <mergeCell ref="D92:E92"/>
    <mergeCell ref="B96:B99"/>
    <mergeCell ref="C96:C97"/>
    <mergeCell ref="C98:C99"/>
    <mergeCell ref="C100:C101"/>
    <mergeCell ref="F100:F101"/>
    <mergeCell ref="B91:G91"/>
    <mergeCell ref="D53:E53"/>
    <mergeCell ref="B57:B60"/>
    <mergeCell ref="C57:C58"/>
    <mergeCell ref="C59:C60"/>
    <mergeCell ref="C61:C62"/>
    <mergeCell ref="F61:F62"/>
    <mergeCell ref="K16:Q16"/>
    <mergeCell ref="C17:C18"/>
    <mergeCell ref="F17:F18"/>
    <mergeCell ref="F19:I20"/>
    <mergeCell ref="B51:G51"/>
    <mergeCell ref="B52:G52"/>
    <mergeCell ref="D9:E9"/>
    <mergeCell ref="B13:B16"/>
    <mergeCell ref="C13:C14"/>
    <mergeCell ref="H13:I14"/>
    <mergeCell ref="C15:C16"/>
    <mergeCell ref="H15:I16"/>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2:IV166"/>
  <sheetViews>
    <sheetView zoomScalePageLayoutView="0" workbookViewId="0" topLeftCell="A1">
      <selection activeCell="A1" sqref="A1"/>
    </sheetView>
  </sheetViews>
  <sheetFormatPr defaultColWidth="11.421875" defaultRowHeight="12.75"/>
  <cols>
    <col min="1" max="1" width="7.00390625" style="68" customWidth="1"/>
    <col min="2" max="2" width="18.00390625" style="68" customWidth="1"/>
    <col min="3" max="3" width="19.140625" style="68" customWidth="1"/>
    <col min="4" max="4" width="19.8515625" style="68" customWidth="1"/>
    <col min="5" max="5" width="20.57421875" style="68" customWidth="1"/>
    <col min="6" max="6" width="18.7109375" style="68" customWidth="1"/>
    <col min="7" max="7" width="15.421875" style="68" customWidth="1"/>
    <col min="8" max="8" width="11.8515625" style="68" customWidth="1"/>
    <col min="9" max="9" width="9.8515625" style="68" customWidth="1"/>
    <col min="10" max="10" width="13.421875" style="68" customWidth="1"/>
    <col min="11" max="11" width="11.8515625" style="68" customWidth="1"/>
    <col min="12" max="12" width="12.7109375" style="68" bestFit="1" customWidth="1"/>
    <col min="13" max="16" width="11.421875" style="68" customWidth="1"/>
    <col min="17" max="17" width="12.28125" style="68" bestFit="1" customWidth="1"/>
    <col min="18" max="16384" width="11.421875" style="68" customWidth="1"/>
  </cols>
  <sheetData>
    <row r="2" spans="1:256" ht="18.75">
      <c r="A2" s="191" t="s">
        <v>27</v>
      </c>
      <c r="B2" s="191"/>
      <c r="C2" s="191"/>
      <c r="D2" s="191"/>
      <c r="E2" s="191"/>
      <c r="F2" s="191"/>
      <c r="G2" s="191"/>
      <c r="H2" s="191"/>
      <c r="I2" s="191"/>
      <c r="J2" s="192" t="s">
        <v>133</v>
      </c>
      <c r="K2" s="193"/>
      <c r="L2" s="193"/>
      <c r="M2" s="193"/>
      <c r="N2" s="193"/>
      <c r="O2" s="193"/>
      <c r="P2" s="193"/>
      <c r="Q2" s="193"/>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c r="HR2" s="191"/>
      <c r="HS2" s="191"/>
      <c r="HT2" s="191"/>
      <c r="HU2" s="191"/>
      <c r="HV2" s="191"/>
      <c r="HW2" s="191"/>
      <c r="HX2" s="191"/>
      <c r="HY2" s="191"/>
      <c r="HZ2" s="191"/>
      <c r="IA2" s="191"/>
      <c r="IB2" s="191"/>
      <c r="IC2" s="191"/>
      <c r="ID2" s="191"/>
      <c r="IE2" s="191"/>
      <c r="IF2" s="191"/>
      <c r="IG2" s="191"/>
      <c r="IH2" s="191"/>
      <c r="II2" s="191"/>
      <c r="IJ2" s="191"/>
      <c r="IK2" s="191"/>
      <c r="IL2" s="191"/>
      <c r="IM2" s="191"/>
      <c r="IN2" s="191"/>
      <c r="IO2" s="191"/>
      <c r="IP2" s="191"/>
      <c r="IQ2" s="191"/>
      <c r="IR2" s="191"/>
      <c r="IS2" s="191"/>
      <c r="IT2" s="191"/>
      <c r="IU2" s="191"/>
      <c r="IV2" s="191"/>
    </row>
    <row r="3" spans="1:256" ht="18.75">
      <c r="A3" s="191"/>
      <c r="B3" s="191"/>
      <c r="C3" s="191"/>
      <c r="D3" s="191"/>
      <c r="E3" s="191"/>
      <c r="F3" s="191"/>
      <c r="G3" s="191"/>
      <c r="H3" s="191"/>
      <c r="I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ht="19.5" thickBot="1">
      <c r="A4" s="194" t="s">
        <v>18</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2:9" ht="13.5" thickBot="1">
      <c r="B5" s="2"/>
      <c r="C5" s="3"/>
      <c r="D5" s="3"/>
      <c r="E5" s="3"/>
      <c r="F5" s="4"/>
      <c r="G5" s="195"/>
      <c r="H5" s="196"/>
      <c r="I5" s="197"/>
    </row>
    <row r="6" spans="2:10" ht="13.5" thickBot="1">
      <c r="B6" s="198" t="s">
        <v>9</v>
      </c>
      <c r="C6" s="199">
        <v>124</v>
      </c>
      <c r="D6" s="595" t="s">
        <v>19</v>
      </c>
      <c r="E6" s="596"/>
      <c r="F6" s="8"/>
      <c r="I6" s="107"/>
      <c r="J6" s="200"/>
    </row>
    <row r="7" spans="2:9" ht="12.75">
      <c r="B7" s="198" t="s">
        <v>155</v>
      </c>
      <c r="C7" s="201">
        <f>D14/F14</f>
        <v>0.5887096774193549</v>
      </c>
      <c r="D7" s="202" t="s">
        <v>20</v>
      </c>
      <c r="E7" s="202" t="s">
        <v>21</v>
      </c>
      <c r="F7" s="108" t="s">
        <v>0</v>
      </c>
      <c r="I7" s="107"/>
    </row>
    <row r="8" spans="2:9" ht="12.75">
      <c r="B8" s="198" t="s">
        <v>11</v>
      </c>
      <c r="C8" s="201">
        <f>D10/D14</f>
        <v>0.9041095890410958</v>
      </c>
      <c r="D8" s="45"/>
      <c r="E8" s="45"/>
      <c r="F8" s="109"/>
      <c r="I8" s="107"/>
    </row>
    <row r="9" spans="2:9" ht="13.5" thickBot="1">
      <c r="B9" s="198" t="s">
        <v>12</v>
      </c>
      <c r="C9" s="201">
        <f>E12/E14</f>
        <v>0.803921568627451</v>
      </c>
      <c r="D9" s="203"/>
      <c r="E9" s="203"/>
      <c r="F9" s="109"/>
      <c r="I9" s="107"/>
    </row>
    <row r="10" spans="2:9" ht="12.75" customHeight="1">
      <c r="B10" s="503" t="s">
        <v>166</v>
      </c>
      <c r="C10" s="527" t="s">
        <v>7</v>
      </c>
      <c r="D10" s="204">
        <v>66</v>
      </c>
      <c r="E10" s="205">
        <f>F10-D10</f>
        <v>10</v>
      </c>
      <c r="F10" s="112">
        <f>F14-F12</f>
        <v>76</v>
      </c>
      <c r="G10" s="113" t="s">
        <v>168</v>
      </c>
      <c r="H10" s="196"/>
      <c r="I10" s="197"/>
    </row>
    <row r="11" spans="2:9" ht="63" customHeight="1" thickBot="1">
      <c r="B11" s="597"/>
      <c r="C11" s="528"/>
      <c r="D11" s="116" t="s">
        <v>207</v>
      </c>
      <c r="E11" s="117" t="s">
        <v>208</v>
      </c>
      <c r="F11" s="49" t="s">
        <v>1</v>
      </c>
      <c r="G11" s="118">
        <f>D10/F10</f>
        <v>0.868421052631579</v>
      </c>
      <c r="H11" s="119"/>
      <c r="I11" s="120"/>
    </row>
    <row r="12" spans="2:9" ht="12.75">
      <c r="B12" s="597"/>
      <c r="C12" s="527" t="s">
        <v>8</v>
      </c>
      <c r="D12" s="111">
        <f>D14-D10</f>
        <v>7</v>
      </c>
      <c r="E12" s="121">
        <v>41</v>
      </c>
      <c r="F12" s="112">
        <f>D12+E12</f>
        <v>48</v>
      </c>
      <c r="G12" s="113" t="s">
        <v>167</v>
      </c>
      <c r="H12" s="114"/>
      <c r="I12" s="115"/>
    </row>
    <row r="13" spans="2:9" ht="51" customHeight="1" thickBot="1">
      <c r="B13" s="504"/>
      <c r="C13" s="528"/>
      <c r="D13" s="117" t="s">
        <v>209</v>
      </c>
      <c r="E13" s="116" t="s">
        <v>210</v>
      </c>
      <c r="F13" s="49" t="s">
        <v>2</v>
      </c>
      <c r="G13" s="206">
        <f>E12/F12</f>
        <v>0.8541666666666666</v>
      </c>
      <c r="H13" s="207"/>
      <c r="I13" s="208"/>
    </row>
    <row r="14" spans="2:9" ht="12.75">
      <c r="B14" s="123"/>
      <c r="C14" s="548" t="s">
        <v>0</v>
      </c>
      <c r="D14" s="18">
        <v>73</v>
      </c>
      <c r="E14" s="125">
        <f>F14-D14</f>
        <v>51</v>
      </c>
      <c r="F14" s="549">
        <v>124</v>
      </c>
      <c r="I14" s="107"/>
    </row>
    <row r="15" spans="2:9" ht="26.25" thickBot="1">
      <c r="B15" s="123"/>
      <c r="C15" s="516"/>
      <c r="D15" s="14" t="s">
        <v>4</v>
      </c>
      <c r="E15" s="14" t="s">
        <v>3</v>
      </c>
      <c r="F15" s="518"/>
      <c r="I15" s="107"/>
    </row>
    <row r="16" spans="2:9" ht="12.75">
      <c r="B16" s="123"/>
      <c r="D16" s="126" t="s">
        <v>5</v>
      </c>
      <c r="E16" s="58" t="s">
        <v>6</v>
      </c>
      <c r="I16" s="107"/>
    </row>
    <row r="17" spans="2:9" ht="13.5" thickBot="1">
      <c r="B17" s="123"/>
      <c r="D17" s="209">
        <f>D10/D14</f>
        <v>0.9041095890410958</v>
      </c>
      <c r="E17" s="210">
        <f>C9</f>
        <v>0.803921568627451</v>
      </c>
      <c r="F17" s="127"/>
      <c r="I17" s="107"/>
    </row>
    <row r="18" spans="2:9" ht="13.5" thickBot="1">
      <c r="B18" s="211"/>
      <c r="C18" s="32" t="s">
        <v>105</v>
      </c>
      <c r="D18" s="212">
        <f>D17/(1-E17)</f>
        <v>4.610958904109589</v>
      </c>
      <c r="E18" s="128"/>
      <c r="F18" s="88"/>
      <c r="G18" s="88"/>
      <c r="H18" s="88"/>
      <c r="I18" s="129"/>
    </row>
    <row r="19" spans="3:5" ht="12.75" hidden="1">
      <c r="C19" s="9"/>
      <c r="D19" s="10"/>
      <c r="E19" s="10"/>
    </row>
    <row r="20" spans="2:11" ht="12.75" hidden="1">
      <c r="B20" s="76" t="s">
        <v>211</v>
      </c>
      <c r="C20" s="132"/>
      <c r="D20" s="133"/>
      <c r="E20" s="133"/>
      <c r="F20" s="134"/>
      <c r="G20" s="134"/>
      <c r="H20" s="135"/>
      <c r="I20" s="136"/>
      <c r="J20" s="137"/>
      <c r="K20" s="137"/>
    </row>
    <row r="21" spans="2:12" ht="12.75" hidden="1">
      <c r="B21" s="138" t="s">
        <v>31</v>
      </c>
      <c r="C21" s="132"/>
      <c r="D21" s="136"/>
      <c r="E21" s="136"/>
      <c r="F21" s="132"/>
      <c r="G21" s="132"/>
      <c r="H21" s="139"/>
      <c r="I21" s="136"/>
      <c r="J21" s="140"/>
      <c r="K21" s="140"/>
      <c r="L21" s="140"/>
    </row>
    <row r="22" spans="2:12" ht="12.75" hidden="1">
      <c r="B22" s="141" t="s">
        <v>212</v>
      </c>
      <c r="C22" s="142" t="s">
        <v>32</v>
      </c>
      <c r="E22" s="142" t="s">
        <v>213</v>
      </c>
      <c r="F22" s="142"/>
      <c r="G22" s="142" t="s">
        <v>33</v>
      </c>
      <c r="H22" s="142"/>
      <c r="I22" s="142" t="s">
        <v>34</v>
      </c>
      <c r="J22" s="140"/>
      <c r="K22" s="140"/>
      <c r="L22" s="140"/>
    </row>
    <row r="23" spans="1:12" ht="38.25" hidden="1">
      <c r="A23" s="213"/>
      <c r="B23" s="143" t="s">
        <v>16</v>
      </c>
      <c r="C23" s="143" t="s">
        <v>13</v>
      </c>
      <c r="D23" s="144" t="s">
        <v>35</v>
      </c>
      <c r="E23" s="144" t="s">
        <v>32</v>
      </c>
      <c r="F23" s="144" t="s">
        <v>214</v>
      </c>
      <c r="G23" s="144" t="s">
        <v>33</v>
      </c>
      <c r="H23" s="144" t="s">
        <v>34</v>
      </c>
      <c r="I23" s="145" t="s">
        <v>46</v>
      </c>
      <c r="J23" s="144" t="s">
        <v>17</v>
      </c>
      <c r="K23" s="144" t="s">
        <v>14</v>
      </c>
      <c r="L23" s="144" t="s">
        <v>15</v>
      </c>
    </row>
    <row r="24" spans="1:12" ht="12.75" hidden="1">
      <c r="A24" s="146" t="s">
        <v>5</v>
      </c>
      <c r="B24" s="147">
        <f>D10</f>
        <v>66</v>
      </c>
      <c r="C24" s="147">
        <f>D14</f>
        <v>73</v>
      </c>
      <c r="D24" s="148">
        <f>B24/C24</f>
        <v>0.9041095890410958</v>
      </c>
      <c r="E24" s="148">
        <f>2*B24+I24^2</f>
        <v>135.84145882069413</v>
      </c>
      <c r="F24" s="148">
        <f>I24*SQRT((I24^2)+(4*B24*(1-D24)))</f>
        <v>10.58317528110436</v>
      </c>
      <c r="G24" s="149">
        <f>2*(C24+I24^2)</f>
        <v>153.68291764138826</v>
      </c>
      <c r="H24" s="150" t="s">
        <v>37</v>
      </c>
      <c r="I24" s="151">
        <f>-NORMSINV(2.5/100)</f>
        <v>1.9599639845400538</v>
      </c>
      <c r="J24" s="214">
        <f>D24</f>
        <v>0.9041095890410958</v>
      </c>
      <c r="K24" s="214">
        <f>(E24-F24)/G24</f>
        <v>0.8150436330983382</v>
      </c>
      <c r="L24" s="214">
        <f>(E24+F24)/G24</f>
        <v>0.9527710454031942</v>
      </c>
    </row>
    <row r="25" spans="1:12" ht="12.75" hidden="1">
      <c r="A25" s="146" t="s">
        <v>6</v>
      </c>
      <c r="B25" s="152">
        <f>E12</f>
        <v>41</v>
      </c>
      <c r="C25" s="153">
        <f>E14</f>
        <v>51</v>
      </c>
      <c r="D25" s="148">
        <f>B25/C25</f>
        <v>0.803921568627451</v>
      </c>
      <c r="E25" s="148">
        <f>2*B25+I25^2</f>
        <v>85.84145882069413</v>
      </c>
      <c r="F25" s="148">
        <f>I25*SQRT((I25^2)+(4*B25*(1-D25)))</f>
        <v>11.759509764828454</v>
      </c>
      <c r="G25" s="149">
        <f>2*(C25+I25^2)</f>
        <v>109.68291764138824</v>
      </c>
      <c r="H25" s="150" t="s">
        <v>37</v>
      </c>
      <c r="I25" s="151">
        <f>-NORMSINV(2.5/100)</f>
        <v>1.9599639845400538</v>
      </c>
      <c r="J25" s="214">
        <f>D25</f>
        <v>0.803921568627451</v>
      </c>
      <c r="K25" s="214">
        <f>(E25-F25)/G25</f>
        <v>0.675419205186344</v>
      </c>
      <c r="L25" s="214">
        <f>(E25+F25)/G25</f>
        <v>0.8898465748753331</v>
      </c>
    </row>
    <row r="26" spans="1:12" ht="12.75" hidden="1">
      <c r="A26" s="154" t="s">
        <v>24</v>
      </c>
      <c r="B26" s="147">
        <f>D10</f>
        <v>66</v>
      </c>
      <c r="C26" s="152">
        <f>F10</f>
        <v>76</v>
      </c>
      <c r="D26" s="148">
        <f>B26/C26</f>
        <v>0.868421052631579</v>
      </c>
      <c r="E26" s="148">
        <f>2*B26+I26^2</f>
        <v>135.84145882069413</v>
      </c>
      <c r="F26" s="148">
        <f>I26*SQRT((I26^2)+(4*B26*(1-D26)))</f>
        <v>12.173617144440303</v>
      </c>
      <c r="G26" s="149">
        <f>2*(C26+I26^2)</f>
        <v>159.68291764138826</v>
      </c>
      <c r="H26" s="150" t="s">
        <v>37</v>
      </c>
      <c r="I26" s="151">
        <f>-NORMSINV(2.5/100)</f>
        <v>1.9599639845400538</v>
      </c>
      <c r="J26" s="214">
        <f>D26</f>
        <v>0.868421052631579</v>
      </c>
      <c r="K26" s="214">
        <f>(E26-F26)/G26</f>
        <v>0.7744588056311937</v>
      </c>
      <c r="L26" s="214">
        <f>(E26+F26)/G26</f>
        <v>0.9269311843208103</v>
      </c>
    </row>
    <row r="27" spans="1:12" ht="12.75" hidden="1">
      <c r="A27" s="154" t="s">
        <v>25</v>
      </c>
      <c r="B27" s="152">
        <f>E12</f>
        <v>41</v>
      </c>
      <c r="C27" s="152">
        <f>F12</f>
        <v>48</v>
      </c>
      <c r="D27" s="148">
        <f>B27/C27</f>
        <v>0.8541666666666666</v>
      </c>
      <c r="E27" s="148">
        <f>2*B27+I27^2</f>
        <v>85.84145882069413</v>
      </c>
      <c r="F27" s="148">
        <f>I27*SQRT((I27^2)+(4*B27*(1-D27)))</f>
        <v>10.326262440949122</v>
      </c>
      <c r="G27" s="149">
        <f>2*(C27+I27^2)</f>
        <v>103.68291764138824</v>
      </c>
      <c r="H27" s="150" t="s">
        <v>37</v>
      </c>
      <c r="I27" s="151">
        <f>-NORMSINV(2.5/100)</f>
        <v>1.9599639845400538</v>
      </c>
      <c r="J27" s="214">
        <f>D27</f>
        <v>0.8541666666666666</v>
      </c>
      <c r="K27" s="214">
        <f>(E27-F27)/G27</f>
        <v>0.7283282347525373</v>
      </c>
      <c r="L27" s="214">
        <f>(E27+F27)/G27</f>
        <v>0.927517506733963</v>
      </c>
    </row>
    <row r="28" spans="1:12" ht="13.5" hidden="1" thickBot="1">
      <c r="A28" s="1"/>
      <c r="B28" s="1"/>
      <c r="C28" s="1"/>
      <c r="D28" s="1"/>
      <c r="E28" s="1"/>
      <c r="F28" s="1"/>
      <c r="G28" s="1"/>
      <c r="H28" s="390"/>
      <c r="I28" s="65"/>
      <c r="J28" s="137"/>
      <c r="K28" s="137"/>
      <c r="L28" s="137"/>
    </row>
    <row r="29" spans="1:12" ht="13.5" hidden="1" thickBot="1">
      <c r="A29" s="332"/>
      <c r="B29" s="333"/>
      <c r="C29" s="333"/>
      <c r="D29" s="334" t="s">
        <v>223</v>
      </c>
      <c r="E29" s="334" t="s">
        <v>224</v>
      </c>
      <c r="F29" s="334" t="s">
        <v>225</v>
      </c>
      <c r="G29" s="335"/>
      <c r="H29" s="390"/>
      <c r="I29" s="65"/>
      <c r="J29" s="137"/>
      <c r="K29" s="137"/>
      <c r="L29" s="137"/>
    </row>
    <row r="30" spans="1:12" ht="12.75" hidden="1">
      <c r="A30" s="336" t="s">
        <v>226</v>
      </c>
      <c r="B30" s="337"/>
      <c r="C30" s="338" t="str">
        <f>ROUND(J26,3)*100&amp;A33</f>
        <v>86,8%</v>
      </c>
      <c r="D30" s="339" t="str">
        <f>ROUND(J27,3)*100&amp;A33</f>
        <v>85,4%</v>
      </c>
      <c r="E30" s="339" t="str">
        <f>ROUND(J24,3)*100&amp;A33</f>
        <v>90,4%</v>
      </c>
      <c r="F30" s="339" t="str">
        <f>ROUND(J25,3)*100&amp;A33</f>
        <v>80,4%</v>
      </c>
      <c r="G30" s="340"/>
      <c r="H30" s="390"/>
      <c r="I30" s="65"/>
      <c r="J30" s="137"/>
      <c r="K30" s="137"/>
      <c r="L30" s="137"/>
    </row>
    <row r="31" spans="1:12" ht="12.75" hidden="1">
      <c r="A31" s="341" t="s">
        <v>227</v>
      </c>
      <c r="B31" s="342"/>
      <c r="C31" s="338" t="str">
        <f>ROUND(K26,3)*100&amp;A33</f>
        <v>77,4%</v>
      </c>
      <c r="D31" s="339" t="str">
        <f>ROUND(K27,3)*100&amp;A33</f>
        <v>72,8%</v>
      </c>
      <c r="E31" s="339" t="str">
        <f>ROUND(K24,3)*100&amp;A33</f>
        <v>81,5%</v>
      </c>
      <c r="F31" s="339" t="str">
        <f>ROUND(K25,3)*100&amp;A33</f>
        <v>67,5%</v>
      </c>
      <c r="G31" s="340"/>
      <c r="H31" s="390"/>
      <c r="I31" s="65"/>
      <c r="J31" s="137"/>
      <c r="K31" s="137"/>
      <c r="L31" s="137"/>
    </row>
    <row r="32" spans="1:12" ht="12.75" hidden="1">
      <c r="A32" s="341" t="s">
        <v>228</v>
      </c>
      <c r="B32" s="343">
        <f>C7</f>
        <v>0.5887096774193549</v>
      </c>
      <c r="C32" s="338" t="str">
        <f>ROUND(L26,3)*100&amp;A33</f>
        <v>92,7%</v>
      </c>
      <c r="D32" s="339" t="str">
        <f>ROUND(L27,3)*100&amp;A33</f>
        <v>92,8%</v>
      </c>
      <c r="E32" s="339" t="str">
        <f>ROUND(L24,3)*100&amp;A33</f>
        <v>95,3%</v>
      </c>
      <c r="F32" s="339" t="str">
        <f>ROUND(L25,3)*100&amp;A33</f>
        <v>89%</v>
      </c>
      <c r="G32" s="344">
        <f>D18</f>
        <v>4.610958904109589</v>
      </c>
      <c r="H32" s="390"/>
      <c r="I32" s="65"/>
      <c r="J32" s="137"/>
      <c r="K32" s="137"/>
      <c r="L32" s="137"/>
    </row>
    <row r="33" spans="1:12" ht="12.75" hidden="1">
      <c r="A33" s="341" t="s">
        <v>229</v>
      </c>
      <c r="B33" s="345" t="s">
        <v>272</v>
      </c>
      <c r="C33" s="345" t="s">
        <v>231</v>
      </c>
      <c r="D33" s="345" t="s">
        <v>232</v>
      </c>
      <c r="E33" s="345" t="s">
        <v>5</v>
      </c>
      <c r="F33" s="346" t="s">
        <v>6</v>
      </c>
      <c r="G33" s="347" t="s">
        <v>233</v>
      </c>
      <c r="H33" s="390"/>
      <c r="I33" s="65"/>
      <c r="J33" s="137"/>
      <c r="K33" s="137"/>
      <c r="L33" s="137"/>
    </row>
    <row r="34" spans="1:12" ht="12.75" hidden="1">
      <c r="A34" s="348" t="s">
        <v>80</v>
      </c>
      <c r="B34" s="349">
        <f>B32</f>
        <v>0.5887096774193549</v>
      </c>
      <c r="C34" s="350" t="str">
        <f>CONCATENATE(C30," ",A30,C31," ",A34," ",C32,A32)</f>
        <v>86,8% (77,4% a 92,7%)</v>
      </c>
      <c r="D34" s="350" t="str">
        <f>CONCATENATE(D30," ",A30,D31," ",A34," ",D32,A32)</f>
        <v>85,4% (72,8% a 92,8%)</v>
      </c>
      <c r="E34" s="350" t="str">
        <f>CONCATENATE(E30," ",A30,E31," ",A34," ",E32,A32)</f>
        <v>90,4% (81,5% a 95,3%)</v>
      </c>
      <c r="F34" s="350" t="str">
        <f>CONCATENATE(F30," ",A30,F31," ",A34," ",F32,A32)</f>
        <v>80,4% (67,5% a 89%)</v>
      </c>
      <c r="G34" s="351">
        <f>G32</f>
        <v>4.610958904109589</v>
      </c>
      <c r="H34" s="390"/>
      <c r="I34" s="65"/>
      <c r="J34" s="137"/>
      <c r="K34" s="137"/>
      <c r="L34" s="137"/>
    </row>
    <row r="35" spans="1:12" ht="13.5" hidden="1" thickBot="1">
      <c r="A35" s="352" t="s">
        <v>234</v>
      </c>
      <c r="B35" s="353"/>
      <c r="C35" s="353"/>
      <c r="D35" s="353"/>
      <c r="E35" s="353"/>
      <c r="F35" s="353"/>
      <c r="G35" s="354"/>
      <c r="H35" s="390"/>
      <c r="I35" s="65"/>
      <c r="J35" s="137"/>
      <c r="K35" s="137"/>
      <c r="L35" s="137"/>
    </row>
    <row r="36" spans="1:12" ht="12.75">
      <c r="A36" s="1"/>
      <c r="B36" s="1"/>
      <c r="C36" s="1"/>
      <c r="D36" s="1"/>
      <c r="E36" s="1"/>
      <c r="F36" s="1"/>
      <c r="G36" s="1"/>
      <c r="H36" s="390"/>
      <c r="I36" s="65"/>
      <c r="J36" s="137"/>
      <c r="K36" s="137"/>
      <c r="L36" s="137"/>
    </row>
    <row r="37" spans="1:12" ht="12.75">
      <c r="A37" s="1"/>
      <c r="B37" s="355" t="s">
        <v>272</v>
      </c>
      <c r="C37" s="355" t="s">
        <v>231</v>
      </c>
      <c r="D37" s="356" t="s">
        <v>232</v>
      </c>
      <c r="E37" s="356" t="s">
        <v>5</v>
      </c>
      <c r="F37" s="356" t="s">
        <v>6</v>
      </c>
      <c r="G37" s="356" t="s">
        <v>233</v>
      </c>
      <c r="H37" s="390"/>
      <c r="I37" s="65"/>
      <c r="J37" s="137"/>
      <c r="K37" s="137"/>
      <c r="L37" s="137"/>
    </row>
    <row r="38" spans="1:12" ht="14.25" customHeight="1">
      <c r="A38" s="1"/>
      <c r="B38" s="357" t="s">
        <v>145</v>
      </c>
      <c r="C38" s="357" t="str">
        <f>C34</f>
        <v>86,8% (77,4% a 92,7%)</v>
      </c>
      <c r="D38" s="357" t="str">
        <f>D34</f>
        <v>85,4% (72,8% a 92,8%)</v>
      </c>
      <c r="E38" s="357" t="str">
        <f>E34</f>
        <v>90,4% (81,5% a 95,3%)</v>
      </c>
      <c r="F38" s="357" t="str">
        <f>F34</f>
        <v>80,4% (67,5% a 89%)</v>
      </c>
      <c r="G38" s="391">
        <f>G34</f>
        <v>4.610958904109589</v>
      </c>
      <c r="H38" s="390"/>
      <c r="I38" s="65"/>
      <c r="J38" s="137"/>
      <c r="K38" s="137"/>
      <c r="L38" s="137"/>
    </row>
    <row r="39" spans="1:12" ht="12.75">
      <c r="A39" s="1"/>
      <c r="B39" s="374"/>
      <c r="C39" s="374"/>
      <c r="D39" s="65"/>
      <c r="E39" s="65"/>
      <c r="F39" s="65"/>
      <c r="G39" s="378"/>
      <c r="H39" s="390"/>
      <c r="I39" s="65"/>
      <c r="J39" s="137"/>
      <c r="K39" s="137"/>
      <c r="L39" s="137"/>
    </row>
    <row r="41" ht="16.5" thickBot="1">
      <c r="A41" s="194" t="s">
        <v>23</v>
      </c>
    </row>
    <row r="42" spans="2:9" ht="13.5" thickBot="1">
      <c r="B42" s="2"/>
      <c r="C42" s="3"/>
      <c r="D42" s="3"/>
      <c r="E42" s="3"/>
      <c r="F42" s="4"/>
      <c r="G42" s="195"/>
      <c r="H42" s="196"/>
      <c r="I42" s="197"/>
    </row>
    <row r="43" spans="2:9" ht="13.5" thickBot="1">
      <c r="B43" s="198" t="s">
        <v>9</v>
      </c>
      <c r="C43" s="199">
        <v>124</v>
      </c>
      <c r="D43" s="595" t="s">
        <v>19</v>
      </c>
      <c r="E43" s="596"/>
      <c r="F43" s="8"/>
      <c r="G43" s="9"/>
      <c r="H43" s="10"/>
      <c r="I43" s="107"/>
    </row>
    <row r="44" spans="2:9" ht="12.75">
      <c r="B44" s="198" t="s">
        <v>155</v>
      </c>
      <c r="C44" s="201">
        <f>D51/F51</f>
        <v>0.5887096774193549</v>
      </c>
      <c r="D44" s="202" t="s">
        <v>20</v>
      </c>
      <c r="E44" s="202" t="s">
        <v>21</v>
      </c>
      <c r="F44" s="108" t="s">
        <v>0</v>
      </c>
      <c r="I44" s="107"/>
    </row>
    <row r="45" spans="2:9" ht="12.75">
      <c r="B45" s="198" t="s">
        <v>11</v>
      </c>
      <c r="C45" s="201">
        <f>D47/D51</f>
        <v>0.8767123287671232</v>
      </c>
      <c r="D45" s="45"/>
      <c r="E45" s="45"/>
      <c r="F45" s="109"/>
      <c r="I45" s="107"/>
    </row>
    <row r="46" spans="2:9" ht="13.5" thickBot="1">
      <c r="B46" s="198" t="s">
        <v>12</v>
      </c>
      <c r="C46" s="201">
        <f>E49/E51</f>
        <v>0.5294117647058824</v>
      </c>
      <c r="D46" s="215"/>
      <c r="E46" s="215"/>
      <c r="F46" s="49"/>
      <c r="I46" s="107"/>
    </row>
    <row r="47" spans="2:9" ht="12.75" customHeight="1">
      <c r="B47" s="503" t="s">
        <v>22</v>
      </c>
      <c r="C47" s="527" t="s">
        <v>7</v>
      </c>
      <c r="D47" s="110">
        <v>64</v>
      </c>
      <c r="E47" s="111">
        <f>F47-D47</f>
        <v>24</v>
      </c>
      <c r="F47" s="112">
        <f>F51-F49</f>
        <v>88</v>
      </c>
      <c r="G47" s="113" t="s">
        <v>168</v>
      </c>
      <c r="H47" s="114"/>
      <c r="I47" s="115"/>
    </row>
    <row r="48" spans="2:9" ht="63" customHeight="1" thickBot="1">
      <c r="B48" s="597"/>
      <c r="C48" s="528"/>
      <c r="D48" s="116" t="s">
        <v>207</v>
      </c>
      <c r="E48" s="117" t="s">
        <v>208</v>
      </c>
      <c r="F48" s="49" t="s">
        <v>1</v>
      </c>
      <c r="G48" s="118">
        <f>D47/F47</f>
        <v>0.7272727272727273</v>
      </c>
      <c r="H48" s="119"/>
      <c r="I48" s="120"/>
    </row>
    <row r="49" spans="2:9" ht="12.75">
      <c r="B49" s="597"/>
      <c r="C49" s="527" t="s">
        <v>8</v>
      </c>
      <c r="D49" s="111">
        <f>D51-D47</f>
        <v>9</v>
      </c>
      <c r="E49" s="121">
        <v>27</v>
      </c>
      <c r="F49" s="112">
        <f>D49+E49</f>
        <v>36</v>
      </c>
      <c r="G49" s="113" t="s">
        <v>167</v>
      </c>
      <c r="H49" s="114"/>
      <c r="I49" s="115"/>
    </row>
    <row r="50" spans="2:9" ht="51" customHeight="1" thickBot="1">
      <c r="B50" s="504"/>
      <c r="C50" s="528"/>
      <c r="D50" s="117" t="s">
        <v>209</v>
      </c>
      <c r="E50" s="116" t="s">
        <v>210</v>
      </c>
      <c r="F50" s="49" t="s">
        <v>2</v>
      </c>
      <c r="G50" s="122">
        <f>E49/F49</f>
        <v>0.75</v>
      </c>
      <c r="H50" s="119"/>
      <c r="I50" s="120"/>
    </row>
    <row r="51" spans="2:9" ht="12.75">
      <c r="B51" s="123"/>
      <c r="C51" s="515" t="s">
        <v>0</v>
      </c>
      <c r="D51" s="18">
        <v>73</v>
      </c>
      <c r="E51" s="125">
        <f>F51-D51</f>
        <v>51</v>
      </c>
      <c r="F51" s="517">
        <v>124</v>
      </c>
      <c r="I51" s="107"/>
    </row>
    <row r="52" spans="2:9" ht="26.25" thickBot="1">
      <c r="B52" s="123"/>
      <c r="C52" s="516"/>
      <c r="D52" s="14" t="s">
        <v>4</v>
      </c>
      <c r="E52" s="14" t="s">
        <v>3</v>
      </c>
      <c r="F52" s="518"/>
      <c r="I52" s="107"/>
    </row>
    <row r="53" spans="2:9" ht="12.75">
      <c r="B53" s="123"/>
      <c r="D53" s="126" t="s">
        <v>5</v>
      </c>
      <c r="E53" s="58" t="s">
        <v>6</v>
      </c>
      <c r="I53" s="107"/>
    </row>
    <row r="54" spans="2:9" ht="13.5" thickBot="1">
      <c r="B54" s="123"/>
      <c r="D54" s="209">
        <f>D47/D51</f>
        <v>0.8767123287671232</v>
      </c>
      <c r="E54" s="210">
        <f>C46</f>
        <v>0.5294117647058824</v>
      </c>
      <c r="F54" s="127"/>
      <c r="I54" s="107"/>
    </row>
    <row r="55" spans="2:9" ht="13.5" thickBot="1">
      <c r="B55" s="211"/>
      <c r="C55" s="32" t="s">
        <v>105</v>
      </c>
      <c r="D55" s="212">
        <f>D54/(1-E54)</f>
        <v>1.8630136986301369</v>
      </c>
      <c r="E55" s="128"/>
      <c r="F55" s="88"/>
      <c r="G55" s="88"/>
      <c r="H55" s="88"/>
      <c r="I55" s="129"/>
    </row>
    <row r="56" spans="3:5" ht="12.75" hidden="1">
      <c r="C56" s="9"/>
      <c r="D56" s="10"/>
      <c r="E56" s="10"/>
    </row>
    <row r="57" spans="2:11" ht="12.75" hidden="1">
      <c r="B57" s="76" t="s">
        <v>211</v>
      </c>
      <c r="C57" s="132"/>
      <c r="D57" s="133"/>
      <c r="E57" s="133"/>
      <c r="F57" s="134"/>
      <c r="G57" s="134"/>
      <c r="H57" s="135"/>
      <c r="I57" s="136"/>
      <c r="J57" s="137"/>
      <c r="K57" s="137"/>
    </row>
    <row r="58" spans="2:12" ht="12.75" hidden="1">
      <c r="B58" s="138" t="s">
        <v>31</v>
      </c>
      <c r="C58" s="132"/>
      <c r="D58" s="136"/>
      <c r="E58" s="136"/>
      <c r="F58" s="132"/>
      <c r="G58" s="132"/>
      <c r="H58" s="139"/>
      <c r="I58" s="136"/>
      <c r="J58" s="140"/>
      <c r="K58" s="140"/>
      <c r="L58" s="140"/>
    </row>
    <row r="59" spans="2:12" ht="12.75" hidden="1">
      <c r="B59" s="141" t="s">
        <v>212</v>
      </c>
      <c r="C59" s="142" t="s">
        <v>32</v>
      </c>
      <c r="E59" s="142" t="s">
        <v>213</v>
      </c>
      <c r="F59" s="142"/>
      <c r="G59" s="142" t="s">
        <v>33</v>
      </c>
      <c r="H59" s="142"/>
      <c r="I59" s="142" t="s">
        <v>34</v>
      </c>
      <c r="J59" s="140"/>
      <c r="K59" s="140"/>
      <c r="L59" s="140"/>
    </row>
    <row r="60" spans="2:12" ht="38.25" hidden="1">
      <c r="B60" s="143" t="s">
        <v>16</v>
      </c>
      <c r="C60" s="143" t="s">
        <v>13</v>
      </c>
      <c r="D60" s="144" t="s">
        <v>35</v>
      </c>
      <c r="E60" s="144" t="s">
        <v>32</v>
      </c>
      <c r="F60" s="144" t="s">
        <v>214</v>
      </c>
      <c r="G60" s="144" t="s">
        <v>33</v>
      </c>
      <c r="H60" s="144" t="s">
        <v>34</v>
      </c>
      <c r="I60" s="145" t="s">
        <v>46</v>
      </c>
      <c r="J60" s="144" t="s">
        <v>17</v>
      </c>
      <c r="K60" s="144" t="s">
        <v>14</v>
      </c>
      <c r="L60" s="144" t="s">
        <v>15</v>
      </c>
    </row>
    <row r="61" spans="1:12" ht="12.75" hidden="1">
      <c r="A61" s="146" t="s">
        <v>5</v>
      </c>
      <c r="B61" s="147">
        <f>D47</f>
        <v>64</v>
      </c>
      <c r="C61" s="147">
        <f>D51</f>
        <v>73</v>
      </c>
      <c r="D61" s="148">
        <f>B61/C61</f>
        <v>0.8767123287671232</v>
      </c>
      <c r="E61" s="148">
        <f>2*B61+I61^2</f>
        <v>131.84145882069413</v>
      </c>
      <c r="F61" s="148">
        <f>I61*SQRT((I61^2)+(4*B61*(1-D61)))</f>
        <v>11.661884966806346</v>
      </c>
      <c r="G61" s="149">
        <f>2*(C61+I61^2)</f>
        <v>153.68291764138826</v>
      </c>
      <c r="H61" s="150" t="s">
        <v>37</v>
      </c>
      <c r="I61" s="151">
        <f>-NORMSINV(2.5/100)</f>
        <v>1.9599639845400538</v>
      </c>
      <c r="J61" s="214">
        <f>D61</f>
        <v>0.8767123287671232</v>
      </c>
      <c r="K61" s="214">
        <f>(E61-F61)/G61</f>
        <v>0.7819969564497798</v>
      </c>
      <c r="L61" s="214">
        <f>(E61+F61)/G61</f>
        <v>0.9337624896109707</v>
      </c>
    </row>
    <row r="62" spans="1:12" ht="12.75" hidden="1">
      <c r="A62" s="146" t="s">
        <v>6</v>
      </c>
      <c r="B62" s="152">
        <f>E49</f>
        <v>27</v>
      </c>
      <c r="C62" s="153">
        <f>E51</f>
        <v>51</v>
      </c>
      <c r="D62" s="148">
        <f>B62/C62</f>
        <v>0.5294117647058824</v>
      </c>
      <c r="E62" s="148">
        <f>2*B62+I62^2</f>
        <v>57.84145882069412</v>
      </c>
      <c r="F62" s="148">
        <f>I62*SQRT((I62^2)+(4*B62*(1-D62)))</f>
        <v>14.491145614778683</v>
      </c>
      <c r="G62" s="149">
        <f>2*(C62+I62^2)</f>
        <v>109.68291764138824</v>
      </c>
      <c r="H62" s="150" t="s">
        <v>37</v>
      </c>
      <c r="I62" s="151">
        <f>-NORMSINV(2.5/100)</f>
        <v>1.9599639845400538</v>
      </c>
      <c r="J62" s="214">
        <f>D62</f>
        <v>0.5294117647058824</v>
      </c>
      <c r="K62" s="214">
        <f>(E62-F62)/G62</f>
        <v>0.39523304210096466</v>
      </c>
      <c r="L62" s="214">
        <f>(E62+F62)/G62</f>
        <v>0.6594700979050041</v>
      </c>
    </row>
    <row r="63" spans="1:12" ht="12.75" hidden="1">
      <c r="A63" s="154" t="s">
        <v>24</v>
      </c>
      <c r="B63" s="147">
        <f>D47</f>
        <v>64</v>
      </c>
      <c r="C63" s="152">
        <f>F47</f>
        <v>88</v>
      </c>
      <c r="D63" s="148">
        <f>B63/C63</f>
        <v>0.7272727272727273</v>
      </c>
      <c r="E63" s="148">
        <f>2*B63+I63^2</f>
        <v>131.84145882069413</v>
      </c>
      <c r="F63" s="148">
        <f>I63*SQRT((I63^2)+(4*B63*(1-D63)))</f>
        <v>16.82142907904585</v>
      </c>
      <c r="G63" s="149">
        <f>2*(C63+I63^2)</f>
        <v>183.68291764138826</v>
      </c>
      <c r="H63" s="150" t="s">
        <v>37</v>
      </c>
      <c r="I63" s="151">
        <f>-NORMSINV(2.5/100)</f>
        <v>1.9599639845400538</v>
      </c>
      <c r="J63" s="214">
        <f>D63</f>
        <v>0.7272727272727273</v>
      </c>
      <c r="K63" s="214">
        <f>(E63-F63)/G63</f>
        <v>0.6261879505104913</v>
      </c>
      <c r="L63" s="214">
        <f>(E63+F63)/G63</f>
        <v>0.8093452010054668</v>
      </c>
    </row>
    <row r="64" spans="1:12" ht="12.75" hidden="1">
      <c r="A64" s="154" t="s">
        <v>25</v>
      </c>
      <c r="B64" s="152">
        <f>E49</f>
        <v>27</v>
      </c>
      <c r="C64" s="152">
        <f>F49</f>
        <v>36</v>
      </c>
      <c r="D64" s="148">
        <f>B64/C64</f>
        <v>0.75</v>
      </c>
      <c r="E64" s="148">
        <f>2*B64+I64^2</f>
        <v>57.84145882069412</v>
      </c>
      <c r="F64" s="148">
        <f>I64*SQRT((I64^2)+(4*B64*(1-D64)))</f>
        <v>10.884677029192463</v>
      </c>
      <c r="G64" s="149">
        <f>2*(C64+I64^2)</f>
        <v>79.68291764138824</v>
      </c>
      <c r="H64" s="150" t="s">
        <v>37</v>
      </c>
      <c r="I64" s="151">
        <f>-NORMSINV(2.5/100)</f>
        <v>1.9599639845400538</v>
      </c>
      <c r="J64" s="214">
        <f>D64</f>
        <v>0.75</v>
      </c>
      <c r="K64" s="214">
        <f>(E64-F64)/G64</f>
        <v>0.5892954623327165</v>
      </c>
      <c r="L64" s="214">
        <f>(E64+F64)/G64</f>
        <v>0.8624952233700517</v>
      </c>
    </row>
    <row r="65" spans="1:12" ht="13.5" hidden="1" thickBot="1">
      <c r="A65" s="1"/>
      <c r="B65" s="1"/>
      <c r="C65" s="1"/>
      <c r="D65" s="1"/>
      <c r="E65" s="1"/>
      <c r="F65" s="1"/>
      <c r="G65" s="1"/>
      <c r="H65" s="329"/>
      <c r="I65" s="65"/>
      <c r="J65" s="137"/>
      <c r="K65" s="137"/>
      <c r="L65" s="137"/>
    </row>
    <row r="66" spans="1:12" ht="13.5" hidden="1" thickBot="1">
      <c r="A66" s="332"/>
      <c r="B66" s="333"/>
      <c r="C66" s="333"/>
      <c r="D66" s="334" t="s">
        <v>223</v>
      </c>
      <c r="E66" s="334" t="s">
        <v>224</v>
      </c>
      <c r="F66" s="334" t="s">
        <v>225</v>
      </c>
      <c r="G66" s="335"/>
      <c r="H66" s="329"/>
      <c r="I66" s="65"/>
      <c r="J66" s="137"/>
      <c r="K66" s="137"/>
      <c r="L66" s="137"/>
    </row>
    <row r="67" spans="1:12" ht="12.75" hidden="1">
      <c r="A67" s="336" t="s">
        <v>226</v>
      </c>
      <c r="B67" s="337"/>
      <c r="C67" s="338" t="str">
        <f>ROUND(J63,3)*100&amp;A70</f>
        <v>72,7%</v>
      </c>
      <c r="D67" s="339" t="str">
        <f>ROUND(J64,3)*100&amp;A70</f>
        <v>75%</v>
      </c>
      <c r="E67" s="339" t="str">
        <f>ROUND(J61,3)*100&amp;A70</f>
        <v>87,7%</v>
      </c>
      <c r="F67" s="339" t="str">
        <f>ROUND(J62,3)*100&amp;A70</f>
        <v>52,9%</v>
      </c>
      <c r="G67" s="340"/>
      <c r="H67" s="329"/>
      <c r="I67" s="65"/>
      <c r="J67" s="137"/>
      <c r="K67" s="137"/>
      <c r="L67" s="137"/>
    </row>
    <row r="68" spans="1:12" ht="12.75" hidden="1">
      <c r="A68" s="341" t="s">
        <v>227</v>
      </c>
      <c r="B68" s="342"/>
      <c r="C68" s="338" t="str">
        <f>ROUND(K63,3)*100&amp;A70</f>
        <v>62,6%</v>
      </c>
      <c r="D68" s="339" t="str">
        <f>ROUND(K64,3)*100&amp;A70</f>
        <v>58,9%</v>
      </c>
      <c r="E68" s="339" t="str">
        <f>ROUND(K61,3)*100&amp;A70</f>
        <v>78,2%</v>
      </c>
      <c r="F68" s="339" t="str">
        <f>ROUND(K62,3)*100&amp;A70</f>
        <v>39,5%</v>
      </c>
      <c r="G68" s="340"/>
      <c r="H68" s="329"/>
      <c r="I68" s="65"/>
      <c r="J68" s="137"/>
      <c r="K68" s="137"/>
      <c r="L68" s="137"/>
    </row>
    <row r="69" spans="1:12" ht="12.75" hidden="1">
      <c r="A69" s="341" t="s">
        <v>228</v>
      </c>
      <c r="B69" s="343">
        <f>C44</f>
        <v>0.5887096774193549</v>
      </c>
      <c r="C69" s="338" t="str">
        <f>ROUND(L63,3)*100&amp;A70</f>
        <v>80,9%</v>
      </c>
      <c r="D69" s="339" t="str">
        <f>ROUND(L64,3)*100&amp;A70</f>
        <v>86,2%</v>
      </c>
      <c r="E69" s="339" t="str">
        <f>ROUND(L61,3)*100&amp;A70</f>
        <v>93,4%</v>
      </c>
      <c r="F69" s="339" t="str">
        <f>ROUND(L62,3)*100&amp;A70</f>
        <v>65,9%</v>
      </c>
      <c r="G69" s="344">
        <f>D55</f>
        <v>1.8630136986301369</v>
      </c>
      <c r="H69" s="329"/>
      <c r="I69" s="65"/>
      <c r="J69" s="137"/>
      <c r="K69" s="137"/>
      <c r="L69" s="137"/>
    </row>
    <row r="70" spans="1:12" ht="12.75" hidden="1">
      <c r="A70" s="341" t="s">
        <v>229</v>
      </c>
      <c r="B70" s="345" t="s">
        <v>272</v>
      </c>
      <c r="C70" s="345" t="s">
        <v>231</v>
      </c>
      <c r="D70" s="345" t="s">
        <v>232</v>
      </c>
      <c r="E70" s="345" t="s">
        <v>5</v>
      </c>
      <c r="F70" s="346" t="s">
        <v>6</v>
      </c>
      <c r="G70" s="347" t="s">
        <v>233</v>
      </c>
      <c r="H70" s="329"/>
      <c r="I70" s="65"/>
      <c r="J70" s="137"/>
      <c r="K70" s="137"/>
      <c r="L70" s="137"/>
    </row>
    <row r="71" spans="1:12" ht="12.75" hidden="1">
      <c r="A71" s="348" t="s">
        <v>80</v>
      </c>
      <c r="B71" s="349">
        <f>B69</f>
        <v>0.5887096774193549</v>
      </c>
      <c r="C71" s="350" t="str">
        <f>CONCATENATE(C67," ",A67,C68," ",A71," ",C69,A69)</f>
        <v>72,7% (62,6% a 80,9%)</v>
      </c>
      <c r="D71" s="350" t="str">
        <f>CONCATENATE(D67," ",A67,D68," ",A71," ",D69,A69)</f>
        <v>75% (58,9% a 86,2%)</v>
      </c>
      <c r="E71" s="350" t="str">
        <f>CONCATENATE(E67," ",A67,E68," ",A71," ",E69,A69)</f>
        <v>87,7% (78,2% a 93,4%)</v>
      </c>
      <c r="F71" s="350" t="str">
        <f>CONCATENATE(F67," ",A67,F68," ",A71," ",F69,A69)</f>
        <v>52,9% (39,5% a 65,9%)</v>
      </c>
      <c r="G71" s="351">
        <f>G69</f>
        <v>1.8630136986301369</v>
      </c>
      <c r="H71" s="329"/>
      <c r="I71" s="65"/>
      <c r="J71" s="137"/>
      <c r="K71" s="137"/>
      <c r="L71" s="137"/>
    </row>
    <row r="72" spans="1:12" ht="13.5" hidden="1" thickBot="1">
      <c r="A72" s="352" t="s">
        <v>234</v>
      </c>
      <c r="B72" s="353"/>
      <c r="C72" s="353"/>
      <c r="D72" s="353"/>
      <c r="E72" s="353"/>
      <c r="F72" s="353"/>
      <c r="G72" s="354"/>
      <c r="H72" s="329"/>
      <c r="I72" s="65"/>
      <c r="J72" s="137"/>
      <c r="K72" s="137"/>
      <c r="L72" s="137"/>
    </row>
    <row r="73" spans="1:12" ht="12.75">
      <c r="A73" s="1"/>
      <c r="B73" s="1"/>
      <c r="C73" s="1"/>
      <c r="D73" s="1"/>
      <c r="E73" s="1"/>
      <c r="F73" s="1"/>
      <c r="G73" s="1"/>
      <c r="H73" s="329"/>
      <c r="I73" s="65"/>
      <c r="J73" s="137"/>
      <c r="K73" s="137"/>
      <c r="L73" s="137"/>
    </row>
    <row r="74" spans="1:12" ht="12.75">
      <c r="A74" s="1"/>
      <c r="B74" s="355" t="s">
        <v>272</v>
      </c>
      <c r="C74" s="355" t="s">
        <v>231</v>
      </c>
      <c r="D74" s="356" t="s">
        <v>232</v>
      </c>
      <c r="E74" s="356" t="s">
        <v>5</v>
      </c>
      <c r="F74" s="356" t="s">
        <v>6</v>
      </c>
      <c r="G74" s="356" t="s">
        <v>233</v>
      </c>
      <c r="H74" s="329"/>
      <c r="I74" s="65"/>
      <c r="J74" s="137"/>
      <c r="K74" s="137"/>
      <c r="L74" s="137"/>
    </row>
    <row r="75" spans="1:12" ht="12.75">
      <c r="A75" s="1"/>
      <c r="B75" s="357" t="s">
        <v>145</v>
      </c>
      <c r="C75" s="357" t="str">
        <f>C71</f>
        <v>72,7% (62,6% a 80,9%)</v>
      </c>
      <c r="D75" s="357" t="str">
        <f>D71</f>
        <v>75% (58,9% a 86,2%)</v>
      </c>
      <c r="E75" s="357" t="str">
        <f>E71</f>
        <v>87,7% (78,2% a 93,4%)</v>
      </c>
      <c r="F75" s="357" t="str">
        <f>F71</f>
        <v>52,9% (39,5% a 65,9%)</v>
      </c>
      <c r="G75" s="391">
        <f>G71</f>
        <v>1.8630136986301369</v>
      </c>
      <c r="H75" s="329"/>
      <c r="I75" s="65"/>
      <c r="J75" s="137"/>
      <c r="K75" s="137"/>
      <c r="L75" s="137"/>
    </row>
    <row r="76" spans="1:12" ht="12.75">
      <c r="A76" s="1"/>
      <c r="B76" s="374"/>
      <c r="C76" s="374"/>
      <c r="D76" s="65"/>
      <c r="E76" s="65"/>
      <c r="F76" s="65"/>
      <c r="G76" s="378"/>
      <c r="H76" s="390"/>
      <c r="I76" s="65"/>
      <c r="J76" s="137"/>
      <c r="K76" s="137"/>
      <c r="L76" s="137"/>
    </row>
    <row r="77" spans="1:12" ht="12.75">
      <c r="A77" s="1"/>
      <c r="B77" s="374"/>
      <c r="C77" s="374"/>
      <c r="D77" s="65"/>
      <c r="E77" s="65"/>
      <c r="F77" s="65"/>
      <c r="G77" s="378"/>
      <c r="H77" s="390"/>
      <c r="I77" s="65"/>
      <c r="J77" s="137"/>
      <c r="K77" s="137"/>
      <c r="L77" s="137"/>
    </row>
    <row r="78" ht="18.75">
      <c r="A78" s="191" t="s">
        <v>28</v>
      </c>
    </row>
    <row r="80" ht="16.5" thickBot="1">
      <c r="A80" s="194" t="s">
        <v>38</v>
      </c>
    </row>
    <row r="81" spans="2:9" ht="13.5" thickBot="1">
      <c r="B81" s="2"/>
      <c r="C81" s="3"/>
      <c r="D81" s="3"/>
      <c r="E81" s="3"/>
      <c r="F81" s="4"/>
      <c r="G81" s="195"/>
      <c r="H81" s="196"/>
      <c r="I81" s="197"/>
    </row>
    <row r="82" spans="2:9" ht="13.5" thickBot="1">
      <c r="B82" s="198" t="s">
        <v>9</v>
      </c>
      <c r="C82" s="199">
        <v>124</v>
      </c>
      <c r="D82" s="595" t="s">
        <v>19</v>
      </c>
      <c r="E82" s="596"/>
      <c r="F82" s="8"/>
      <c r="G82" s="9"/>
      <c r="H82" s="10"/>
      <c r="I82" s="107"/>
    </row>
    <row r="83" spans="2:9" ht="12.75">
      <c r="B83" s="198" t="s">
        <v>155</v>
      </c>
      <c r="C83" s="201">
        <f>D90/F90</f>
        <v>0.33064516129032256</v>
      </c>
      <c r="D83" s="202" t="s">
        <v>20</v>
      </c>
      <c r="E83" s="202" t="s">
        <v>21</v>
      </c>
      <c r="F83" s="108" t="s">
        <v>0</v>
      </c>
      <c r="I83" s="107"/>
    </row>
    <row r="84" spans="2:9" ht="12.75">
      <c r="B84" s="198" t="s">
        <v>11</v>
      </c>
      <c r="C84" s="201">
        <f>D86/D90</f>
        <v>1</v>
      </c>
      <c r="D84" s="45"/>
      <c r="E84" s="45"/>
      <c r="F84" s="109"/>
      <c r="I84" s="107"/>
    </row>
    <row r="85" spans="2:9" ht="13.5" thickBot="1">
      <c r="B85" s="198" t="s">
        <v>12</v>
      </c>
      <c r="C85" s="201">
        <f>E88/E90</f>
        <v>0.42168674698795183</v>
      </c>
      <c r="D85" s="215"/>
      <c r="E85" s="215"/>
      <c r="F85" s="49"/>
      <c r="I85" s="107"/>
    </row>
    <row r="86" spans="2:9" ht="12.75" customHeight="1">
      <c r="B86" s="503" t="s">
        <v>26</v>
      </c>
      <c r="C86" s="527" t="s">
        <v>7</v>
      </c>
      <c r="D86" s="110">
        <v>41</v>
      </c>
      <c r="E86" s="111">
        <f>F86-D86</f>
        <v>48</v>
      </c>
      <c r="F86" s="112">
        <f>F90-F88</f>
        <v>89</v>
      </c>
      <c r="G86" s="113" t="s">
        <v>168</v>
      </c>
      <c r="H86" s="114"/>
      <c r="I86" s="115"/>
    </row>
    <row r="87" spans="2:9" ht="61.5" customHeight="1" thickBot="1">
      <c r="B87" s="597"/>
      <c r="C87" s="528"/>
      <c r="D87" s="116" t="s">
        <v>207</v>
      </c>
      <c r="E87" s="117" t="s">
        <v>208</v>
      </c>
      <c r="F87" s="49" t="s">
        <v>1</v>
      </c>
      <c r="G87" s="118">
        <f>D86/F86</f>
        <v>0.4606741573033708</v>
      </c>
      <c r="H87" s="119"/>
      <c r="I87" s="120"/>
    </row>
    <row r="88" spans="2:9" ht="12.75">
      <c r="B88" s="597"/>
      <c r="C88" s="527" t="s">
        <v>8</v>
      </c>
      <c r="D88" s="111">
        <f>D90-D86</f>
        <v>0</v>
      </c>
      <c r="E88" s="121">
        <v>35</v>
      </c>
      <c r="F88" s="112">
        <f>D88+E88</f>
        <v>35</v>
      </c>
      <c r="G88" s="113" t="s">
        <v>167</v>
      </c>
      <c r="H88" s="114"/>
      <c r="I88" s="115"/>
    </row>
    <row r="89" spans="2:9" ht="50.25" customHeight="1" thickBot="1">
      <c r="B89" s="504"/>
      <c r="C89" s="528"/>
      <c r="D89" s="117" t="s">
        <v>209</v>
      </c>
      <c r="E89" s="116" t="s">
        <v>210</v>
      </c>
      <c r="F89" s="49" t="s">
        <v>2</v>
      </c>
      <c r="G89" s="122">
        <f>E88/F88</f>
        <v>1</v>
      </c>
      <c r="H89" s="119"/>
      <c r="I89" s="120"/>
    </row>
    <row r="90" spans="2:9" ht="12.75">
      <c r="B90" s="123"/>
      <c r="C90" s="515" t="s">
        <v>0</v>
      </c>
      <c r="D90" s="18">
        <v>41</v>
      </c>
      <c r="E90" s="125">
        <f>F90-D90</f>
        <v>83</v>
      </c>
      <c r="F90" s="517">
        <v>124</v>
      </c>
      <c r="I90" s="107"/>
    </row>
    <row r="91" spans="2:9" ht="26.25" thickBot="1">
      <c r="B91" s="123"/>
      <c r="C91" s="516"/>
      <c r="D91" s="14" t="s">
        <v>4</v>
      </c>
      <c r="E91" s="14" t="s">
        <v>3</v>
      </c>
      <c r="F91" s="518"/>
      <c r="I91" s="107"/>
    </row>
    <row r="92" spans="2:9" ht="12.75">
      <c r="B92" s="123"/>
      <c r="D92" s="126" t="s">
        <v>5</v>
      </c>
      <c r="E92" s="58" t="s">
        <v>6</v>
      </c>
      <c r="I92" s="107"/>
    </row>
    <row r="93" spans="2:9" ht="13.5" thickBot="1">
      <c r="B93" s="123"/>
      <c r="D93" s="209">
        <f>D86/D90</f>
        <v>1</v>
      </c>
      <c r="E93" s="210">
        <f>C85</f>
        <v>0.42168674698795183</v>
      </c>
      <c r="F93" s="127"/>
      <c r="I93" s="107"/>
    </row>
    <row r="94" spans="2:9" ht="13.5" thickBot="1">
      <c r="B94" s="211"/>
      <c r="C94" s="32" t="s">
        <v>105</v>
      </c>
      <c r="D94" s="212">
        <f>D93/(1-E93)</f>
        <v>1.7291666666666667</v>
      </c>
      <c r="E94" s="128"/>
      <c r="F94" s="88"/>
      <c r="G94" s="88"/>
      <c r="H94" s="88"/>
      <c r="I94" s="129"/>
    </row>
    <row r="95" spans="3:5" ht="12.75" hidden="1">
      <c r="C95" s="9"/>
      <c r="D95" s="10"/>
      <c r="E95" s="10"/>
    </row>
    <row r="96" spans="2:11" ht="12.75" hidden="1">
      <c r="B96" s="76" t="s">
        <v>211</v>
      </c>
      <c r="C96" s="132"/>
      <c r="D96" s="133"/>
      <c r="E96" s="133"/>
      <c r="F96" s="134"/>
      <c r="G96" s="134"/>
      <c r="H96" s="135"/>
      <c r="I96" s="136"/>
      <c r="J96" s="137"/>
      <c r="K96" s="137"/>
    </row>
    <row r="97" spans="2:12" ht="12.75" hidden="1">
      <c r="B97" s="138" t="s">
        <v>31</v>
      </c>
      <c r="C97" s="132"/>
      <c r="D97" s="136"/>
      <c r="E97" s="136"/>
      <c r="F97" s="132"/>
      <c r="G97" s="132"/>
      <c r="H97" s="139"/>
      <c r="I97" s="136"/>
      <c r="J97" s="140"/>
      <c r="K97" s="140"/>
      <c r="L97" s="140"/>
    </row>
    <row r="98" spans="2:12" ht="12.75" hidden="1">
      <c r="B98" s="141" t="s">
        <v>212</v>
      </c>
      <c r="C98" s="142" t="s">
        <v>32</v>
      </c>
      <c r="E98" s="142" t="s">
        <v>213</v>
      </c>
      <c r="F98" s="142"/>
      <c r="G98" s="142" t="s">
        <v>33</v>
      </c>
      <c r="H98" s="142"/>
      <c r="I98" s="142" t="s">
        <v>34</v>
      </c>
      <c r="J98" s="140"/>
      <c r="K98" s="140"/>
      <c r="L98" s="140"/>
    </row>
    <row r="99" spans="2:12" ht="38.25" hidden="1">
      <c r="B99" s="143" t="s">
        <v>16</v>
      </c>
      <c r="C99" s="143" t="s">
        <v>13</v>
      </c>
      <c r="D99" s="144" t="s">
        <v>35</v>
      </c>
      <c r="E99" s="144" t="s">
        <v>32</v>
      </c>
      <c r="F99" s="144" t="s">
        <v>214</v>
      </c>
      <c r="G99" s="144" t="s">
        <v>33</v>
      </c>
      <c r="H99" s="144" t="s">
        <v>34</v>
      </c>
      <c r="I99" s="145" t="s">
        <v>46</v>
      </c>
      <c r="J99" s="144" t="s">
        <v>17</v>
      </c>
      <c r="K99" s="144" t="s">
        <v>14</v>
      </c>
      <c r="L99" s="144" t="s">
        <v>15</v>
      </c>
    </row>
    <row r="100" spans="1:12" ht="12.75" hidden="1">
      <c r="A100" s="146" t="s">
        <v>5</v>
      </c>
      <c r="B100" s="147">
        <f>D86</f>
        <v>41</v>
      </c>
      <c r="C100" s="147">
        <f>D90</f>
        <v>41</v>
      </c>
      <c r="D100" s="148">
        <f>B100/C100</f>
        <v>1</v>
      </c>
      <c r="E100" s="148">
        <f>2*B100+I100^2</f>
        <v>85.84145882069413</v>
      </c>
      <c r="F100" s="148">
        <f>I100*SQRT((I100^2)+(4*B100*(1-D100)))</f>
        <v>3.8414588206941245</v>
      </c>
      <c r="G100" s="149">
        <f>2*(C100+I100^2)</f>
        <v>89.68291764138824</v>
      </c>
      <c r="H100" s="150" t="s">
        <v>37</v>
      </c>
      <c r="I100" s="151">
        <f>-NORMSINV(2.5/100)</f>
        <v>1.9599639845400538</v>
      </c>
      <c r="J100" s="214">
        <f>D100</f>
        <v>1</v>
      </c>
      <c r="K100" s="214">
        <f>(E100-F100)/G100</f>
        <v>0.9143324298155682</v>
      </c>
      <c r="L100" s="214">
        <f>(E100+F100)/G100</f>
        <v>1.0000000000000002</v>
      </c>
    </row>
    <row r="101" spans="1:12" ht="12.75" hidden="1">
      <c r="A101" s="146" t="s">
        <v>6</v>
      </c>
      <c r="B101" s="152">
        <f>E88</f>
        <v>35</v>
      </c>
      <c r="C101" s="153">
        <f>E90</f>
        <v>83</v>
      </c>
      <c r="D101" s="148">
        <f>B101/C101</f>
        <v>0.42168674698795183</v>
      </c>
      <c r="E101" s="148">
        <f>2*B101+I101^2</f>
        <v>73.84145882069413</v>
      </c>
      <c r="F101" s="148">
        <f>I101*SQRT((I101^2)+(4*B101*(1-D101)))</f>
        <v>18.049269304825916</v>
      </c>
      <c r="G101" s="149">
        <f>2*(C101+I101^2)</f>
        <v>173.68291764138826</v>
      </c>
      <c r="H101" s="150" t="s">
        <v>37</v>
      </c>
      <c r="I101" s="151">
        <f>-NORMSINV(2.5/100)</f>
        <v>1.9599639845400538</v>
      </c>
      <c r="J101" s="214">
        <f>D101</f>
        <v>0.42168674698795183</v>
      </c>
      <c r="K101" s="214">
        <f>(E101-F101)/G101</f>
        <v>0.3212301490182536</v>
      </c>
      <c r="L101" s="214">
        <f>(E101+F101)/G101</f>
        <v>0.5290717669497664</v>
      </c>
    </row>
    <row r="102" spans="1:12" ht="12.75" hidden="1">
      <c r="A102" s="154" t="s">
        <v>24</v>
      </c>
      <c r="B102" s="147">
        <f>D86</f>
        <v>41</v>
      </c>
      <c r="C102" s="152">
        <f>F86</f>
        <v>89</v>
      </c>
      <c r="D102" s="148">
        <f>B102/C102</f>
        <v>0.4606741573033708</v>
      </c>
      <c r="E102" s="148">
        <f>2*B102+I102^2</f>
        <v>85.84145882069413</v>
      </c>
      <c r="F102" s="148">
        <f>I102*SQRT((I102^2)+(4*B102*(1-D102)))</f>
        <v>18.829011669191537</v>
      </c>
      <c r="G102" s="149">
        <f>2*(C102+I102^2)</f>
        <v>185.68291764138826</v>
      </c>
      <c r="H102" s="150" t="s">
        <v>37</v>
      </c>
      <c r="I102" s="151">
        <f>-NORMSINV(2.5/100)</f>
        <v>1.9599639845400538</v>
      </c>
      <c r="J102" s="214">
        <f>D102</f>
        <v>0.4606741573033708</v>
      </c>
      <c r="K102" s="214">
        <f>(E102-F102)/G102</f>
        <v>0.360897211239025</v>
      </c>
      <c r="L102" s="214">
        <f>(E102+F102)/G102</f>
        <v>0.5637054383862982</v>
      </c>
    </row>
    <row r="103" spans="1:12" ht="12.75" hidden="1">
      <c r="A103" s="154" t="s">
        <v>25</v>
      </c>
      <c r="B103" s="152">
        <f>E88</f>
        <v>35</v>
      </c>
      <c r="C103" s="152">
        <f>F88</f>
        <v>35</v>
      </c>
      <c r="D103" s="148">
        <f>B103/C103</f>
        <v>1</v>
      </c>
      <c r="E103" s="148">
        <f>2*B103+I103^2</f>
        <v>73.84145882069413</v>
      </c>
      <c r="F103" s="148">
        <f>I103*SQRT((I103^2)+(4*B103*(1-D103)))</f>
        <v>3.8414588206941245</v>
      </c>
      <c r="G103" s="149">
        <f>2*(C103+I103^2)</f>
        <v>77.68291764138824</v>
      </c>
      <c r="H103" s="150" t="s">
        <v>37</v>
      </c>
      <c r="I103" s="151">
        <f>-NORMSINV(2.5/100)</f>
        <v>1.9599639845400538</v>
      </c>
      <c r="J103" s="214">
        <f>D103</f>
        <v>1</v>
      </c>
      <c r="K103" s="214">
        <f>(E103-F103)/G103</f>
        <v>0.901099007675596</v>
      </c>
      <c r="L103" s="214">
        <f>(E103+F103)/G103</f>
        <v>1.0000000000000002</v>
      </c>
    </row>
    <row r="104" spans="1:12" ht="13.5" hidden="1" thickBot="1">
      <c r="A104" s="1"/>
      <c r="B104" s="1"/>
      <c r="C104" s="1"/>
      <c r="D104" s="1"/>
      <c r="E104" s="1"/>
      <c r="F104" s="1"/>
      <c r="G104" s="1"/>
      <c r="H104" s="390"/>
      <c r="I104" s="65"/>
      <c r="J104" s="137"/>
      <c r="K104" s="137"/>
      <c r="L104" s="137"/>
    </row>
    <row r="105" spans="1:12" ht="13.5" hidden="1" thickBot="1">
      <c r="A105" s="332"/>
      <c r="B105" s="333"/>
      <c r="C105" s="333"/>
      <c r="D105" s="334" t="s">
        <v>223</v>
      </c>
      <c r="E105" s="334" t="s">
        <v>224</v>
      </c>
      <c r="F105" s="334" t="s">
        <v>225</v>
      </c>
      <c r="G105" s="335"/>
      <c r="H105" s="390"/>
      <c r="I105" s="65"/>
      <c r="J105" s="137"/>
      <c r="K105" s="137"/>
      <c r="L105" s="137"/>
    </row>
    <row r="106" spans="1:12" ht="12.75" hidden="1">
      <c r="A106" s="336" t="s">
        <v>226</v>
      </c>
      <c r="B106" s="337"/>
      <c r="C106" s="338" t="str">
        <f>ROUND(J102,3)*100&amp;A109</f>
        <v>46,1%</v>
      </c>
      <c r="D106" s="339" t="str">
        <f>ROUND(J103,3)*100&amp;A109</f>
        <v>100%</v>
      </c>
      <c r="E106" s="339" t="str">
        <f>ROUND(J100,3)*100&amp;A109</f>
        <v>100%</v>
      </c>
      <c r="F106" s="339" t="str">
        <f>ROUND(J101,3)*100&amp;A109</f>
        <v>42,2%</v>
      </c>
      <c r="G106" s="340"/>
      <c r="H106" s="390"/>
      <c r="I106" s="65"/>
      <c r="J106" s="137"/>
      <c r="K106" s="137"/>
      <c r="L106" s="137"/>
    </row>
    <row r="107" spans="1:12" ht="12.75" hidden="1">
      <c r="A107" s="341" t="s">
        <v>227</v>
      </c>
      <c r="B107" s="342"/>
      <c r="C107" s="338" t="str">
        <f>ROUND(K102,3)*100&amp;A109</f>
        <v>36,1%</v>
      </c>
      <c r="D107" s="339" t="str">
        <f>ROUND(K103,3)*100&amp;A109</f>
        <v>90,1%</v>
      </c>
      <c r="E107" s="339" t="str">
        <f>ROUND(K100,3)*100&amp;A109</f>
        <v>91,4%</v>
      </c>
      <c r="F107" s="339" t="str">
        <f>ROUND(K101,3)*100&amp;A109</f>
        <v>32,1%</v>
      </c>
      <c r="G107" s="340"/>
      <c r="H107" s="390"/>
      <c r="I107" s="65"/>
      <c r="J107" s="137"/>
      <c r="K107" s="137"/>
      <c r="L107" s="137"/>
    </row>
    <row r="108" spans="1:12" ht="12.75" hidden="1">
      <c r="A108" s="341" t="s">
        <v>228</v>
      </c>
      <c r="B108" s="343">
        <f>C83</f>
        <v>0.33064516129032256</v>
      </c>
      <c r="C108" s="338" t="str">
        <f>ROUND(L102,3)*100&amp;A109</f>
        <v>56,4%</v>
      </c>
      <c r="D108" s="339" t="str">
        <f>ROUND(L103,3)*100&amp;A109</f>
        <v>100%</v>
      </c>
      <c r="E108" s="339" t="str">
        <f>ROUND(L100,3)*100&amp;A109</f>
        <v>100%</v>
      </c>
      <c r="F108" s="339" t="str">
        <f>ROUND(L101,3)*100&amp;A109</f>
        <v>52,9%</v>
      </c>
      <c r="G108" s="344">
        <f>D94</f>
        <v>1.7291666666666667</v>
      </c>
      <c r="H108" s="390"/>
      <c r="I108" s="65"/>
      <c r="J108" s="137"/>
      <c r="K108" s="137"/>
      <c r="L108" s="137"/>
    </row>
    <row r="109" spans="1:12" ht="12.75" hidden="1">
      <c r="A109" s="341" t="s">
        <v>229</v>
      </c>
      <c r="B109" s="345" t="s">
        <v>272</v>
      </c>
      <c r="C109" s="345" t="s">
        <v>231</v>
      </c>
      <c r="D109" s="345" t="s">
        <v>232</v>
      </c>
      <c r="E109" s="345" t="s">
        <v>5</v>
      </c>
      <c r="F109" s="346" t="s">
        <v>6</v>
      </c>
      <c r="G109" s="347" t="s">
        <v>233</v>
      </c>
      <c r="H109" s="390"/>
      <c r="I109" s="65"/>
      <c r="J109" s="137"/>
      <c r="K109" s="137"/>
      <c r="L109" s="137"/>
    </row>
    <row r="110" spans="1:12" ht="12.75" hidden="1">
      <c r="A110" s="348" t="s">
        <v>80</v>
      </c>
      <c r="B110" s="349">
        <f>B108</f>
        <v>0.33064516129032256</v>
      </c>
      <c r="C110" s="350" t="str">
        <f>CONCATENATE(C106," ",A106,C107," ",A110," ",C108,A108)</f>
        <v>46,1% (36,1% a 56,4%)</v>
      </c>
      <c r="D110" s="350" t="str">
        <f>CONCATENATE(D106," ",A106,D107," ",A110," ",D108,A108)</f>
        <v>100% (90,1% a 100%)</v>
      </c>
      <c r="E110" s="350" t="str">
        <f>CONCATENATE(E106," ",A106,E107," ",A110," ",E108,A108)</f>
        <v>100% (91,4% a 100%)</v>
      </c>
      <c r="F110" s="350" t="str">
        <f>CONCATENATE(F106," ",A106,F107," ",A110," ",F108,A108)</f>
        <v>42,2% (32,1% a 52,9%)</v>
      </c>
      <c r="G110" s="351">
        <f>G108</f>
        <v>1.7291666666666667</v>
      </c>
      <c r="H110" s="390"/>
      <c r="I110" s="65"/>
      <c r="J110" s="137"/>
      <c r="K110" s="137"/>
      <c r="L110" s="137"/>
    </row>
    <row r="111" spans="1:12" ht="13.5" hidden="1" thickBot="1">
      <c r="A111" s="352" t="s">
        <v>234</v>
      </c>
      <c r="B111" s="353"/>
      <c r="C111" s="353"/>
      <c r="D111" s="353"/>
      <c r="E111" s="353"/>
      <c r="F111" s="353"/>
      <c r="G111" s="354"/>
      <c r="H111" s="390"/>
      <c r="I111" s="65"/>
      <c r="J111" s="137"/>
      <c r="K111" s="137"/>
      <c r="L111" s="137"/>
    </row>
    <row r="112" spans="1:12" ht="12.75">
      <c r="A112" s="1"/>
      <c r="B112" s="1"/>
      <c r="C112" s="1"/>
      <c r="D112" s="1"/>
      <c r="E112" s="1"/>
      <c r="F112" s="1"/>
      <c r="G112" s="1"/>
      <c r="H112" s="390"/>
      <c r="I112" s="65"/>
      <c r="J112" s="137"/>
      <c r="K112" s="137"/>
      <c r="L112" s="137"/>
    </row>
    <row r="113" spans="1:12" ht="12.75">
      <c r="A113" s="1"/>
      <c r="B113" s="355" t="s">
        <v>272</v>
      </c>
      <c r="C113" s="355" t="s">
        <v>231</v>
      </c>
      <c r="D113" s="356" t="s">
        <v>232</v>
      </c>
      <c r="E113" s="356" t="s">
        <v>5</v>
      </c>
      <c r="F113" s="356" t="s">
        <v>6</v>
      </c>
      <c r="G113" s="356" t="s">
        <v>233</v>
      </c>
      <c r="H113" s="390"/>
      <c r="I113" s="65"/>
      <c r="J113" s="137"/>
      <c r="K113" s="137"/>
      <c r="L113" s="137"/>
    </row>
    <row r="114" spans="1:12" ht="18.75" customHeight="1">
      <c r="A114" s="1"/>
      <c r="B114" s="357" t="s">
        <v>145</v>
      </c>
      <c r="C114" s="357" t="str">
        <f>C110</f>
        <v>46,1% (36,1% a 56,4%)</v>
      </c>
      <c r="D114" s="357" t="str">
        <f>D110</f>
        <v>100% (90,1% a 100%)</v>
      </c>
      <c r="E114" s="357" t="str">
        <f>E110</f>
        <v>100% (91,4% a 100%)</v>
      </c>
      <c r="F114" s="357" t="str">
        <f>F110</f>
        <v>42,2% (32,1% a 52,9%)</v>
      </c>
      <c r="G114" s="391">
        <f>G110</f>
        <v>1.7291666666666667</v>
      </c>
      <c r="H114" s="390"/>
      <c r="I114" s="65"/>
      <c r="J114" s="137"/>
      <c r="K114" s="137"/>
      <c r="L114" s="137"/>
    </row>
    <row r="117" ht="16.5" thickBot="1">
      <c r="A117" s="194" t="s">
        <v>29</v>
      </c>
    </row>
    <row r="118" spans="2:9" ht="13.5" thickBot="1">
      <c r="B118" s="2"/>
      <c r="C118" s="3"/>
      <c r="D118" s="3"/>
      <c r="E118" s="3"/>
      <c r="F118" s="4"/>
      <c r="G118" s="195"/>
      <c r="H118" s="196"/>
      <c r="I118" s="197"/>
    </row>
    <row r="119" spans="2:9" ht="13.5" thickBot="1">
      <c r="B119" s="198" t="s">
        <v>9</v>
      </c>
      <c r="C119" s="199">
        <v>124</v>
      </c>
      <c r="D119" s="595" t="s">
        <v>19</v>
      </c>
      <c r="E119" s="596"/>
      <c r="F119" s="8"/>
      <c r="G119" s="9"/>
      <c r="H119" s="10"/>
      <c r="I119" s="107"/>
    </row>
    <row r="120" spans="2:9" ht="12.75">
      <c r="B120" s="198" t="s">
        <v>155</v>
      </c>
      <c r="C120" s="201">
        <f>D127/F127</f>
        <v>0.33064516129032256</v>
      </c>
      <c r="D120" s="202" t="s">
        <v>20</v>
      </c>
      <c r="E120" s="202" t="s">
        <v>21</v>
      </c>
      <c r="F120" s="108" t="s">
        <v>0</v>
      </c>
      <c r="I120" s="107"/>
    </row>
    <row r="121" spans="2:9" ht="12.75">
      <c r="B121" s="198" t="s">
        <v>11</v>
      </c>
      <c r="C121" s="201">
        <f>D123/D127</f>
        <v>1</v>
      </c>
      <c r="D121" s="45"/>
      <c r="E121" s="45"/>
      <c r="F121" s="109"/>
      <c r="I121" s="107"/>
    </row>
    <row r="122" spans="2:9" ht="13.5" thickBot="1">
      <c r="B122" s="198" t="s">
        <v>12</v>
      </c>
      <c r="C122" s="201">
        <f>E125/E127</f>
        <v>0.3855421686746988</v>
      </c>
      <c r="D122" s="215"/>
      <c r="E122" s="215"/>
      <c r="F122" s="49"/>
      <c r="I122" s="107"/>
    </row>
    <row r="123" spans="2:9" ht="12.75" customHeight="1">
      <c r="B123" s="503" t="s">
        <v>30</v>
      </c>
      <c r="C123" s="527" t="s">
        <v>7</v>
      </c>
      <c r="D123" s="110">
        <v>41</v>
      </c>
      <c r="E123" s="111">
        <f>F123-D123</f>
        <v>51</v>
      </c>
      <c r="F123" s="112">
        <f>F127-F125</f>
        <v>92</v>
      </c>
      <c r="G123" s="113" t="s">
        <v>168</v>
      </c>
      <c r="H123" s="114"/>
      <c r="I123" s="115"/>
    </row>
    <row r="124" spans="2:9" ht="63" customHeight="1" thickBot="1">
      <c r="B124" s="597"/>
      <c r="C124" s="528"/>
      <c r="D124" s="116" t="s">
        <v>207</v>
      </c>
      <c r="E124" s="117" t="s">
        <v>208</v>
      </c>
      <c r="F124" s="49" t="s">
        <v>1</v>
      </c>
      <c r="G124" s="118">
        <f>D123/F123</f>
        <v>0.44565217391304346</v>
      </c>
      <c r="H124" s="119"/>
      <c r="I124" s="120"/>
    </row>
    <row r="125" spans="2:9" ht="12.75">
      <c r="B125" s="597"/>
      <c r="C125" s="527" t="s">
        <v>8</v>
      </c>
      <c r="D125" s="111">
        <f>D127-D123</f>
        <v>0</v>
      </c>
      <c r="E125" s="121">
        <v>32</v>
      </c>
      <c r="F125" s="112">
        <f>D125+E125</f>
        <v>32</v>
      </c>
      <c r="G125" s="113" t="s">
        <v>167</v>
      </c>
      <c r="H125" s="114"/>
      <c r="I125" s="115"/>
    </row>
    <row r="126" spans="2:9" ht="51" customHeight="1" thickBot="1">
      <c r="B126" s="504"/>
      <c r="C126" s="528"/>
      <c r="D126" s="117" t="s">
        <v>209</v>
      </c>
      <c r="E126" s="116" t="s">
        <v>210</v>
      </c>
      <c r="F126" s="49" t="s">
        <v>2</v>
      </c>
      <c r="G126" s="122">
        <f>E125/F125</f>
        <v>1</v>
      </c>
      <c r="H126" s="119"/>
      <c r="I126" s="120"/>
    </row>
    <row r="127" spans="2:9" ht="12.75">
      <c r="B127" s="123"/>
      <c r="C127" s="515" t="s">
        <v>0</v>
      </c>
      <c r="D127" s="18">
        <v>41</v>
      </c>
      <c r="E127" s="125">
        <f>F127-D127</f>
        <v>83</v>
      </c>
      <c r="F127" s="517">
        <v>124</v>
      </c>
      <c r="I127" s="107"/>
    </row>
    <row r="128" spans="2:9" ht="26.25" thickBot="1">
      <c r="B128" s="123"/>
      <c r="C128" s="516"/>
      <c r="D128" s="14" t="s">
        <v>4</v>
      </c>
      <c r="E128" s="14" t="s">
        <v>3</v>
      </c>
      <c r="F128" s="518"/>
      <c r="I128" s="107"/>
    </row>
    <row r="129" spans="2:9" ht="12.75">
      <c r="B129" s="123"/>
      <c r="D129" s="126" t="s">
        <v>5</v>
      </c>
      <c r="E129" s="58" t="s">
        <v>6</v>
      </c>
      <c r="I129" s="107"/>
    </row>
    <row r="130" spans="2:9" ht="13.5" thickBot="1">
      <c r="B130" s="123"/>
      <c r="D130" s="209">
        <f>D123/D127</f>
        <v>1</v>
      </c>
      <c r="E130" s="210">
        <f>C122</f>
        <v>0.3855421686746988</v>
      </c>
      <c r="F130" s="127"/>
      <c r="I130" s="107"/>
    </row>
    <row r="131" spans="2:9" ht="13.5" thickBot="1">
      <c r="B131" s="211"/>
      <c r="C131" s="32" t="s">
        <v>105</v>
      </c>
      <c r="D131" s="212">
        <f>D130/(1-E130)</f>
        <v>1.6274509803921569</v>
      </c>
      <c r="E131" s="128"/>
      <c r="F131" s="88"/>
      <c r="G131" s="88"/>
      <c r="H131" s="88"/>
      <c r="I131" s="129"/>
    </row>
    <row r="132" spans="4:6" ht="12.75" hidden="1">
      <c r="D132" s="130"/>
      <c r="E132" s="131"/>
      <c r="F132" s="127"/>
    </row>
    <row r="133" spans="2:11" ht="12.75" hidden="1">
      <c r="B133" s="76" t="s">
        <v>211</v>
      </c>
      <c r="C133" s="132"/>
      <c r="D133" s="133"/>
      <c r="E133" s="133"/>
      <c r="F133" s="134"/>
      <c r="G133" s="134"/>
      <c r="H133" s="135"/>
      <c r="I133" s="136"/>
      <c r="J133" s="137"/>
      <c r="K133" s="137"/>
    </row>
    <row r="134" spans="2:12" ht="12.75" hidden="1">
      <c r="B134" s="138" t="s">
        <v>31</v>
      </c>
      <c r="C134" s="132"/>
      <c r="D134" s="136"/>
      <c r="E134" s="136"/>
      <c r="F134" s="132"/>
      <c r="G134" s="132"/>
      <c r="H134" s="139"/>
      <c r="I134" s="136"/>
      <c r="J134" s="140"/>
      <c r="K134" s="140"/>
      <c r="L134" s="140"/>
    </row>
    <row r="135" spans="2:12" ht="12.75" hidden="1">
      <c r="B135" s="141" t="s">
        <v>212</v>
      </c>
      <c r="C135" s="142" t="s">
        <v>32</v>
      </c>
      <c r="E135" s="142" t="s">
        <v>213</v>
      </c>
      <c r="F135" s="142"/>
      <c r="G135" s="142" t="s">
        <v>33</v>
      </c>
      <c r="H135" s="142"/>
      <c r="I135" s="142" t="s">
        <v>34</v>
      </c>
      <c r="J135" s="140"/>
      <c r="K135" s="140"/>
      <c r="L135" s="140"/>
    </row>
    <row r="136" spans="2:12" ht="38.25" hidden="1">
      <c r="B136" s="143" t="s">
        <v>16</v>
      </c>
      <c r="C136" s="143" t="s">
        <v>13</v>
      </c>
      <c r="D136" s="144" t="s">
        <v>35</v>
      </c>
      <c r="E136" s="144" t="s">
        <v>32</v>
      </c>
      <c r="F136" s="144" t="s">
        <v>214</v>
      </c>
      <c r="G136" s="144" t="s">
        <v>33</v>
      </c>
      <c r="H136" s="144" t="s">
        <v>34</v>
      </c>
      <c r="I136" s="145" t="s">
        <v>46</v>
      </c>
      <c r="J136" s="144" t="s">
        <v>17</v>
      </c>
      <c r="K136" s="144" t="s">
        <v>14</v>
      </c>
      <c r="L136" s="144" t="s">
        <v>15</v>
      </c>
    </row>
    <row r="137" spans="1:12" ht="12.75" hidden="1">
      <c r="A137" s="146" t="s">
        <v>5</v>
      </c>
      <c r="B137" s="147">
        <f>D123</f>
        <v>41</v>
      </c>
      <c r="C137" s="147">
        <f>D127</f>
        <v>41</v>
      </c>
      <c r="D137" s="148">
        <f>B137/C137</f>
        <v>1</v>
      </c>
      <c r="E137" s="148">
        <f>2*B137+I137^2</f>
        <v>85.84145882069413</v>
      </c>
      <c r="F137" s="148">
        <f>I137*SQRT((I137^2)+(4*B137*(1-D137)))</f>
        <v>3.8414588206941245</v>
      </c>
      <c r="G137" s="149">
        <f>2*(C137+I137^2)</f>
        <v>89.68291764138824</v>
      </c>
      <c r="H137" s="150" t="s">
        <v>37</v>
      </c>
      <c r="I137" s="151">
        <f>-NORMSINV(2.5/100)</f>
        <v>1.9599639845400538</v>
      </c>
      <c r="J137" s="214">
        <f>D137</f>
        <v>1</v>
      </c>
      <c r="K137" s="214">
        <f>(E137-F137)/G137</f>
        <v>0.9143324298155682</v>
      </c>
      <c r="L137" s="214">
        <f>(E137+F137)/G137</f>
        <v>1.0000000000000002</v>
      </c>
    </row>
    <row r="138" spans="1:12" ht="12.75" hidden="1">
      <c r="A138" s="146" t="s">
        <v>6</v>
      </c>
      <c r="B138" s="152">
        <f>E125</f>
        <v>32</v>
      </c>
      <c r="C138" s="153">
        <f>E127</f>
        <v>83</v>
      </c>
      <c r="D138" s="148">
        <f>B138/C138</f>
        <v>0.3855421686746988</v>
      </c>
      <c r="E138" s="148">
        <f>2*B138+I138^2</f>
        <v>67.84145882069413</v>
      </c>
      <c r="F138" s="148">
        <f>I138*SQRT((I138^2)+(4*B138*(1-D138)))</f>
        <v>17.801400401387</v>
      </c>
      <c r="G138" s="149">
        <f>2*(C138+I138^2)</f>
        <v>173.68291764138826</v>
      </c>
      <c r="H138" s="150" t="s">
        <v>37</v>
      </c>
      <c r="I138" s="151">
        <f>-NORMSINV(2.5/100)</f>
        <v>1.9599639845400538</v>
      </c>
      <c r="J138" s="214">
        <f>D138</f>
        <v>0.3855421686746988</v>
      </c>
      <c r="K138" s="214">
        <f>(E138-F138)/G138</f>
        <v>0.2881115719314856</v>
      </c>
      <c r="L138" s="214">
        <f>(E138+F138)/G138</f>
        <v>0.493098920637159</v>
      </c>
    </row>
    <row r="139" spans="1:12" ht="12.75" hidden="1">
      <c r="A139" s="154" t="s">
        <v>24</v>
      </c>
      <c r="B139" s="147">
        <f>D123</f>
        <v>41</v>
      </c>
      <c r="C139" s="152">
        <f>F123</f>
        <v>92</v>
      </c>
      <c r="D139" s="148">
        <f>B139/C139</f>
        <v>0.44565217391304346</v>
      </c>
      <c r="E139" s="148">
        <f>2*B139+I139^2</f>
        <v>85.84145882069413</v>
      </c>
      <c r="F139" s="148">
        <f>I139*SQRT((I139^2)+(4*B139*(1-D139)))</f>
        <v>19.078666584874384</v>
      </c>
      <c r="G139" s="149">
        <f>2*(C139+I139^2)</f>
        <v>191.68291764138826</v>
      </c>
      <c r="H139" s="150" t="s">
        <v>37</v>
      </c>
      <c r="I139" s="151">
        <f>-NORMSINV(2.5/100)</f>
        <v>1.9599639845400538</v>
      </c>
      <c r="J139" s="214">
        <f>D139</f>
        <v>0.44565217391304346</v>
      </c>
      <c r="K139" s="214">
        <f>(E139-F139)/G139</f>
        <v>0.3482980802740259</v>
      </c>
      <c r="L139" s="214">
        <f>(E139+F139)/G139</f>
        <v>0.5473629403004981</v>
      </c>
    </row>
    <row r="140" spans="1:12" ht="12.75" hidden="1">
      <c r="A140" s="154" t="s">
        <v>25</v>
      </c>
      <c r="B140" s="152">
        <f>E125</f>
        <v>32</v>
      </c>
      <c r="C140" s="152">
        <f>F125</f>
        <v>32</v>
      </c>
      <c r="D140" s="148">
        <f>B140/C140</f>
        <v>1</v>
      </c>
      <c r="E140" s="148">
        <f>2*B140+I140^2</f>
        <v>67.84145882069413</v>
      </c>
      <c r="F140" s="148">
        <f>I140*SQRT((I140^2)+(4*B140*(1-D140)))</f>
        <v>3.8414588206941245</v>
      </c>
      <c r="G140" s="149">
        <f>2*(C140+I140^2)</f>
        <v>71.68291764138824</v>
      </c>
      <c r="H140" s="150" t="s">
        <v>37</v>
      </c>
      <c r="I140" s="151">
        <f>-NORMSINV(2.5/100)</f>
        <v>1.9599639845400538</v>
      </c>
      <c r="J140" s="214">
        <f>D140</f>
        <v>1</v>
      </c>
      <c r="K140" s="214">
        <f>(E140-F140)/G140</f>
        <v>0.8928208017449295</v>
      </c>
      <c r="L140" s="214">
        <f>(E140+F140)/G140</f>
        <v>1.0000000000000002</v>
      </c>
    </row>
    <row r="141" spans="1:12" ht="13.5" hidden="1" thickBot="1">
      <c r="A141" s="1"/>
      <c r="B141" s="1"/>
      <c r="C141" s="1"/>
      <c r="D141" s="1"/>
      <c r="E141" s="1"/>
      <c r="F141" s="1"/>
      <c r="G141" s="1"/>
      <c r="H141" s="329"/>
      <c r="I141" s="65"/>
      <c r="J141" s="65"/>
      <c r="K141" s="65"/>
      <c r="L141" s="65"/>
    </row>
    <row r="142" spans="1:12" ht="13.5" hidden="1" thickBot="1">
      <c r="A142" s="332"/>
      <c r="B142" s="333"/>
      <c r="C142" s="333"/>
      <c r="D142" s="334" t="s">
        <v>223</v>
      </c>
      <c r="E142" s="334" t="s">
        <v>224</v>
      </c>
      <c r="F142" s="334" t="s">
        <v>225</v>
      </c>
      <c r="G142" s="335"/>
      <c r="H142" s="329"/>
      <c r="I142" s="65"/>
      <c r="J142" s="65"/>
      <c r="K142" s="65"/>
      <c r="L142" s="65"/>
    </row>
    <row r="143" spans="1:12" ht="12.75" hidden="1">
      <c r="A143" s="336" t="s">
        <v>226</v>
      </c>
      <c r="B143" s="337"/>
      <c r="C143" s="338" t="str">
        <f>ROUND(J139,3)*100&amp;A146</f>
        <v>44,6%</v>
      </c>
      <c r="D143" s="339" t="str">
        <f>ROUND(J140,3)*100&amp;A146</f>
        <v>100%</v>
      </c>
      <c r="E143" s="339" t="str">
        <f>ROUND(J137,3)*100&amp;A146</f>
        <v>100%</v>
      </c>
      <c r="F143" s="339" t="str">
        <f>ROUND(J138,3)*100&amp;A146</f>
        <v>38,6%</v>
      </c>
      <c r="G143" s="340"/>
      <c r="H143" s="329"/>
      <c r="I143" s="65"/>
      <c r="J143" s="65"/>
      <c r="K143" s="65"/>
      <c r="L143" s="65"/>
    </row>
    <row r="144" spans="1:12" ht="12.75" hidden="1">
      <c r="A144" s="341" t="s">
        <v>227</v>
      </c>
      <c r="B144" s="342"/>
      <c r="C144" s="338" t="str">
        <f>ROUND(K139,3)*100&amp;A146</f>
        <v>34,8%</v>
      </c>
      <c r="D144" s="339" t="str">
        <f>ROUND(K140,3)*100&amp;A146</f>
        <v>89,3%</v>
      </c>
      <c r="E144" s="339" t="str">
        <f>ROUND(K137,3)*100&amp;A146</f>
        <v>91,4%</v>
      </c>
      <c r="F144" s="339" t="str">
        <f>ROUND(K138,3)*100&amp;A146</f>
        <v>28,8%</v>
      </c>
      <c r="G144" s="340"/>
      <c r="H144" s="329"/>
      <c r="I144" s="65"/>
      <c r="J144" s="65"/>
      <c r="K144" s="65"/>
      <c r="L144" s="65"/>
    </row>
    <row r="145" spans="1:12" ht="12.75" hidden="1">
      <c r="A145" s="341" t="s">
        <v>228</v>
      </c>
      <c r="B145" s="343">
        <f>C120</f>
        <v>0.33064516129032256</v>
      </c>
      <c r="C145" s="338" t="str">
        <f>ROUND(L139,3)*100&amp;A146</f>
        <v>54,7%</v>
      </c>
      <c r="D145" s="339" t="str">
        <f>ROUND(L140,3)*100&amp;A146</f>
        <v>100%</v>
      </c>
      <c r="E145" s="339" t="str">
        <f>ROUND(L137,3)*100&amp;A146</f>
        <v>100%</v>
      </c>
      <c r="F145" s="339" t="str">
        <f>ROUND(L138,3)*100&amp;A146</f>
        <v>49,3%</v>
      </c>
      <c r="G145" s="344">
        <f>D131</f>
        <v>1.6274509803921569</v>
      </c>
      <c r="H145" s="329"/>
      <c r="I145" s="65"/>
      <c r="J145" s="65"/>
      <c r="K145" s="65"/>
      <c r="L145" s="65"/>
    </row>
    <row r="146" spans="1:12" ht="12.75" hidden="1">
      <c r="A146" s="341" t="s">
        <v>229</v>
      </c>
      <c r="B146" s="345" t="s">
        <v>272</v>
      </c>
      <c r="C146" s="345" t="s">
        <v>231</v>
      </c>
      <c r="D146" s="345" t="s">
        <v>232</v>
      </c>
      <c r="E146" s="345" t="s">
        <v>5</v>
      </c>
      <c r="F146" s="346" t="s">
        <v>6</v>
      </c>
      <c r="G146" s="347" t="s">
        <v>233</v>
      </c>
      <c r="H146" s="329"/>
      <c r="I146" s="65"/>
      <c r="J146" s="65"/>
      <c r="K146" s="65"/>
      <c r="L146" s="65"/>
    </row>
    <row r="147" spans="1:12" ht="12.75" hidden="1">
      <c r="A147" s="348" t="s">
        <v>80</v>
      </c>
      <c r="B147" s="349">
        <f>B145</f>
        <v>0.33064516129032256</v>
      </c>
      <c r="C147" s="350" t="str">
        <f>CONCATENATE(C143," ",A143,C144," ",A147," ",C145,A145)</f>
        <v>44,6% (34,8% a 54,7%)</v>
      </c>
      <c r="D147" s="350" t="str">
        <f>CONCATENATE(D143," ",A143,D144," ",A147," ",D145,A145)</f>
        <v>100% (89,3% a 100%)</v>
      </c>
      <c r="E147" s="350" t="str">
        <f>CONCATENATE(E143," ",A143,E144," ",A147," ",E145,A145)</f>
        <v>100% (91,4% a 100%)</v>
      </c>
      <c r="F147" s="350" t="str">
        <f>CONCATENATE(F143," ",A143,F144," ",A147," ",F145,A145)</f>
        <v>38,6% (28,8% a 49,3%)</v>
      </c>
      <c r="G147" s="351">
        <f>G145</f>
        <v>1.6274509803921569</v>
      </c>
      <c r="H147" s="329"/>
      <c r="I147" s="65"/>
      <c r="J147" s="65"/>
      <c r="K147" s="65"/>
      <c r="L147" s="65"/>
    </row>
    <row r="148" spans="1:12" ht="13.5" hidden="1" thickBot="1">
      <c r="A148" s="352" t="s">
        <v>234</v>
      </c>
      <c r="B148" s="353"/>
      <c r="C148" s="353"/>
      <c r="D148" s="353"/>
      <c r="E148" s="353"/>
      <c r="F148" s="353"/>
      <c r="G148" s="354"/>
      <c r="H148" s="329"/>
      <c r="I148" s="65"/>
      <c r="J148" s="65"/>
      <c r="K148" s="65"/>
      <c r="L148" s="65"/>
    </row>
    <row r="149" spans="1:12" ht="12.75">
      <c r="A149" s="1"/>
      <c r="B149" s="1"/>
      <c r="C149" s="1"/>
      <c r="D149" s="1"/>
      <c r="E149" s="1"/>
      <c r="F149" s="1"/>
      <c r="G149" s="1"/>
      <c r="H149" s="329"/>
      <c r="I149" s="65"/>
      <c r="J149" s="65"/>
      <c r="K149" s="65"/>
      <c r="L149" s="65"/>
    </row>
    <row r="150" spans="1:12" ht="12.75">
      <c r="A150" s="1"/>
      <c r="B150" s="355" t="s">
        <v>272</v>
      </c>
      <c r="C150" s="355" t="s">
        <v>231</v>
      </c>
      <c r="D150" s="356" t="s">
        <v>232</v>
      </c>
      <c r="E150" s="356" t="s">
        <v>5</v>
      </c>
      <c r="F150" s="356" t="s">
        <v>6</v>
      </c>
      <c r="G150" s="356" t="s">
        <v>233</v>
      </c>
      <c r="H150" s="329"/>
      <c r="I150" s="65"/>
      <c r="J150" s="65"/>
      <c r="K150" s="65"/>
      <c r="L150" s="65"/>
    </row>
    <row r="151" spans="1:12" ht="17.25" customHeight="1">
      <c r="A151" s="1"/>
      <c r="B151" s="357" t="s">
        <v>145</v>
      </c>
      <c r="C151" s="357" t="str">
        <f>C147</f>
        <v>44,6% (34,8% a 54,7%)</v>
      </c>
      <c r="D151" s="357" t="str">
        <f>D147</f>
        <v>100% (89,3% a 100%)</v>
      </c>
      <c r="E151" s="357" t="str">
        <f>E147</f>
        <v>100% (91,4% a 100%)</v>
      </c>
      <c r="F151" s="357" t="str">
        <f>F147</f>
        <v>38,6% (28,8% a 49,3%)</v>
      </c>
      <c r="G151" s="391">
        <f>G147</f>
        <v>1.6274509803921569</v>
      </c>
      <c r="H151" s="329"/>
      <c r="I151" s="65"/>
      <c r="J151" s="65"/>
      <c r="K151" s="65"/>
      <c r="L151" s="65"/>
    </row>
    <row r="152" spans="1:12" ht="12.75">
      <c r="A152" s="1"/>
      <c r="B152" s="374"/>
      <c r="C152" s="374"/>
      <c r="D152" s="328"/>
      <c r="E152" s="328"/>
      <c r="F152" s="328"/>
      <c r="G152" s="375"/>
      <c r="H152" s="329"/>
      <c r="I152" s="65"/>
      <c r="J152" s="65"/>
      <c r="K152" s="65"/>
      <c r="L152" s="65"/>
    </row>
    <row r="153" spans="1:12" ht="12.75">
      <c r="A153" s="1"/>
      <c r="B153" s="216"/>
      <c r="C153" s="216"/>
      <c r="D153" s="136"/>
      <c r="E153" s="217"/>
      <c r="F153" s="132"/>
      <c r="G153" s="132"/>
      <c r="H153" s="139"/>
      <c r="I153" s="65"/>
      <c r="J153" s="65"/>
      <c r="K153" s="65"/>
      <c r="L153" s="65"/>
    </row>
    <row r="155" spans="1:6" ht="15">
      <c r="A155" s="218" t="s">
        <v>130</v>
      </c>
      <c r="B155" s="219"/>
      <c r="C155" s="219"/>
      <c r="D155" s="219"/>
      <c r="E155" s="219"/>
      <c r="F155" s="219"/>
    </row>
    <row r="157" spans="2:3" ht="30.75" customHeight="1">
      <c r="B157" s="220" t="s">
        <v>129</v>
      </c>
      <c r="C157" s="221" t="s">
        <v>125</v>
      </c>
    </row>
    <row r="158" spans="1:4" ht="15">
      <c r="A158" s="132"/>
      <c r="B158" s="222" t="s">
        <v>124</v>
      </c>
      <c r="C158" s="223">
        <v>4.610958904109589</v>
      </c>
      <c r="D158" s="224" t="s">
        <v>215</v>
      </c>
    </row>
    <row r="159" spans="1:3" ht="15">
      <c r="A159" s="132"/>
      <c r="B159" s="222" t="s">
        <v>126</v>
      </c>
      <c r="C159" s="225">
        <v>1.8630136986301369</v>
      </c>
    </row>
    <row r="160" spans="1:3" ht="15">
      <c r="A160" s="132"/>
      <c r="B160" s="222" t="s">
        <v>127</v>
      </c>
      <c r="C160" s="225">
        <v>1.7291666666666667</v>
      </c>
    </row>
    <row r="161" spans="1:3" ht="15">
      <c r="A161" s="132"/>
      <c r="B161" s="222" t="s">
        <v>128</v>
      </c>
      <c r="C161" s="225">
        <v>1.6274509803921569</v>
      </c>
    </row>
    <row r="163" ht="12.75">
      <c r="C163" s="200"/>
    </row>
    <row r="164" ht="12.75">
      <c r="C164" s="200"/>
    </row>
    <row r="165" ht="12.75">
      <c r="C165" s="200"/>
    </row>
    <row r="166" ht="12.75">
      <c r="C166" s="200"/>
    </row>
  </sheetData>
  <sheetProtection/>
  <mergeCells count="24">
    <mergeCell ref="D6:E6"/>
    <mergeCell ref="D43:E43"/>
    <mergeCell ref="B47:B50"/>
    <mergeCell ref="C47:C48"/>
    <mergeCell ref="C49:C50"/>
    <mergeCell ref="B10:B13"/>
    <mergeCell ref="C10:C11"/>
    <mergeCell ref="C12:C13"/>
    <mergeCell ref="C14:C15"/>
    <mergeCell ref="B123:B126"/>
    <mergeCell ref="C123:C124"/>
    <mergeCell ref="C125:C126"/>
    <mergeCell ref="C51:C52"/>
    <mergeCell ref="B86:B89"/>
    <mergeCell ref="C86:C87"/>
    <mergeCell ref="C88:C89"/>
    <mergeCell ref="F14:F15"/>
    <mergeCell ref="C127:C128"/>
    <mergeCell ref="F127:F128"/>
    <mergeCell ref="C90:C91"/>
    <mergeCell ref="F90:F91"/>
    <mergeCell ref="D119:E119"/>
    <mergeCell ref="F51:F52"/>
    <mergeCell ref="D82:E82"/>
  </mergeCells>
  <printOptions/>
  <pageMargins left="0.05" right="0.14" top="0.91" bottom="1" header="0" footer="0"/>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W171"/>
  <sheetViews>
    <sheetView zoomScalePageLayoutView="0" workbookViewId="0" topLeftCell="A1">
      <selection activeCell="A1" sqref="A1"/>
    </sheetView>
  </sheetViews>
  <sheetFormatPr defaultColWidth="11.421875" defaultRowHeight="12.75"/>
  <cols>
    <col min="1" max="1" width="12.28125" style="1" customWidth="1"/>
    <col min="2" max="2" width="21.140625" style="1" customWidth="1"/>
    <col min="3" max="3" width="19.00390625" style="1" customWidth="1"/>
    <col min="4" max="4" width="18.28125" style="1" customWidth="1"/>
    <col min="5" max="5" width="16.7109375" style="1" customWidth="1"/>
    <col min="6" max="6" width="15.57421875" style="1" customWidth="1"/>
    <col min="7" max="7" width="18.140625" style="1" customWidth="1"/>
    <col min="8" max="8" width="11.8515625" style="1" customWidth="1"/>
    <col min="9" max="9" width="13.8515625" style="1" customWidth="1"/>
    <col min="10" max="10" width="15.421875" style="1" customWidth="1"/>
    <col min="11" max="11" width="7.8515625" style="1" customWidth="1"/>
    <col min="12" max="12" width="13.28125" style="1" customWidth="1"/>
    <col min="13" max="15" width="12.7109375" style="1" bestFit="1" customWidth="1"/>
    <col min="16" max="16" width="19.421875" style="1" customWidth="1"/>
    <col min="17" max="17" width="19.8515625" style="1" customWidth="1"/>
    <col min="18" max="18" width="16.8515625" style="1" customWidth="1"/>
    <col min="19" max="19" width="12.7109375" style="1" bestFit="1" customWidth="1"/>
    <col min="20" max="20" width="11.57421875" style="1" bestFit="1" customWidth="1"/>
    <col min="21" max="16384" width="11.421875" style="1" customWidth="1"/>
  </cols>
  <sheetData>
    <row r="1" ht="12.75">
      <c r="J1" s="30"/>
    </row>
    <row r="2" spans="1:8" ht="15">
      <c r="A2" s="617" t="s">
        <v>246</v>
      </c>
      <c r="B2" s="617"/>
      <c r="C2" s="617"/>
      <c r="D2" s="617"/>
      <c r="E2" s="617"/>
      <c r="F2" s="617"/>
      <c r="G2" s="617"/>
      <c r="H2" s="617"/>
    </row>
    <row r="3" spans="1:8" ht="34.5" customHeight="1">
      <c r="A3" s="602" t="s">
        <v>295</v>
      </c>
      <c r="B3" s="602"/>
      <c r="C3" s="602"/>
      <c r="D3" s="602"/>
      <c r="E3" s="602"/>
      <c r="F3" s="602"/>
      <c r="G3" s="602"/>
      <c r="H3" s="602"/>
    </row>
    <row r="4" spans="1:8" ht="78" customHeight="1">
      <c r="A4" s="602" t="s">
        <v>296</v>
      </c>
      <c r="B4" s="602"/>
      <c r="C4" s="602"/>
      <c r="D4" s="602"/>
      <c r="E4" s="602"/>
      <c r="F4" s="602"/>
      <c r="G4" s="602"/>
      <c r="H4" s="602"/>
    </row>
    <row r="5" spans="1:8" ht="39.75" customHeight="1">
      <c r="A5" s="602" t="s">
        <v>311</v>
      </c>
      <c r="B5" s="602"/>
      <c r="C5" s="602"/>
      <c r="D5" s="602"/>
      <c r="E5" s="602"/>
      <c r="F5" s="602"/>
      <c r="G5" s="602"/>
      <c r="H5" s="602"/>
    </row>
    <row r="6" spans="1:8" ht="38.25" customHeight="1">
      <c r="A6" s="602" t="s">
        <v>247</v>
      </c>
      <c r="B6" s="602"/>
      <c r="C6" s="602"/>
      <c r="D6" s="602"/>
      <c r="E6" s="602"/>
      <c r="F6" s="602"/>
      <c r="G6" s="602"/>
      <c r="H6" s="602"/>
    </row>
    <row r="7" spans="1:8" ht="32.25" customHeight="1">
      <c r="A7" s="602" t="s">
        <v>60</v>
      </c>
      <c r="B7" s="602"/>
      <c r="C7" s="602"/>
      <c r="D7" s="602"/>
      <c r="E7" s="602"/>
      <c r="F7" s="602"/>
      <c r="G7" s="602"/>
      <c r="H7" s="602"/>
    </row>
    <row r="8" spans="1:8" ht="21" customHeight="1">
      <c r="A8" s="618" t="s">
        <v>61</v>
      </c>
      <c r="B8" s="618"/>
      <c r="C8" s="618"/>
      <c r="D8" s="618"/>
      <c r="E8" s="618"/>
      <c r="F8" s="618"/>
      <c r="G8" s="618"/>
      <c r="H8" s="618"/>
    </row>
    <row r="9" spans="1:8" ht="51.75" customHeight="1">
      <c r="A9" s="602" t="s">
        <v>248</v>
      </c>
      <c r="B9" s="602"/>
      <c r="C9" s="602"/>
      <c r="D9" s="602"/>
      <c r="E9" s="602"/>
      <c r="F9" s="602"/>
      <c r="G9" s="602"/>
      <c r="H9" s="602"/>
    </row>
    <row r="10" spans="1:8" ht="35.25" customHeight="1">
      <c r="A10" s="616" t="s">
        <v>297</v>
      </c>
      <c r="B10" s="616"/>
      <c r="C10" s="616"/>
      <c r="D10" s="616"/>
      <c r="E10" s="616"/>
      <c r="F10" s="616"/>
      <c r="G10" s="616"/>
      <c r="H10" s="616"/>
    </row>
    <row r="11" spans="1:8" ht="42.75" customHeight="1">
      <c r="A11" s="616" t="s">
        <v>249</v>
      </c>
      <c r="B11" s="616"/>
      <c r="C11" s="616"/>
      <c r="D11" s="616"/>
      <c r="E11" s="616"/>
      <c r="F11" s="616"/>
      <c r="G11" s="616"/>
      <c r="H11" s="616"/>
    </row>
    <row r="12" spans="1:8" ht="39.75" customHeight="1">
      <c r="A12" s="616" t="s">
        <v>250</v>
      </c>
      <c r="B12" s="616"/>
      <c r="C12" s="616"/>
      <c r="D12" s="616"/>
      <c r="E12" s="616"/>
      <c r="F12" s="616"/>
      <c r="G12" s="616"/>
      <c r="H12" s="616"/>
    </row>
    <row r="13" spans="1:8" ht="27.75" customHeight="1">
      <c r="A13" s="615" t="s">
        <v>183</v>
      </c>
      <c r="B13" s="615"/>
      <c r="C13" s="615"/>
      <c r="D13" s="615"/>
      <c r="E13" s="615"/>
      <c r="F13" s="615"/>
      <c r="G13" s="615"/>
      <c r="H13" s="615"/>
    </row>
    <row r="14" spans="1:8" ht="48" customHeight="1">
      <c r="A14" s="616" t="s">
        <v>251</v>
      </c>
      <c r="B14" s="616"/>
      <c r="C14" s="616"/>
      <c r="D14" s="616"/>
      <c r="E14" s="616"/>
      <c r="F14" s="616"/>
      <c r="G14" s="616"/>
      <c r="H14" s="616"/>
    </row>
    <row r="15" spans="1:8" ht="23.25" customHeight="1">
      <c r="A15" s="615" t="s">
        <v>116</v>
      </c>
      <c r="B15" s="615"/>
      <c r="C15" s="615"/>
      <c r="D15" s="615"/>
      <c r="E15" s="615"/>
      <c r="F15" s="615"/>
      <c r="G15" s="615"/>
      <c r="H15" s="615"/>
    </row>
    <row r="16" spans="1:12" ht="12.75">
      <c r="A16" s="228"/>
      <c r="H16" s="73"/>
      <c r="L16" s="439"/>
    </row>
    <row r="17" spans="1:12" ht="12.75">
      <c r="A17" s="229" t="s">
        <v>184</v>
      </c>
      <c r="B17" s="68"/>
      <c r="C17" s="68"/>
      <c r="D17" s="68"/>
      <c r="E17" s="68"/>
      <c r="F17" s="68"/>
      <c r="G17" s="68"/>
      <c r="H17" s="68"/>
      <c r="L17" s="76"/>
    </row>
    <row r="18" spans="1:12" ht="12.75">
      <c r="A18" s="229" t="s">
        <v>185</v>
      </c>
      <c r="B18" s="68"/>
      <c r="C18" s="68"/>
      <c r="D18" s="68"/>
      <c r="E18" s="68"/>
      <c r="F18" s="68"/>
      <c r="G18" s="68"/>
      <c r="H18" s="68"/>
      <c r="K18" s="63"/>
      <c r="L18" s="82"/>
    </row>
    <row r="19" spans="1:12" ht="12.75">
      <c r="A19" s="230" t="s">
        <v>298</v>
      </c>
      <c r="B19" s="68"/>
      <c r="C19" s="68"/>
      <c r="D19" s="68"/>
      <c r="E19" s="68"/>
      <c r="F19" s="68"/>
      <c r="G19" s="68"/>
      <c r="H19" s="231"/>
      <c r="I19" s="81"/>
      <c r="K19" s="63"/>
      <c r="L19" s="81"/>
    </row>
    <row r="20" spans="1:8" ht="12.75">
      <c r="A20" s="229" t="s">
        <v>186</v>
      </c>
      <c r="B20" s="68"/>
      <c r="C20" s="68"/>
      <c r="D20" s="68"/>
      <c r="E20" s="68"/>
      <c r="F20" s="68"/>
      <c r="G20" s="68"/>
      <c r="H20" s="231"/>
    </row>
    <row r="21" spans="1:8" ht="12.75">
      <c r="A21" s="230" t="s">
        <v>299</v>
      </c>
      <c r="B21" s="68"/>
      <c r="C21" s="68"/>
      <c r="D21" s="68"/>
      <c r="E21" s="68"/>
      <c r="F21" s="68"/>
      <c r="G21" s="68"/>
      <c r="H21" s="231"/>
    </row>
    <row r="22" spans="1:8" ht="12.75">
      <c r="A22" s="232" t="s">
        <v>191</v>
      </c>
      <c r="B22" s="233"/>
      <c r="C22" s="234"/>
      <c r="D22" s="235"/>
      <c r="E22" s="236" t="s">
        <v>187</v>
      </c>
      <c r="F22" s="237" t="s">
        <v>188</v>
      </c>
      <c r="G22" s="238" t="s">
        <v>189</v>
      </c>
      <c r="H22" s="237" t="s">
        <v>190</v>
      </c>
    </row>
    <row r="23" spans="1:8" ht="14.25" customHeight="1">
      <c r="A23" s="232"/>
      <c r="B23" s="232"/>
      <c r="C23" s="232"/>
      <c r="D23" s="232"/>
      <c r="E23" s="237">
        <v>0.869</v>
      </c>
      <c r="F23" s="237">
        <f>1-E23</f>
        <v>0.131</v>
      </c>
      <c r="G23" s="237">
        <v>100</v>
      </c>
      <c r="H23" s="239">
        <f>SQRT(E23*F23/G23)</f>
        <v>0.03374003556607492</v>
      </c>
    </row>
    <row r="24" spans="1:8" ht="12" customHeight="1">
      <c r="A24" s="232"/>
      <c r="B24" s="232"/>
      <c r="C24" s="232"/>
      <c r="D24" s="232"/>
      <c r="E24" s="240"/>
      <c r="F24" s="240"/>
      <c r="G24" s="240"/>
      <c r="H24" s="241"/>
    </row>
    <row r="25" spans="1:8" ht="12.75">
      <c r="A25" s="232"/>
      <c r="B25" s="232"/>
      <c r="C25" s="232"/>
      <c r="D25" s="232"/>
      <c r="E25" s="240"/>
      <c r="F25" s="240"/>
      <c r="G25" s="240"/>
      <c r="H25" s="241"/>
    </row>
    <row r="26" spans="1:8" ht="12.75">
      <c r="A26" s="232"/>
      <c r="B26" s="232"/>
      <c r="C26" s="232"/>
      <c r="D26" s="232"/>
      <c r="E26" s="240"/>
      <c r="F26" s="240"/>
      <c r="G26" s="240"/>
      <c r="H26" s="241"/>
    </row>
    <row r="27" spans="1:8" ht="12.75">
      <c r="A27" s="232"/>
      <c r="B27" s="232"/>
      <c r="C27" s="232"/>
      <c r="D27" s="232"/>
      <c r="E27" s="240"/>
      <c r="F27" s="240"/>
      <c r="G27" s="240"/>
      <c r="H27" s="241"/>
    </row>
    <row r="28" spans="1:8" ht="12.75">
      <c r="A28" s="232"/>
      <c r="B28" s="232"/>
      <c r="C28" s="232"/>
      <c r="D28" s="232"/>
      <c r="E28" s="138" t="s">
        <v>252</v>
      </c>
      <c r="F28" s="240"/>
      <c r="G28" s="240"/>
      <c r="H28" s="241"/>
    </row>
    <row r="29" spans="1:5" ht="15">
      <c r="A29" s="242"/>
      <c r="E29" s="68" t="s">
        <v>300</v>
      </c>
    </row>
    <row r="30" ht="12.75">
      <c r="A30" s="100"/>
    </row>
    <row r="31" ht="12.75">
      <c r="A31" s="42"/>
    </row>
    <row r="32" ht="12.75">
      <c r="A32" s="42"/>
    </row>
    <row r="33" ht="12.75">
      <c r="A33" s="42"/>
    </row>
    <row r="34" ht="12.75">
      <c r="A34" s="42"/>
    </row>
    <row r="35" ht="12.75">
      <c r="A35" s="42"/>
    </row>
    <row r="36" ht="12.75"/>
    <row r="37" spans="8:10" ht="12.75">
      <c r="H37" s="243"/>
      <c r="I37" s="243"/>
      <c r="J37" s="243"/>
    </row>
    <row r="38" spans="8:11" ht="12.75">
      <c r="H38" s="99"/>
      <c r="I38" s="244"/>
      <c r="J38" s="99"/>
      <c r="K38" s="245"/>
    </row>
    <row r="39" spans="1:11" ht="12.75">
      <c r="A39" s="68"/>
      <c r="B39" s="68"/>
      <c r="C39" s="68"/>
      <c r="D39" s="68"/>
      <c r="E39" s="68"/>
      <c r="F39" s="68"/>
      <c r="G39" s="68"/>
      <c r="H39" s="68"/>
      <c r="I39" s="68"/>
      <c r="J39" s="68"/>
      <c r="K39" s="68"/>
    </row>
    <row r="40" spans="1:11" ht="12.75">
      <c r="A40" s="68"/>
      <c r="B40" s="246"/>
      <c r="C40" s="246"/>
      <c r="D40" s="246"/>
      <c r="E40" s="247"/>
      <c r="F40" s="246"/>
      <c r="G40" s="68"/>
      <c r="H40" s="68"/>
      <c r="I40" s="68"/>
      <c r="J40" s="68"/>
      <c r="K40" s="68"/>
    </row>
    <row r="41" spans="1:11" ht="12.75">
      <c r="A41" s="248"/>
      <c r="B41" s="249"/>
      <c r="C41" s="601"/>
      <c r="D41" s="601"/>
      <c r="E41" s="250"/>
      <c r="F41" s="251"/>
      <c r="G41" s="251"/>
      <c r="H41" s="68"/>
      <c r="I41" s="68"/>
      <c r="J41" s="68"/>
      <c r="K41" s="68"/>
    </row>
    <row r="42" spans="1:11" ht="12.75">
      <c r="A42" s="248"/>
      <c r="B42" s="201"/>
      <c r="C42" s="440"/>
      <c r="D42" s="440"/>
      <c r="E42" s="252"/>
      <c r="F42" s="248"/>
      <c r="G42" s="253"/>
      <c r="H42" s="254"/>
      <c r="I42" s="68"/>
      <c r="J42" s="255"/>
      <c r="K42" s="68"/>
    </row>
    <row r="43" spans="1:11" ht="12.75">
      <c r="A43" s="248"/>
      <c r="B43" s="201"/>
      <c r="C43" s="440"/>
      <c r="D43" s="440"/>
      <c r="E43" s="252"/>
      <c r="F43" s="68"/>
      <c r="G43" s="68"/>
      <c r="H43" s="68"/>
      <c r="I43" s="68"/>
      <c r="J43" s="68"/>
      <c r="K43" s="68"/>
    </row>
    <row r="44" spans="8:14" s="256" customFormat="1" ht="12.75" customHeight="1">
      <c r="H44" s="603" t="s">
        <v>136</v>
      </c>
      <c r="I44" s="604"/>
      <c r="J44" s="605"/>
      <c r="K44" s="68"/>
      <c r="L44" s="598" t="s">
        <v>283</v>
      </c>
      <c r="M44" s="598" t="s">
        <v>284</v>
      </c>
      <c r="N44" s="598" t="s">
        <v>285</v>
      </c>
    </row>
    <row r="45" spans="8:14" s="256" customFormat="1" ht="13.5" customHeight="1" hidden="1">
      <c r="H45" s="606"/>
      <c r="I45" s="607"/>
      <c r="J45" s="608"/>
      <c r="K45" s="68"/>
      <c r="L45" s="599"/>
      <c r="M45" s="599"/>
      <c r="N45" s="599"/>
    </row>
    <row r="46" spans="8:14" s="256" customFormat="1" ht="12.75" customHeight="1" hidden="1">
      <c r="H46" s="606"/>
      <c r="I46" s="607"/>
      <c r="J46" s="608"/>
      <c r="K46" s="68"/>
      <c r="L46" s="599"/>
      <c r="M46" s="599"/>
      <c r="N46" s="599"/>
    </row>
    <row r="47" spans="8:14" s="256" customFormat="1" ht="12.75" customHeight="1" hidden="1">
      <c r="H47" s="606"/>
      <c r="I47" s="607"/>
      <c r="J47" s="608"/>
      <c r="K47" s="68"/>
      <c r="L47" s="599"/>
      <c r="M47" s="599"/>
      <c r="N47" s="599"/>
    </row>
    <row r="48" spans="8:14" s="256" customFormat="1" ht="12.75" customHeight="1" hidden="1">
      <c r="H48" s="606"/>
      <c r="I48" s="607"/>
      <c r="J48" s="608"/>
      <c r="K48" s="68"/>
      <c r="L48" s="599"/>
      <c r="M48" s="599"/>
      <c r="N48" s="599"/>
    </row>
    <row r="49" spans="8:14" s="256" customFormat="1" ht="12.75" customHeight="1" hidden="1">
      <c r="H49" s="606"/>
      <c r="I49" s="607"/>
      <c r="J49" s="608"/>
      <c r="K49" s="68"/>
      <c r="L49" s="599"/>
      <c r="M49" s="599"/>
      <c r="N49" s="599"/>
    </row>
    <row r="50" spans="8:14" s="256" customFormat="1" ht="12.75" customHeight="1" hidden="1">
      <c r="H50" s="606"/>
      <c r="I50" s="607"/>
      <c r="J50" s="608"/>
      <c r="K50" s="68"/>
      <c r="L50" s="599"/>
      <c r="M50" s="599"/>
      <c r="N50" s="599"/>
    </row>
    <row r="51" spans="8:14" s="256" customFormat="1" ht="27" customHeight="1" hidden="1">
      <c r="H51" s="606"/>
      <c r="I51" s="607"/>
      <c r="J51" s="608"/>
      <c r="K51" s="68"/>
      <c r="L51" s="599"/>
      <c r="M51" s="599"/>
      <c r="N51" s="599"/>
    </row>
    <row r="52" spans="8:14" s="256" customFormat="1" ht="12.75" customHeight="1" hidden="1">
      <c r="H52" s="606"/>
      <c r="I52" s="607"/>
      <c r="J52" s="608"/>
      <c r="K52" s="68"/>
      <c r="L52" s="599"/>
      <c r="M52" s="599"/>
      <c r="N52" s="599"/>
    </row>
    <row r="53" spans="8:14" s="256" customFormat="1" ht="12.75" customHeight="1" hidden="1">
      <c r="H53" s="606"/>
      <c r="I53" s="607"/>
      <c r="J53" s="608"/>
      <c r="K53" s="68"/>
      <c r="L53" s="599"/>
      <c r="M53" s="599"/>
      <c r="N53" s="599"/>
    </row>
    <row r="54" spans="8:14" s="256" customFormat="1" ht="12.75" customHeight="1" hidden="1">
      <c r="H54" s="606"/>
      <c r="I54" s="607"/>
      <c r="J54" s="608"/>
      <c r="K54" s="68"/>
      <c r="L54" s="599"/>
      <c r="M54" s="599"/>
      <c r="N54" s="599"/>
    </row>
    <row r="55" spans="8:23" s="256" customFormat="1" ht="13.5" thickBot="1">
      <c r="H55" s="609"/>
      <c r="I55" s="610"/>
      <c r="J55" s="611"/>
      <c r="K55" s="68"/>
      <c r="L55" s="599"/>
      <c r="M55" s="599"/>
      <c r="N55" s="599"/>
      <c r="P55" s="257"/>
      <c r="Q55" s="257"/>
      <c r="R55" s="257"/>
      <c r="S55" s="257"/>
      <c r="T55" s="257"/>
      <c r="U55" s="257"/>
      <c r="V55" s="257"/>
      <c r="W55" s="257"/>
    </row>
    <row r="56" spans="1:23" ht="12.75">
      <c r="A56" s="132"/>
      <c r="B56" s="612" t="s">
        <v>59</v>
      </c>
      <c r="C56" s="613"/>
      <c r="D56" s="613"/>
      <c r="E56" s="614"/>
      <c r="I56" s="258" t="s">
        <v>62</v>
      </c>
      <c r="J56" s="258" t="s">
        <v>36</v>
      </c>
      <c r="K56" s="68"/>
      <c r="L56" s="600"/>
      <c r="M56" s="600"/>
      <c r="N56" s="600"/>
      <c r="O56" s="65"/>
      <c r="P56" s="136"/>
      <c r="Q56" s="132"/>
      <c r="R56" s="132"/>
      <c r="S56" s="139"/>
      <c r="T56" s="136"/>
      <c r="U56" s="259"/>
      <c r="V56" s="259"/>
      <c r="W56" s="259"/>
    </row>
    <row r="57" spans="1:23" ht="12.75">
      <c r="A57" s="132"/>
      <c r="B57" s="260"/>
      <c r="C57" s="147" t="s">
        <v>174</v>
      </c>
      <c r="D57" s="147" t="s">
        <v>173</v>
      </c>
      <c r="E57" s="261"/>
      <c r="H57" s="63" t="s">
        <v>63</v>
      </c>
      <c r="I57" s="438">
        <f>1-C63</f>
        <v>0.7462686567164178</v>
      </c>
      <c r="J57" s="438">
        <f>C62</f>
        <v>0.9393939393939394</v>
      </c>
      <c r="K57" s="68"/>
      <c r="L57" s="435">
        <f>J57-I57</f>
        <v>0.1931252826775216</v>
      </c>
      <c r="M57" s="435">
        <f>L57^2</f>
        <v>0.03729737480927263</v>
      </c>
      <c r="N57" s="436">
        <f>SQRT(L57^2*2)/2</f>
        <v>0.13656019699984442</v>
      </c>
      <c r="O57" s="65"/>
      <c r="P57" s="200"/>
      <c r="Q57" s="132"/>
      <c r="R57" s="132"/>
      <c r="S57" s="139"/>
      <c r="T57" s="136"/>
      <c r="U57" s="259"/>
      <c r="V57" s="259"/>
      <c r="W57" s="259"/>
    </row>
    <row r="58" spans="1:23" ht="12.75">
      <c r="A58" s="68"/>
      <c r="B58" s="260" t="s">
        <v>172</v>
      </c>
      <c r="C58" s="147">
        <v>31</v>
      </c>
      <c r="D58" s="147">
        <v>50</v>
      </c>
      <c r="E58" s="261">
        <v>81</v>
      </c>
      <c r="H58" s="63" t="s">
        <v>65</v>
      </c>
      <c r="I58" s="438">
        <f>1-C74</f>
        <v>0.29850746268656714</v>
      </c>
      <c r="J58" s="438">
        <f>C73</f>
        <v>0.5454545454545454</v>
      </c>
      <c r="L58" s="435">
        <f>J58-I58</f>
        <v>0.24694708276797828</v>
      </c>
      <c r="M58" s="435">
        <f>L58^2</f>
        <v>0.060982861687614714</v>
      </c>
      <c r="N58" s="437">
        <f>SQRT(L58^2*2)/2</f>
        <v>0.17461795681947306</v>
      </c>
      <c r="P58" s="68"/>
      <c r="Q58" s="132"/>
      <c r="R58" s="132"/>
      <c r="S58" s="139"/>
      <c r="T58" s="136"/>
      <c r="U58" s="259"/>
      <c r="V58" s="259"/>
      <c r="W58" s="200"/>
    </row>
    <row r="59" spans="1:23" ht="12.75">
      <c r="A59" s="68"/>
      <c r="B59" s="260" t="s">
        <v>171</v>
      </c>
      <c r="C59" s="147">
        <v>2</v>
      </c>
      <c r="D59" s="147">
        <v>17</v>
      </c>
      <c r="E59" s="261">
        <v>19</v>
      </c>
      <c r="H59" s="63" t="s">
        <v>66</v>
      </c>
      <c r="I59" s="438">
        <f>1-C85</f>
        <v>0.16417910447761197</v>
      </c>
      <c r="J59" s="438">
        <f>C84</f>
        <v>0.36363636363636365</v>
      </c>
      <c r="L59" s="435">
        <f>J59-I59</f>
        <v>0.19945725915875168</v>
      </c>
      <c r="M59" s="435">
        <f>L59^2</f>
        <v>0.039783198231121426</v>
      </c>
      <c r="N59" s="436">
        <f>SQRT(L59^2*2)/2</f>
        <v>0.14103758050803591</v>
      </c>
      <c r="O59" s="65"/>
      <c r="P59" s="68"/>
      <c r="Q59" s="132"/>
      <c r="R59" s="132"/>
      <c r="S59" s="139"/>
      <c r="T59" s="136"/>
      <c r="U59" s="259"/>
      <c r="V59" s="259"/>
      <c r="W59" s="200"/>
    </row>
    <row r="60" spans="1:23" ht="12.75">
      <c r="A60" s="68"/>
      <c r="B60" s="260"/>
      <c r="C60" s="147">
        <v>33</v>
      </c>
      <c r="D60" s="147">
        <v>67</v>
      </c>
      <c r="E60" s="261">
        <v>100</v>
      </c>
      <c r="H60" s="63" t="s">
        <v>67</v>
      </c>
      <c r="I60" s="438">
        <f>1-C96</f>
        <v>0.05970149253731338</v>
      </c>
      <c r="J60" s="438">
        <f>C95</f>
        <v>0.18181818181818182</v>
      </c>
      <c r="L60" s="435">
        <f>J60-I60</f>
        <v>0.12211668928086844</v>
      </c>
      <c r="M60" s="435">
        <f>L60^2</f>
        <v>0.014912485800920168</v>
      </c>
      <c r="N60" s="436">
        <f>SQRT(L60^2*2)/2</f>
        <v>0.08634953908655266</v>
      </c>
      <c r="O60" s="65"/>
      <c r="P60" s="136"/>
      <c r="Q60" s="132"/>
      <c r="R60" s="132"/>
      <c r="S60" s="139"/>
      <c r="T60" s="136"/>
      <c r="U60" s="259"/>
      <c r="V60" s="259"/>
      <c r="W60" s="200"/>
    </row>
    <row r="61" spans="1:23" ht="12.75">
      <c r="A61" s="68"/>
      <c r="B61" s="7"/>
      <c r="E61" s="11"/>
      <c r="F61" s="1" t="s">
        <v>125</v>
      </c>
      <c r="H61" s="63" t="s">
        <v>68</v>
      </c>
      <c r="I61" s="438">
        <f>1-C107</f>
        <v>0.014925373134328401</v>
      </c>
      <c r="J61" s="438">
        <f>C106</f>
        <v>0.09090909090909091</v>
      </c>
      <c r="L61" s="435">
        <f>J61-I61</f>
        <v>0.07598371777476251</v>
      </c>
      <c r="M61" s="435">
        <f>L61^2</f>
        <v>0.0057735253668747604</v>
      </c>
      <c r="N61" s="436">
        <f>SQRT(L61^2*2)/2</f>
        <v>0.053728602098299376</v>
      </c>
      <c r="O61" s="65"/>
      <c r="P61" s="136"/>
      <c r="Q61" s="132"/>
      <c r="R61" s="132"/>
      <c r="S61" s="139"/>
      <c r="T61" s="136"/>
      <c r="U61" s="259"/>
      <c r="V61" s="259"/>
      <c r="W61" s="259"/>
    </row>
    <row r="62" spans="1:23" ht="12.75">
      <c r="A62" s="262"/>
      <c r="B62" s="7" t="s">
        <v>5</v>
      </c>
      <c r="C62" s="429">
        <v>0.9393939393939394</v>
      </c>
      <c r="D62" s="430">
        <v>0.8039375519135219</v>
      </c>
      <c r="E62" s="431">
        <v>0.983219116912808</v>
      </c>
      <c r="F62" s="30">
        <f>C62/(1-C63)</f>
        <v>1.258787878787879</v>
      </c>
      <c r="H62" s="263" t="s">
        <v>103</v>
      </c>
      <c r="I62" s="113">
        <v>0</v>
      </c>
      <c r="J62" s="264">
        <v>0</v>
      </c>
      <c r="P62" s="68"/>
      <c r="Q62" s="68"/>
      <c r="R62" s="68"/>
      <c r="S62" s="68"/>
      <c r="T62" s="68"/>
      <c r="U62" s="68"/>
      <c r="V62" s="68"/>
      <c r="W62" s="68"/>
    </row>
    <row r="63" spans="1:23" ht="12.75">
      <c r="A63" s="138"/>
      <c r="B63" s="7" t="s">
        <v>6</v>
      </c>
      <c r="C63" s="429">
        <v>0.2537313432835821</v>
      </c>
      <c r="D63" s="430">
        <v>0.1648791381857895</v>
      </c>
      <c r="E63" s="431">
        <v>0.36929194539500093</v>
      </c>
      <c r="H63" s="265"/>
      <c r="I63" s="266">
        <v>1</v>
      </c>
      <c r="J63" s="267">
        <v>1</v>
      </c>
      <c r="P63" s="68"/>
      <c r="Q63" s="68"/>
      <c r="R63" s="68"/>
      <c r="S63" s="68"/>
      <c r="T63" s="68"/>
      <c r="U63" s="68"/>
      <c r="V63" s="68"/>
      <c r="W63" s="68"/>
    </row>
    <row r="64" spans="1:23" ht="12.75">
      <c r="A64" s="138"/>
      <c r="B64" s="7" t="s">
        <v>24</v>
      </c>
      <c r="C64" s="429">
        <v>0.38271604938271603</v>
      </c>
      <c r="D64" s="430">
        <v>0.28446535970964615</v>
      </c>
      <c r="E64" s="431">
        <v>0.491587524527587</v>
      </c>
      <c r="K64" s="68"/>
      <c r="P64" s="68"/>
      <c r="Q64" s="132"/>
      <c r="R64" s="132"/>
      <c r="S64" s="68"/>
      <c r="T64" s="136"/>
      <c r="U64" s="259"/>
      <c r="V64" s="259"/>
      <c r="W64" s="68"/>
    </row>
    <row r="65" spans="1:23" ht="13.5" customHeight="1" thickBot="1">
      <c r="A65" s="138"/>
      <c r="B65" s="26" t="s">
        <v>25</v>
      </c>
      <c r="C65" s="432">
        <v>0.8947368421052632</v>
      </c>
      <c r="D65" s="433">
        <v>0.6860591728889098</v>
      </c>
      <c r="E65" s="434">
        <v>0.9706414397011299</v>
      </c>
      <c r="K65" s="68"/>
      <c r="P65" s="68"/>
      <c r="Q65" s="132"/>
      <c r="R65" s="132"/>
      <c r="S65" s="68"/>
      <c r="T65" s="136"/>
      <c r="U65" s="259"/>
      <c r="V65" s="259"/>
      <c r="W65" s="200"/>
    </row>
    <row r="66" spans="1:23" ht="13.5" thickBot="1">
      <c r="A66" s="138"/>
      <c r="K66" s="68"/>
      <c r="P66" s="68"/>
      <c r="Q66" s="132"/>
      <c r="R66" s="132"/>
      <c r="S66" s="68"/>
      <c r="T66" s="136"/>
      <c r="U66" s="259"/>
      <c r="V66" s="259"/>
      <c r="W66" s="200"/>
    </row>
    <row r="67" spans="1:23" ht="12.75">
      <c r="A67" s="68"/>
      <c r="B67" s="612" t="s">
        <v>64</v>
      </c>
      <c r="C67" s="613"/>
      <c r="D67" s="613"/>
      <c r="E67" s="614"/>
      <c r="K67" s="68"/>
      <c r="P67" s="68"/>
      <c r="Q67" s="68"/>
      <c r="R67" s="68"/>
      <c r="S67" s="68"/>
      <c r="T67" s="68"/>
      <c r="U67" s="200"/>
      <c r="V67" s="200"/>
      <c r="W67" s="200"/>
    </row>
    <row r="68" spans="1:23" ht="12.75">
      <c r="A68" s="68"/>
      <c r="B68" s="260"/>
      <c r="C68" s="147" t="s">
        <v>174</v>
      </c>
      <c r="D68" s="147" t="s">
        <v>173</v>
      </c>
      <c r="E68" s="261"/>
      <c r="K68" s="68"/>
      <c r="P68" s="68"/>
      <c r="Q68" s="68"/>
      <c r="R68" s="68"/>
      <c r="S68" s="68"/>
      <c r="T68" s="68"/>
      <c r="U68" s="68"/>
      <c r="V68" s="68"/>
      <c r="W68" s="68"/>
    </row>
    <row r="69" spans="1:23" ht="12.75">
      <c r="A69" s="68"/>
      <c r="B69" s="260" t="s">
        <v>176</v>
      </c>
      <c r="C69" s="147">
        <v>18</v>
      </c>
      <c r="D69" s="147">
        <v>20</v>
      </c>
      <c r="E69" s="261">
        <v>38</v>
      </c>
      <c r="K69" s="68"/>
      <c r="P69" s="68"/>
      <c r="Q69" s="68"/>
      <c r="R69" s="68"/>
      <c r="S69" s="68"/>
      <c r="T69" s="68"/>
      <c r="U69" s="68"/>
      <c r="V69" s="68"/>
      <c r="W69" s="68"/>
    </row>
    <row r="70" spans="1:23" ht="12.75">
      <c r="A70" s="68"/>
      <c r="B70" s="260" t="s">
        <v>175</v>
      </c>
      <c r="C70" s="147">
        <v>15</v>
      </c>
      <c r="D70" s="147">
        <v>47</v>
      </c>
      <c r="E70" s="261">
        <v>62</v>
      </c>
      <c r="K70" s="68"/>
      <c r="P70" s="68"/>
      <c r="Q70" s="68"/>
      <c r="R70" s="68"/>
      <c r="S70" s="68"/>
      <c r="T70" s="68"/>
      <c r="U70" s="68"/>
      <c r="V70" s="68"/>
      <c r="W70" s="68"/>
    </row>
    <row r="71" spans="1:23" ht="12.75">
      <c r="A71" s="68"/>
      <c r="B71" s="260"/>
      <c r="C71" s="147">
        <v>33</v>
      </c>
      <c r="D71" s="147">
        <v>67</v>
      </c>
      <c r="E71" s="261">
        <v>100</v>
      </c>
      <c r="K71" s="68"/>
      <c r="Q71" s="132"/>
      <c r="R71" s="132"/>
      <c r="S71" s="68"/>
      <c r="T71" s="136"/>
      <c r="U71" s="259"/>
      <c r="V71" s="259"/>
      <c r="W71" s="68"/>
    </row>
    <row r="72" spans="1:23" ht="12.75">
      <c r="A72" s="68"/>
      <c r="B72" s="7"/>
      <c r="E72" s="11"/>
      <c r="F72" s="1" t="s">
        <v>125</v>
      </c>
      <c r="K72" s="68"/>
      <c r="L72" s="494" t="s">
        <v>321</v>
      </c>
      <c r="M72" s="495" t="s">
        <v>320</v>
      </c>
      <c r="N72" s="51"/>
      <c r="Q72" s="132"/>
      <c r="R72" s="132"/>
      <c r="S72" s="68"/>
      <c r="T72" s="136"/>
      <c r="U72" s="259"/>
      <c r="V72" s="259"/>
      <c r="W72" s="200"/>
    </row>
    <row r="73" spans="1:23" ht="12.75">
      <c r="A73" s="68"/>
      <c r="B73" s="7" t="s">
        <v>5</v>
      </c>
      <c r="C73" s="429">
        <v>0.5454545454545454</v>
      </c>
      <c r="D73" s="430">
        <v>0.37985938536217456</v>
      </c>
      <c r="E73" s="431">
        <v>0.7015706148612388</v>
      </c>
      <c r="F73" s="30">
        <f>C73/(1-C74)</f>
        <v>1.8272727272727274</v>
      </c>
      <c r="K73" s="68"/>
      <c r="L73" s="494">
        <v>68097</v>
      </c>
      <c r="M73" s="496">
        <v>1</v>
      </c>
      <c r="N73" s="51"/>
      <c r="Q73" s="132"/>
      <c r="R73" s="132"/>
      <c r="S73" s="68"/>
      <c r="T73" s="136"/>
      <c r="U73" s="259"/>
      <c r="V73" s="259"/>
      <c r="W73" s="200"/>
    </row>
    <row r="74" spans="1:23" ht="12.75">
      <c r="A74" s="68"/>
      <c r="B74" s="7" t="s">
        <v>6</v>
      </c>
      <c r="C74" s="429">
        <v>0.7014925373134329</v>
      </c>
      <c r="D74" s="430">
        <v>0.5834478625635623</v>
      </c>
      <c r="E74" s="431">
        <v>0.7976848872339728</v>
      </c>
      <c r="K74" s="68"/>
      <c r="L74" s="494">
        <v>45745</v>
      </c>
      <c r="M74" s="497">
        <f>L74*M73/L73</f>
        <v>0.671762339016403</v>
      </c>
      <c r="N74" s="498" t="s">
        <v>322</v>
      </c>
      <c r="O74" s="132"/>
      <c r="P74" s="136"/>
      <c r="Q74" s="68"/>
      <c r="R74" s="68"/>
      <c r="S74" s="68"/>
      <c r="T74" s="68"/>
      <c r="U74" s="200"/>
      <c r="V74" s="200"/>
      <c r="W74" s="200"/>
    </row>
    <row r="75" spans="1:23" ht="12.75">
      <c r="A75" s="68"/>
      <c r="B75" s="7" t="s">
        <v>24</v>
      </c>
      <c r="C75" s="429">
        <v>0.47368421052631576</v>
      </c>
      <c r="D75" s="430">
        <v>0.3247902332252607</v>
      </c>
      <c r="E75" s="431">
        <v>0.6274102861550332</v>
      </c>
      <c r="K75" s="68"/>
      <c r="P75" s="68"/>
      <c r="Q75" s="68"/>
      <c r="R75" s="68"/>
      <c r="S75" s="68"/>
      <c r="T75" s="68"/>
      <c r="U75" s="68"/>
      <c r="V75" s="68"/>
      <c r="W75" s="68"/>
    </row>
    <row r="76" spans="1:23" ht="13.5" thickBot="1">
      <c r="A76" s="68"/>
      <c r="B76" s="26" t="s">
        <v>25</v>
      </c>
      <c r="C76" s="432">
        <v>0.7580645161290323</v>
      </c>
      <c r="D76" s="433">
        <v>0.6384749248397259</v>
      </c>
      <c r="E76" s="434">
        <v>0.8475410379466625</v>
      </c>
      <c r="K76" s="68"/>
      <c r="P76" s="68"/>
      <c r="Q76" s="68"/>
      <c r="R76" s="68"/>
      <c r="S76" s="68"/>
      <c r="T76" s="68"/>
      <c r="U76" s="68"/>
      <c r="V76" s="68"/>
      <c r="W76" s="68"/>
    </row>
    <row r="77" spans="1:23" ht="13.5" thickBot="1">
      <c r="A77" s="268"/>
      <c r="K77" s="68"/>
      <c r="P77" s="68"/>
      <c r="Q77" s="68"/>
      <c r="R77" s="68"/>
      <c r="S77" s="68"/>
      <c r="T77" s="68"/>
      <c r="U77" s="68"/>
      <c r="V77" s="68"/>
      <c r="W77" s="68"/>
    </row>
    <row r="78" spans="1:23" ht="12.75">
      <c r="A78" s="68"/>
      <c r="B78" s="612" t="s">
        <v>69</v>
      </c>
      <c r="C78" s="613"/>
      <c r="D78" s="613"/>
      <c r="E78" s="614"/>
      <c r="K78" s="68"/>
      <c r="P78" s="68"/>
      <c r="Q78" s="132"/>
      <c r="R78" s="132"/>
      <c r="S78" s="68"/>
      <c r="T78" s="136"/>
      <c r="U78" s="259"/>
      <c r="V78" s="259"/>
      <c r="W78" s="259"/>
    </row>
    <row r="79" spans="1:23" ht="12.75">
      <c r="A79" s="68"/>
      <c r="B79" s="260"/>
      <c r="C79" s="147" t="s">
        <v>174</v>
      </c>
      <c r="D79" s="147" t="s">
        <v>173</v>
      </c>
      <c r="E79" s="261"/>
      <c r="K79" s="68"/>
      <c r="P79" s="68"/>
      <c r="Q79" s="132"/>
      <c r="R79" s="132"/>
      <c r="S79" s="68"/>
      <c r="T79" s="136"/>
      <c r="U79" s="259"/>
      <c r="V79" s="259"/>
      <c r="W79" s="200"/>
    </row>
    <row r="80" spans="1:23" ht="12.75">
      <c r="A80" s="68"/>
      <c r="B80" s="260" t="s">
        <v>178</v>
      </c>
      <c r="C80" s="147">
        <v>12</v>
      </c>
      <c r="D80" s="147">
        <v>11</v>
      </c>
      <c r="E80" s="261">
        <v>23</v>
      </c>
      <c r="K80" s="68"/>
      <c r="P80" s="68"/>
      <c r="Q80" s="132"/>
      <c r="R80" s="132"/>
      <c r="S80" s="68"/>
      <c r="T80" s="136"/>
      <c r="U80" s="259"/>
      <c r="V80" s="259"/>
      <c r="W80" s="200"/>
    </row>
    <row r="81" spans="1:23" ht="12.75">
      <c r="A81" s="68"/>
      <c r="B81" s="260" t="s">
        <v>177</v>
      </c>
      <c r="C81" s="147">
        <v>21</v>
      </c>
      <c r="D81" s="147">
        <v>56</v>
      </c>
      <c r="E81" s="261">
        <v>77</v>
      </c>
      <c r="K81" s="68"/>
      <c r="P81" s="68"/>
      <c r="Q81" s="68"/>
      <c r="R81" s="68"/>
      <c r="S81" s="68"/>
      <c r="T81" s="68"/>
      <c r="U81" s="200"/>
      <c r="V81" s="200"/>
      <c r="W81" s="200"/>
    </row>
    <row r="82" spans="1:23" ht="12.75">
      <c r="A82" s="68"/>
      <c r="B82" s="260"/>
      <c r="C82" s="147">
        <v>33</v>
      </c>
      <c r="D82" s="147">
        <v>67</v>
      </c>
      <c r="E82" s="261">
        <v>100</v>
      </c>
      <c r="K82" s="68"/>
      <c r="P82" s="68"/>
      <c r="Q82" s="68"/>
      <c r="R82" s="68"/>
      <c r="S82" s="68"/>
      <c r="T82" s="68"/>
      <c r="U82" s="68"/>
      <c r="V82" s="68"/>
      <c r="W82" s="68"/>
    </row>
    <row r="83" spans="1:23" ht="12.75">
      <c r="A83" s="68"/>
      <c r="B83" s="7"/>
      <c r="E83" s="11"/>
      <c r="F83" s="1" t="s">
        <v>125</v>
      </c>
      <c r="K83" s="68"/>
      <c r="P83" s="68"/>
      <c r="Q83" s="68"/>
      <c r="R83" s="68"/>
      <c r="S83" s="68"/>
      <c r="T83" s="68"/>
      <c r="U83" s="68"/>
      <c r="V83" s="68"/>
      <c r="W83" s="68"/>
    </row>
    <row r="84" spans="1:23" ht="12.75">
      <c r="A84" s="68"/>
      <c r="B84" s="7" t="s">
        <v>5</v>
      </c>
      <c r="C84" s="429">
        <v>0.36363636363636365</v>
      </c>
      <c r="D84" s="430">
        <v>0.22187178235242352</v>
      </c>
      <c r="E84" s="431">
        <v>0.5338382169773361</v>
      </c>
      <c r="F84" s="30">
        <f>C84/(1-C85)</f>
        <v>2.214876033057851</v>
      </c>
      <c r="G84" s="242"/>
      <c r="H84" s="226"/>
      <c r="K84" s="68"/>
      <c r="P84" s="68"/>
      <c r="Q84" s="68"/>
      <c r="R84" s="68"/>
      <c r="S84" s="68"/>
      <c r="T84" s="68"/>
      <c r="U84" s="68"/>
      <c r="V84" s="68"/>
      <c r="W84" s="68"/>
    </row>
    <row r="85" spans="1:23" ht="12.75">
      <c r="A85" s="68"/>
      <c r="B85" s="7" t="s">
        <v>6</v>
      </c>
      <c r="C85" s="429">
        <v>0.835820895522388</v>
      </c>
      <c r="D85" s="430">
        <v>0.7294473706077897</v>
      </c>
      <c r="E85" s="431">
        <v>0.9057738790547688</v>
      </c>
      <c r="I85" s="269"/>
      <c r="K85" s="68"/>
      <c r="P85" s="68"/>
      <c r="Q85" s="68"/>
      <c r="R85" s="68"/>
      <c r="S85" s="68"/>
      <c r="T85" s="68"/>
      <c r="U85" s="68"/>
      <c r="V85" s="68"/>
      <c r="W85" s="68"/>
    </row>
    <row r="86" spans="1:23" ht="15">
      <c r="A86" s="68"/>
      <c r="B86" s="7" t="s">
        <v>24</v>
      </c>
      <c r="C86" s="429">
        <v>0.5217391304347826</v>
      </c>
      <c r="D86" s="430">
        <v>0.329627373364274</v>
      </c>
      <c r="E86" s="431">
        <v>0.7076284258335335</v>
      </c>
      <c r="G86" s="243"/>
      <c r="H86" s="270"/>
      <c r="I86" s="269"/>
      <c r="K86" s="68"/>
      <c r="P86" s="68"/>
      <c r="Q86" s="68"/>
      <c r="R86" s="68"/>
      <c r="S86" s="68"/>
      <c r="T86" s="68"/>
      <c r="U86" s="68"/>
      <c r="V86" s="68"/>
      <c r="W86" s="68"/>
    </row>
    <row r="87" spans="1:23" ht="15.75" thickBot="1">
      <c r="A87" s="68"/>
      <c r="B87" s="26" t="s">
        <v>25</v>
      </c>
      <c r="C87" s="432">
        <v>0.7272727272727273</v>
      </c>
      <c r="D87" s="433">
        <v>0.6187910782504654</v>
      </c>
      <c r="E87" s="434">
        <v>0.8141550920757009</v>
      </c>
      <c r="H87" s="270"/>
      <c r="I87" s="269"/>
      <c r="K87" s="68"/>
      <c r="P87" s="68"/>
      <c r="Q87" s="68"/>
      <c r="R87" s="68"/>
      <c r="S87" s="68"/>
      <c r="T87" s="68"/>
      <c r="U87" s="68"/>
      <c r="V87" s="68"/>
      <c r="W87" s="68"/>
    </row>
    <row r="88" spans="1:23" ht="15.75" thickBot="1">
      <c r="A88" s="68"/>
      <c r="H88" s="270"/>
      <c r="K88" s="68"/>
      <c r="L88" s="30"/>
      <c r="P88" s="68"/>
      <c r="Q88" s="68"/>
      <c r="R88" s="68"/>
      <c r="S88" s="68"/>
      <c r="T88" s="68"/>
      <c r="U88" s="68"/>
      <c r="V88" s="68"/>
      <c r="W88" s="68"/>
    </row>
    <row r="89" spans="1:23" ht="12.75">
      <c r="A89" s="68"/>
      <c r="B89" s="612" t="s">
        <v>72</v>
      </c>
      <c r="C89" s="613"/>
      <c r="D89" s="613"/>
      <c r="E89" s="614"/>
      <c r="G89" s="68" t="s">
        <v>277</v>
      </c>
      <c r="K89" s="68"/>
      <c r="P89" s="68"/>
      <c r="Q89" s="132"/>
      <c r="R89" s="132"/>
      <c r="S89" s="68"/>
      <c r="T89" s="136"/>
      <c r="U89" s="259"/>
      <c r="V89" s="259"/>
      <c r="W89" s="259"/>
    </row>
    <row r="90" spans="1:23" ht="12.75">
      <c r="A90" s="68"/>
      <c r="B90" s="260"/>
      <c r="C90" s="147" t="s">
        <v>174</v>
      </c>
      <c r="D90" s="147" t="s">
        <v>173</v>
      </c>
      <c r="E90" s="261"/>
      <c r="G90" s="68" t="s">
        <v>273</v>
      </c>
      <c r="K90" s="68"/>
      <c r="P90" s="68"/>
      <c r="Q90" s="132"/>
      <c r="R90" s="132"/>
      <c r="S90" s="68"/>
      <c r="T90" s="136"/>
      <c r="U90" s="259"/>
      <c r="V90" s="259"/>
      <c r="W90" s="200"/>
    </row>
    <row r="91" spans="1:23" ht="12.75">
      <c r="A91" s="68"/>
      <c r="B91" s="260" t="s">
        <v>180</v>
      </c>
      <c r="C91" s="147">
        <v>6</v>
      </c>
      <c r="D91" s="147">
        <v>4</v>
      </c>
      <c r="E91" s="261">
        <v>10</v>
      </c>
      <c r="G91" s="68" t="s">
        <v>324</v>
      </c>
      <c r="K91" s="68"/>
      <c r="P91" s="68"/>
      <c r="Q91" s="132"/>
      <c r="R91" s="132"/>
      <c r="S91" s="68"/>
      <c r="T91" s="136"/>
      <c r="U91" s="259"/>
      <c r="V91" s="259"/>
      <c r="W91" s="200"/>
    </row>
    <row r="92" spans="1:23" ht="12.75">
      <c r="A92" s="68"/>
      <c r="B92" s="260" t="s">
        <v>179</v>
      </c>
      <c r="C92" s="147">
        <v>27</v>
      </c>
      <c r="D92" s="147">
        <v>63</v>
      </c>
      <c r="E92" s="261">
        <v>90</v>
      </c>
      <c r="G92" s="1" t="s">
        <v>274</v>
      </c>
      <c r="K92" s="68"/>
      <c r="P92" s="68"/>
      <c r="Q92" s="68"/>
      <c r="R92" s="68"/>
      <c r="S92" s="68"/>
      <c r="T92" s="68"/>
      <c r="U92" s="200"/>
      <c r="V92" s="200"/>
      <c r="W92" s="200"/>
    </row>
    <row r="93" spans="1:23" ht="12.75">
      <c r="A93" s="68"/>
      <c r="B93" s="260"/>
      <c r="C93" s="147">
        <v>33</v>
      </c>
      <c r="D93" s="147">
        <v>67</v>
      </c>
      <c r="E93" s="261">
        <v>100</v>
      </c>
      <c r="G93" s="1" t="s">
        <v>275</v>
      </c>
      <c r="K93" s="68"/>
      <c r="P93" s="68"/>
      <c r="Q93" s="68"/>
      <c r="R93" s="68"/>
      <c r="S93" s="68"/>
      <c r="T93" s="68"/>
      <c r="U93" s="68"/>
      <c r="V93" s="68"/>
      <c r="W93" s="68"/>
    </row>
    <row r="94" spans="1:23" ht="12.75">
      <c r="A94" s="68"/>
      <c r="B94" s="7"/>
      <c r="E94" s="11"/>
      <c r="F94" s="1" t="s">
        <v>125</v>
      </c>
      <c r="G94" s="1" t="s">
        <v>323</v>
      </c>
      <c r="K94" s="68"/>
      <c r="P94" s="68"/>
      <c r="Q94" s="68"/>
      <c r="R94" s="68"/>
      <c r="S94" s="68"/>
      <c r="T94" s="68"/>
      <c r="U94" s="68"/>
      <c r="V94" s="68"/>
      <c r="W94" s="68"/>
    </row>
    <row r="95" spans="1:23" ht="12.75">
      <c r="A95" s="68"/>
      <c r="B95" s="7" t="s">
        <v>5</v>
      </c>
      <c r="C95" s="429">
        <v>0.18181818181818182</v>
      </c>
      <c r="D95" s="430">
        <v>0.08610768208940664</v>
      </c>
      <c r="E95" s="431">
        <v>0.34388231634669925</v>
      </c>
      <c r="F95" s="30">
        <f>C95/(1-C96)</f>
        <v>3.045454545454548</v>
      </c>
      <c r="G95" s="68" t="s">
        <v>276</v>
      </c>
      <c r="K95" s="68"/>
      <c r="P95" s="68"/>
      <c r="Q95" s="68"/>
      <c r="R95" s="68"/>
      <c r="S95" s="68"/>
      <c r="T95" s="68"/>
      <c r="U95" s="68"/>
      <c r="V95" s="68"/>
      <c r="W95" s="68"/>
    </row>
    <row r="96" spans="1:23" ht="12.75">
      <c r="A96" s="268"/>
      <c r="B96" s="7" t="s">
        <v>6</v>
      </c>
      <c r="C96" s="429">
        <v>0.9402985074626866</v>
      </c>
      <c r="D96" s="430">
        <v>0.8563049895862845</v>
      </c>
      <c r="E96" s="431">
        <v>0.976540648860181</v>
      </c>
      <c r="G96" s="68" t="s">
        <v>253</v>
      </c>
      <c r="K96" s="68"/>
      <c r="P96" s="68"/>
      <c r="Q96" s="68"/>
      <c r="R96" s="68"/>
      <c r="S96" s="68"/>
      <c r="T96" s="68"/>
      <c r="U96" s="68"/>
      <c r="V96" s="68"/>
      <c r="W96" s="68"/>
    </row>
    <row r="97" spans="1:23" ht="12.75">
      <c r="A97" s="68"/>
      <c r="B97" s="7" t="s">
        <v>24</v>
      </c>
      <c r="C97" s="429">
        <v>0.6</v>
      </c>
      <c r="D97" s="430">
        <v>0.31267376973365824</v>
      </c>
      <c r="E97" s="431">
        <v>0.8318196702937638</v>
      </c>
      <c r="K97" s="68"/>
      <c r="P97" s="68"/>
      <c r="Q97" s="68"/>
      <c r="R97" s="68"/>
      <c r="S97" s="68"/>
      <c r="T97" s="68"/>
      <c r="U97" s="68"/>
      <c r="V97" s="68"/>
      <c r="W97" s="68"/>
    </row>
    <row r="98" spans="1:23" ht="13.5" thickBot="1">
      <c r="A98" s="68"/>
      <c r="B98" s="26" t="s">
        <v>25</v>
      </c>
      <c r="C98" s="432">
        <v>0.7</v>
      </c>
      <c r="D98" s="433">
        <v>0.598734894751539</v>
      </c>
      <c r="E98" s="434">
        <v>0.7848908550227304</v>
      </c>
      <c r="K98" s="68"/>
      <c r="P98" s="68"/>
      <c r="Q98" s="68"/>
      <c r="R98" s="68"/>
      <c r="S98" s="68"/>
      <c r="T98" s="68"/>
      <c r="U98" s="68"/>
      <c r="V98" s="68"/>
      <c r="W98" s="68"/>
    </row>
    <row r="99" spans="1:23" ht="13.5" thickBot="1">
      <c r="A99" s="68"/>
      <c r="K99" s="68"/>
      <c r="P99" s="68"/>
      <c r="Q99" s="68"/>
      <c r="R99" s="68"/>
      <c r="S99" s="68"/>
      <c r="T99" s="68"/>
      <c r="U99" s="68"/>
      <c r="V99" s="68"/>
      <c r="W99" s="68"/>
    </row>
    <row r="100" spans="1:23" ht="12.75">
      <c r="A100" s="68"/>
      <c r="B100" s="612" t="s">
        <v>73</v>
      </c>
      <c r="C100" s="613"/>
      <c r="D100" s="613"/>
      <c r="E100" s="614"/>
      <c r="K100" s="68"/>
      <c r="P100" s="68"/>
      <c r="Q100" s="68"/>
      <c r="R100" s="68"/>
      <c r="S100" s="68"/>
      <c r="T100" s="68"/>
      <c r="U100" s="68"/>
      <c r="V100" s="68"/>
      <c r="W100" s="68"/>
    </row>
    <row r="101" spans="1:23" ht="12.75">
      <c r="A101" s="68"/>
      <c r="B101" s="260"/>
      <c r="C101" s="147" t="s">
        <v>174</v>
      </c>
      <c r="D101" s="147" t="s">
        <v>173</v>
      </c>
      <c r="E101" s="261"/>
      <c r="K101" s="68"/>
      <c r="P101" s="68"/>
      <c r="Q101" s="68"/>
      <c r="R101" s="68"/>
      <c r="S101" s="68"/>
      <c r="T101" s="68"/>
      <c r="U101" s="68"/>
      <c r="V101" s="68"/>
      <c r="W101" s="68"/>
    </row>
    <row r="102" spans="1:23" ht="12.75">
      <c r="A102" s="68"/>
      <c r="B102" s="260" t="s">
        <v>182</v>
      </c>
      <c r="C102" s="147">
        <v>3</v>
      </c>
      <c r="D102" s="147">
        <v>1</v>
      </c>
      <c r="E102" s="261">
        <v>4</v>
      </c>
      <c r="K102" s="68"/>
      <c r="P102" s="68"/>
      <c r="Q102" s="132"/>
      <c r="R102" s="132"/>
      <c r="S102" s="68"/>
      <c r="T102" s="136"/>
      <c r="U102" s="259"/>
      <c r="V102" s="259"/>
      <c r="W102" s="68"/>
    </row>
    <row r="103" spans="1:23" ht="12.75">
      <c r="A103" s="68"/>
      <c r="B103" s="260" t="s">
        <v>181</v>
      </c>
      <c r="C103" s="147">
        <v>30</v>
      </c>
      <c r="D103" s="147">
        <v>66</v>
      </c>
      <c r="E103" s="261">
        <v>96</v>
      </c>
      <c r="K103" s="68"/>
      <c r="P103" s="68"/>
      <c r="Q103" s="132"/>
      <c r="R103" s="132"/>
      <c r="S103" s="68"/>
      <c r="T103" s="136"/>
      <c r="U103" s="259"/>
      <c r="V103" s="259"/>
      <c r="W103" s="200"/>
    </row>
    <row r="104" spans="1:23" ht="12.75">
      <c r="A104" s="68"/>
      <c r="B104" s="260"/>
      <c r="C104" s="147">
        <v>33</v>
      </c>
      <c r="D104" s="147">
        <v>67</v>
      </c>
      <c r="E104" s="261">
        <v>100</v>
      </c>
      <c r="K104" s="68"/>
      <c r="P104" s="68"/>
      <c r="Q104" s="132"/>
      <c r="R104" s="132"/>
      <c r="S104" s="68"/>
      <c r="T104" s="136"/>
      <c r="U104" s="259"/>
      <c r="V104" s="259"/>
      <c r="W104" s="200"/>
    </row>
    <row r="105" spans="1:23" ht="12.75">
      <c r="A105" s="68"/>
      <c r="B105" s="7"/>
      <c r="E105" s="11"/>
      <c r="F105" s="1" t="s">
        <v>125</v>
      </c>
      <c r="K105" s="68"/>
      <c r="P105" s="68"/>
      <c r="Q105" s="68"/>
      <c r="R105" s="68"/>
      <c r="S105" s="68"/>
      <c r="T105" s="68"/>
      <c r="U105" s="200"/>
      <c r="V105" s="200"/>
      <c r="W105" s="200"/>
    </row>
    <row r="106" spans="1:23" ht="12.75">
      <c r="A106" s="68"/>
      <c r="B106" s="7" t="s">
        <v>5</v>
      </c>
      <c r="C106" s="429">
        <v>0.09090909090909091</v>
      </c>
      <c r="D106" s="430">
        <v>0.03140394152458165</v>
      </c>
      <c r="E106" s="431">
        <v>0.23572605646469735</v>
      </c>
      <c r="F106" s="30">
        <f>C106/(1-C107)</f>
        <v>6.090909090909073</v>
      </c>
      <c r="K106" s="68"/>
      <c r="P106" s="68"/>
      <c r="Q106" s="68"/>
      <c r="R106" s="68"/>
      <c r="S106" s="68"/>
      <c r="T106" s="68"/>
      <c r="U106" s="68"/>
      <c r="V106" s="68"/>
      <c r="W106" s="68"/>
    </row>
    <row r="107" spans="1:11" ht="12.75">
      <c r="A107" s="68"/>
      <c r="B107" s="7" t="s">
        <v>6</v>
      </c>
      <c r="C107" s="429">
        <v>0.9850746268656716</v>
      </c>
      <c r="D107" s="430">
        <v>0.9201813768022189</v>
      </c>
      <c r="E107" s="431">
        <v>0.9973604282659212</v>
      </c>
      <c r="K107" s="68"/>
    </row>
    <row r="108" spans="1:11" ht="12.75">
      <c r="A108" s="68"/>
      <c r="B108" s="7" t="s">
        <v>24</v>
      </c>
      <c r="C108" s="429">
        <v>0.75</v>
      </c>
      <c r="D108" s="430">
        <v>0.30064184258240184</v>
      </c>
      <c r="E108" s="431">
        <v>0.9544127391902995</v>
      </c>
      <c r="K108" s="271"/>
    </row>
    <row r="109" spans="1:11" ht="13.5" thickBot="1">
      <c r="A109" s="68"/>
      <c r="B109" s="26" t="s">
        <v>25</v>
      </c>
      <c r="C109" s="432">
        <v>0.6875</v>
      </c>
      <c r="D109" s="433">
        <v>0.589081200930873</v>
      </c>
      <c r="E109" s="434">
        <v>0.7714904536224987</v>
      </c>
      <c r="K109" s="68"/>
    </row>
    <row r="110" spans="1:11" ht="12.75">
      <c r="A110" s="68"/>
      <c r="K110" s="68"/>
    </row>
    <row r="111" spans="1:11" ht="12.75">
      <c r="A111" s="68"/>
      <c r="K111" s="68"/>
    </row>
    <row r="112" spans="1:11" ht="12.75">
      <c r="A112" s="68"/>
      <c r="K112" s="255"/>
    </row>
    <row r="113" spans="1:11" ht="13.5" thickBot="1">
      <c r="A113" s="68"/>
      <c r="K113" s="68"/>
    </row>
    <row r="114" spans="1:12" ht="13.5" thickBot="1">
      <c r="A114" s="68"/>
      <c r="E114" s="439"/>
      <c r="F114" s="65"/>
      <c r="G114" s="627" t="s">
        <v>301</v>
      </c>
      <c r="H114" s="628"/>
      <c r="I114" s="628"/>
      <c r="J114" s="628"/>
      <c r="K114" s="628"/>
      <c r="L114" s="629"/>
    </row>
    <row r="115" spans="1:12" ht="13.5" thickBot="1">
      <c r="A115" s="68"/>
      <c r="E115" s="142"/>
      <c r="F115" s="142"/>
      <c r="G115" s="630" t="s">
        <v>289</v>
      </c>
      <c r="H115" s="631"/>
      <c r="I115" s="632"/>
      <c r="J115" s="630" t="s">
        <v>290</v>
      </c>
      <c r="K115" s="631"/>
      <c r="L115" s="632"/>
    </row>
    <row r="116" spans="1:13" ht="15">
      <c r="A116" s="441" t="s">
        <v>286</v>
      </c>
      <c r="B116" s="441" t="s">
        <v>287</v>
      </c>
      <c r="C116" s="441" t="s">
        <v>288</v>
      </c>
      <c r="E116" s="619" t="s">
        <v>302</v>
      </c>
      <c r="F116" s="622" t="s">
        <v>291</v>
      </c>
      <c r="G116" s="449"/>
      <c r="H116" s="449"/>
      <c r="I116" s="450"/>
      <c r="J116" s="451"/>
      <c r="K116" s="449"/>
      <c r="L116" s="340"/>
      <c r="M116" s="142"/>
    </row>
    <row r="117" spans="1:13" ht="12.75">
      <c r="A117" s="446">
        <v>52</v>
      </c>
      <c r="B117" s="447">
        <v>1</v>
      </c>
      <c r="C117" s="447"/>
      <c r="E117" s="620"/>
      <c r="F117" s="623"/>
      <c r="G117" s="449"/>
      <c r="H117" s="449"/>
      <c r="I117" s="450"/>
      <c r="J117" s="451"/>
      <c r="K117" s="449"/>
      <c r="L117" s="340"/>
      <c r="M117" s="142"/>
    </row>
    <row r="118" spans="1:13" ht="15">
      <c r="A118" s="446">
        <v>53</v>
      </c>
      <c r="B118" s="448"/>
      <c r="C118" s="448"/>
      <c r="E118" s="620"/>
      <c r="F118" s="623"/>
      <c r="G118" s="449"/>
      <c r="H118" s="442" t="s">
        <v>292</v>
      </c>
      <c r="I118" s="450"/>
      <c r="J118" s="443" t="s">
        <v>318</v>
      </c>
      <c r="K118" s="449"/>
      <c r="L118" s="340"/>
      <c r="M118" s="142"/>
    </row>
    <row r="119" spans="1:13" ht="12.75">
      <c r="A119" s="446">
        <v>54</v>
      </c>
      <c r="B119" s="448"/>
      <c r="C119" s="448"/>
      <c r="E119" s="620"/>
      <c r="F119" s="624"/>
      <c r="G119" s="452"/>
      <c r="H119" s="452"/>
      <c r="I119" s="453"/>
      <c r="J119" s="454"/>
      <c r="K119" s="452"/>
      <c r="L119" s="455"/>
      <c r="M119" s="142"/>
    </row>
    <row r="120" spans="1:13" ht="12.75">
      <c r="A120" s="446">
        <v>55</v>
      </c>
      <c r="B120" s="448"/>
      <c r="C120" s="448"/>
      <c r="E120" s="620"/>
      <c r="F120" s="625" t="s">
        <v>293</v>
      </c>
      <c r="G120" s="456"/>
      <c r="H120" s="456"/>
      <c r="I120" s="457"/>
      <c r="J120" s="458"/>
      <c r="K120" s="456"/>
      <c r="L120" s="459"/>
      <c r="M120" s="142"/>
    </row>
    <row r="121" spans="1:13" ht="15">
      <c r="A121" s="446">
        <v>56</v>
      </c>
      <c r="B121" s="448"/>
      <c r="C121" s="448"/>
      <c r="E121" s="620"/>
      <c r="F121" s="623"/>
      <c r="G121" s="449"/>
      <c r="H121" s="444" t="s">
        <v>319</v>
      </c>
      <c r="I121" s="450"/>
      <c r="J121" s="445" t="s">
        <v>294</v>
      </c>
      <c r="K121" s="449"/>
      <c r="L121" s="340"/>
      <c r="M121" s="142"/>
    </row>
    <row r="122" spans="1:13" ht="12.75">
      <c r="A122" s="446">
        <v>57</v>
      </c>
      <c r="B122" s="448"/>
      <c r="C122" s="448"/>
      <c r="E122" s="620"/>
      <c r="F122" s="623"/>
      <c r="G122" s="449"/>
      <c r="H122" s="449"/>
      <c r="I122" s="450"/>
      <c r="J122" s="451"/>
      <c r="K122" s="449"/>
      <c r="L122" s="340"/>
      <c r="M122" s="142"/>
    </row>
    <row r="123" spans="1:13" ht="13.5" thickBot="1">
      <c r="A123" s="446">
        <v>58</v>
      </c>
      <c r="B123" s="448">
        <v>1</v>
      </c>
      <c r="C123" s="448"/>
      <c r="E123" s="621"/>
      <c r="F123" s="626"/>
      <c r="G123" s="461"/>
      <c r="H123" s="461"/>
      <c r="I123" s="462"/>
      <c r="J123" s="463"/>
      <c r="K123" s="461"/>
      <c r="L123" s="464"/>
      <c r="M123" s="449"/>
    </row>
    <row r="124" spans="1:13" ht="12.75">
      <c r="A124" s="446">
        <v>59</v>
      </c>
      <c r="B124" s="448"/>
      <c r="C124" s="448"/>
      <c r="L124" s="449"/>
      <c r="M124" s="449"/>
    </row>
    <row r="125" spans="1:13" ht="12.75">
      <c r="A125" s="446">
        <v>60</v>
      </c>
      <c r="B125" s="448"/>
      <c r="C125" s="448">
        <v>1</v>
      </c>
      <c r="D125" s="142"/>
      <c r="E125" s="1" t="s">
        <v>303</v>
      </c>
      <c r="L125" s="449"/>
      <c r="M125" s="449"/>
    </row>
    <row r="126" spans="1:13" ht="12.75">
      <c r="A126" s="446">
        <v>61</v>
      </c>
      <c r="B126" s="448"/>
      <c r="C126" s="448"/>
      <c r="D126" s="142"/>
      <c r="L126" s="449"/>
      <c r="M126" s="449"/>
    </row>
    <row r="127" spans="1:13" ht="12.75">
      <c r="A127" s="446">
        <v>62</v>
      </c>
      <c r="B127" s="448">
        <v>1</v>
      </c>
      <c r="C127" s="448"/>
      <c r="D127" s="142"/>
      <c r="E127" s="1" t="s">
        <v>325</v>
      </c>
      <c r="L127" s="449"/>
      <c r="M127" s="449"/>
    </row>
    <row r="128" spans="1:13" ht="12.75">
      <c r="A128" s="446">
        <v>63</v>
      </c>
      <c r="B128" s="448"/>
      <c r="C128" s="448"/>
      <c r="D128" s="142"/>
      <c r="L128" s="449"/>
      <c r="M128" s="449"/>
    </row>
    <row r="129" spans="1:13" ht="12.75">
      <c r="A129" s="446">
        <v>64</v>
      </c>
      <c r="B129" s="448"/>
      <c r="C129" s="448"/>
      <c r="D129" s="142"/>
      <c r="L129" s="449"/>
      <c r="M129" s="449"/>
    </row>
    <row r="130" spans="1:13" ht="12.75">
      <c r="A130" s="460">
        <v>65</v>
      </c>
      <c r="B130" s="448">
        <v>1</v>
      </c>
      <c r="C130" s="448"/>
      <c r="D130" s="142"/>
      <c r="L130" s="449"/>
      <c r="M130" s="449"/>
    </row>
    <row r="131" spans="1:13" ht="12.75">
      <c r="A131" s="446">
        <v>66</v>
      </c>
      <c r="B131" s="448"/>
      <c r="C131" s="448">
        <v>1</v>
      </c>
      <c r="D131" s="142"/>
      <c r="E131" s="142"/>
      <c r="F131" s="449"/>
      <c r="G131" s="134"/>
      <c r="H131" s="134"/>
      <c r="I131" s="134"/>
      <c r="J131" s="134"/>
      <c r="K131" s="449"/>
      <c r="L131" s="449"/>
      <c r="M131" s="142"/>
    </row>
    <row r="132" spans="1:13" ht="12.75">
      <c r="A132" s="446">
        <v>67</v>
      </c>
      <c r="B132" s="448">
        <v>1</v>
      </c>
      <c r="C132" s="448"/>
      <c r="D132" s="142"/>
      <c r="E132" s="142"/>
      <c r="F132" s="449"/>
      <c r="G132" s="449"/>
      <c r="H132" s="449"/>
      <c r="I132" s="449"/>
      <c r="J132" s="449"/>
      <c r="K132" s="449"/>
      <c r="L132" s="449"/>
      <c r="M132" s="142"/>
    </row>
    <row r="133" spans="1:13" ht="12.75">
      <c r="A133" s="446">
        <v>68</v>
      </c>
      <c r="B133" s="448">
        <v>1</v>
      </c>
      <c r="C133" s="448">
        <v>1</v>
      </c>
      <c r="D133" s="142"/>
      <c r="E133" s="142"/>
      <c r="F133" s="449"/>
      <c r="G133" s="449"/>
      <c r="H133" s="449"/>
      <c r="I133" s="449"/>
      <c r="J133" s="449"/>
      <c r="K133" s="449"/>
      <c r="L133" s="449"/>
      <c r="M133" s="142"/>
    </row>
    <row r="134" spans="1:13" ht="12.75">
      <c r="A134" s="446">
        <v>69</v>
      </c>
      <c r="B134" s="448"/>
      <c r="C134" s="448">
        <v>1</v>
      </c>
      <c r="D134" s="142"/>
      <c r="E134" s="142"/>
      <c r="F134" s="449"/>
      <c r="G134" s="449"/>
      <c r="H134" s="449"/>
      <c r="I134" s="449"/>
      <c r="J134" s="449"/>
      <c r="K134" s="449"/>
      <c r="L134" s="449"/>
      <c r="M134" s="142"/>
    </row>
    <row r="135" spans="1:13" ht="12.75">
      <c r="A135" s="460">
        <v>70</v>
      </c>
      <c r="B135" s="448">
        <v>1</v>
      </c>
      <c r="C135" s="448"/>
      <c r="D135" s="142"/>
      <c r="E135" s="142"/>
      <c r="F135" s="449"/>
      <c r="G135" s="449"/>
      <c r="H135" s="449"/>
      <c r="I135" s="449"/>
      <c r="J135" s="449"/>
      <c r="K135" s="449"/>
      <c r="L135" s="449"/>
      <c r="M135" s="142"/>
    </row>
    <row r="136" spans="1:13" ht="12.75">
      <c r="A136" s="446">
        <v>71</v>
      </c>
      <c r="B136" s="448"/>
      <c r="C136" s="448">
        <v>3</v>
      </c>
      <c r="D136" s="142"/>
      <c r="E136" s="142"/>
      <c r="F136" s="449"/>
      <c r="G136" s="449"/>
      <c r="H136" s="449"/>
      <c r="I136" s="449"/>
      <c r="J136" s="449"/>
      <c r="K136" s="449"/>
      <c r="L136" s="449"/>
      <c r="M136" s="142"/>
    </row>
    <row r="137" spans="1:13" ht="12.75">
      <c r="A137" s="446">
        <v>72</v>
      </c>
      <c r="B137" s="448">
        <v>3</v>
      </c>
      <c r="C137" s="448"/>
      <c r="D137" s="142"/>
      <c r="E137" s="142"/>
      <c r="F137" s="449"/>
      <c r="G137" s="449"/>
      <c r="H137" s="449"/>
      <c r="I137" s="449"/>
      <c r="J137" s="449"/>
      <c r="K137" s="449"/>
      <c r="L137" s="449"/>
      <c r="M137" s="142"/>
    </row>
    <row r="138" spans="1:13" ht="12.75">
      <c r="A138" s="446">
        <v>73</v>
      </c>
      <c r="B138" s="448">
        <v>2</v>
      </c>
      <c r="C138" s="448">
        <v>1</v>
      </c>
      <c r="D138" s="142"/>
      <c r="E138" s="142"/>
      <c r="F138" s="449"/>
      <c r="G138" s="449"/>
      <c r="H138" s="449"/>
      <c r="I138" s="449"/>
      <c r="J138" s="449"/>
      <c r="K138" s="449"/>
      <c r="L138" s="449"/>
      <c r="M138" s="142"/>
    </row>
    <row r="139" spans="1:13" ht="12.75">
      <c r="A139" s="446">
        <v>74</v>
      </c>
      <c r="B139" s="448">
        <v>1</v>
      </c>
      <c r="C139" s="448">
        <v>3</v>
      </c>
      <c r="D139" s="142"/>
      <c r="E139" s="142"/>
      <c r="F139" s="449"/>
      <c r="G139" s="449"/>
      <c r="H139" s="449"/>
      <c r="I139" s="449"/>
      <c r="J139" s="449"/>
      <c r="K139" s="449"/>
      <c r="L139" s="449"/>
      <c r="M139" s="142"/>
    </row>
    <row r="140" spans="1:13" ht="12.75">
      <c r="A140" s="460">
        <v>75</v>
      </c>
      <c r="B140" s="448">
        <v>1</v>
      </c>
      <c r="C140" s="448"/>
      <c r="D140" s="142"/>
      <c r="E140" s="142"/>
      <c r="F140" s="142"/>
      <c r="G140" s="142"/>
      <c r="H140" s="142"/>
      <c r="I140" s="142"/>
      <c r="J140" s="142"/>
      <c r="K140" s="142"/>
      <c r="L140" s="142"/>
      <c r="M140" s="142"/>
    </row>
    <row r="141" spans="1:13" ht="12.75">
      <c r="A141" s="446">
        <v>76</v>
      </c>
      <c r="B141" s="448"/>
      <c r="C141" s="448">
        <v>2</v>
      </c>
      <c r="D141" s="142"/>
      <c r="E141" s="142"/>
      <c r="F141" s="142"/>
      <c r="G141" s="142"/>
      <c r="H141" s="142"/>
      <c r="I141" s="142"/>
      <c r="J141" s="142"/>
      <c r="K141" s="142"/>
      <c r="L141" s="142"/>
      <c r="M141" s="142"/>
    </row>
    <row r="142" spans="1:13" ht="12.75">
      <c r="A142" s="446">
        <v>77</v>
      </c>
      <c r="B142" s="448">
        <v>3</v>
      </c>
      <c r="C142" s="448">
        <v>3</v>
      </c>
      <c r="D142" s="142"/>
      <c r="E142" s="142"/>
      <c r="F142" s="142"/>
      <c r="G142" s="142"/>
      <c r="H142" s="142"/>
      <c r="I142" s="142"/>
      <c r="J142" s="142"/>
      <c r="K142" s="142"/>
      <c r="L142" s="142"/>
      <c r="M142" s="142"/>
    </row>
    <row r="143" spans="1:13" ht="12.75">
      <c r="A143" s="446">
        <v>78</v>
      </c>
      <c r="B143" s="448">
        <v>2</v>
      </c>
      <c r="C143" s="448">
        <v>1</v>
      </c>
      <c r="D143" s="142"/>
      <c r="E143" s="142"/>
      <c r="F143" s="142"/>
      <c r="G143" s="142"/>
      <c r="H143" s="142"/>
      <c r="I143" s="142"/>
      <c r="J143" s="142"/>
      <c r="K143" s="142"/>
      <c r="L143" s="142"/>
      <c r="M143" s="142"/>
    </row>
    <row r="144" spans="1:13" ht="12.75">
      <c r="A144" s="446">
        <v>79</v>
      </c>
      <c r="B144" s="448"/>
      <c r="C144" s="448">
        <v>3</v>
      </c>
      <c r="D144" s="142"/>
      <c r="E144" s="142"/>
      <c r="F144" s="142"/>
      <c r="G144" s="142"/>
      <c r="H144" s="142"/>
      <c r="I144" s="142"/>
      <c r="J144" s="142"/>
      <c r="K144" s="142"/>
      <c r="L144" s="142"/>
      <c r="M144" s="142"/>
    </row>
    <row r="145" spans="1:13" ht="12.75">
      <c r="A145" s="460">
        <v>80</v>
      </c>
      <c r="B145" s="448">
        <v>2</v>
      </c>
      <c r="C145" s="448">
        <v>2</v>
      </c>
      <c r="D145" s="142"/>
      <c r="E145" s="142"/>
      <c r="F145" s="142"/>
      <c r="G145" s="142"/>
      <c r="H145" s="142"/>
      <c r="I145" s="142"/>
      <c r="J145" s="142"/>
      <c r="K145" s="142"/>
      <c r="L145" s="142"/>
      <c r="M145" s="142"/>
    </row>
    <row r="146" spans="1:13" ht="12.75">
      <c r="A146" s="446">
        <v>81</v>
      </c>
      <c r="B146" s="448">
        <v>4</v>
      </c>
      <c r="C146" s="448">
        <v>2</v>
      </c>
      <c r="D146" s="142"/>
      <c r="E146" s="142"/>
      <c r="F146" s="142"/>
      <c r="G146" s="142"/>
      <c r="H146" s="142"/>
      <c r="I146" s="142"/>
      <c r="J146" s="142"/>
      <c r="K146" s="142"/>
      <c r="L146" s="142"/>
      <c r="M146" s="142"/>
    </row>
    <row r="147" spans="1:13" ht="12.75">
      <c r="A147" s="446">
        <v>82</v>
      </c>
      <c r="B147" s="448"/>
      <c r="C147" s="448">
        <v>3</v>
      </c>
      <c r="D147" s="142"/>
      <c r="E147" s="142"/>
      <c r="F147" s="142"/>
      <c r="G147" s="142"/>
      <c r="H147" s="142"/>
      <c r="I147" s="142"/>
      <c r="J147" s="142"/>
      <c r="K147" s="142"/>
      <c r="L147" s="142"/>
      <c r="M147" s="142"/>
    </row>
    <row r="148" spans="1:13" ht="12.75">
      <c r="A148" s="446">
        <v>83</v>
      </c>
      <c r="B148" s="448"/>
      <c r="C148" s="448">
        <v>8</v>
      </c>
      <c r="D148" s="142"/>
      <c r="E148" s="142"/>
      <c r="F148" s="142"/>
      <c r="G148" s="142"/>
      <c r="H148" s="142"/>
      <c r="I148" s="142"/>
      <c r="J148" s="142"/>
      <c r="K148" s="142"/>
      <c r="L148" s="142"/>
      <c r="M148" s="142"/>
    </row>
    <row r="149" spans="1:13" ht="12.75">
      <c r="A149" s="446">
        <v>84</v>
      </c>
      <c r="B149" s="448">
        <v>2</v>
      </c>
      <c r="C149" s="448">
        <v>3</v>
      </c>
      <c r="D149" s="142"/>
      <c r="E149" s="142"/>
      <c r="F149" s="142"/>
      <c r="G149" s="142"/>
      <c r="H149" s="142"/>
      <c r="I149" s="142"/>
      <c r="J149" s="142"/>
      <c r="K149" s="142"/>
      <c r="L149" s="142"/>
      <c r="M149" s="142"/>
    </row>
    <row r="150" spans="1:13" ht="12.75">
      <c r="A150" s="446">
        <v>85</v>
      </c>
      <c r="B150" s="448">
        <v>2</v>
      </c>
      <c r="C150" s="448">
        <v>2</v>
      </c>
      <c r="D150" s="142"/>
      <c r="E150" s="142"/>
      <c r="F150" s="142"/>
      <c r="G150" s="142"/>
      <c r="H150" s="142"/>
      <c r="I150" s="142"/>
      <c r="J150" s="142"/>
      <c r="K150" s="142"/>
      <c r="L150" s="142"/>
      <c r="M150" s="142"/>
    </row>
    <row r="151" spans="1:13" ht="12.75">
      <c r="A151" s="446">
        <v>86</v>
      </c>
      <c r="B151" s="448"/>
      <c r="C151" s="448">
        <v>4</v>
      </c>
      <c r="D151" s="142"/>
      <c r="E151" s="142"/>
      <c r="F151" s="142"/>
      <c r="G151" s="142"/>
      <c r="H151" s="142"/>
      <c r="I151" s="142"/>
      <c r="J151" s="142"/>
      <c r="K151" s="142"/>
      <c r="L151" s="142"/>
      <c r="M151" s="142"/>
    </row>
    <row r="152" spans="1:13" ht="12.75">
      <c r="A152" s="446">
        <v>87</v>
      </c>
      <c r="B152" s="448">
        <v>1</v>
      </c>
      <c r="C152" s="448"/>
      <c r="D152" s="142"/>
      <c r="E152" s="142"/>
      <c r="F152" s="142"/>
      <c r="G152" s="142"/>
      <c r="H152" s="142"/>
      <c r="I152" s="142"/>
      <c r="J152" s="142"/>
      <c r="K152" s="142"/>
      <c r="L152" s="142"/>
      <c r="M152" s="142"/>
    </row>
    <row r="153" spans="1:13" ht="12.75">
      <c r="A153" s="446">
        <v>88</v>
      </c>
      <c r="B153" s="448">
        <v>1</v>
      </c>
      <c r="C153" s="448">
        <v>3</v>
      </c>
      <c r="D153" s="142"/>
      <c r="E153" s="142"/>
      <c r="F153" s="142"/>
      <c r="G153" s="142"/>
      <c r="H153" s="142"/>
      <c r="I153" s="142"/>
      <c r="J153" s="142"/>
      <c r="K153" s="142"/>
      <c r="L153" s="142"/>
      <c r="M153" s="142"/>
    </row>
    <row r="154" spans="1:13" ht="12.75">
      <c r="A154" s="446">
        <v>89</v>
      </c>
      <c r="B154" s="448"/>
      <c r="C154" s="448">
        <v>3</v>
      </c>
      <c r="D154" s="142"/>
      <c r="E154" s="142"/>
      <c r="F154" s="142"/>
      <c r="G154" s="142"/>
      <c r="H154" s="142"/>
      <c r="I154" s="142"/>
      <c r="J154" s="142"/>
      <c r="K154" s="142"/>
      <c r="L154" s="142"/>
      <c r="M154" s="142"/>
    </row>
    <row r="155" spans="1:13" ht="12.75">
      <c r="A155" s="460">
        <v>90</v>
      </c>
      <c r="B155" s="465"/>
      <c r="C155" s="465">
        <v>3</v>
      </c>
      <c r="D155" s="142"/>
      <c r="E155" s="142"/>
      <c r="F155" s="142"/>
      <c r="G155" s="142"/>
      <c r="H155" s="142"/>
      <c r="I155" s="142"/>
      <c r="J155" s="142"/>
      <c r="K155" s="142"/>
      <c r="L155" s="142"/>
      <c r="M155" s="142"/>
    </row>
    <row r="156" spans="1:13" ht="12.75">
      <c r="A156" s="446">
        <v>91</v>
      </c>
      <c r="B156" s="466"/>
      <c r="C156" s="447">
        <v>2</v>
      </c>
      <c r="D156" s="142"/>
      <c r="E156" s="142"/>
      <c r="F156" s="142"/>
      <c r="G156" s="142"/>
      <c r="H156" s="142"/>
      <c r="I156" s="142"/>
      <c r="J156" s="142"/>
      <c r="K156" s="142"/>
      <c r="L156" s="142"/>
      <c r="M156" s="142"/>
    </row>
    <row r="157" spans="1:13" ht="12.75">
      <c r="A157" s="446">
        <v>92</v>
      </c>
      <c r="B157" s="466">
        <v>2</v>
      </c>
      <c r="C157" s="448"/>
      <c r="D157" s="142"/>
      <c r="E157" s="142"/>
      <c r="F157" s="142"/>
      <c r="G157" s="142"/>
      <c r="H157" s="142"/>
      <c r="I157" s="142"/>
      <c r="J157" s="142"/>
      <c r="K157" s="142"/>
      <c r="L157" s="142"/>
      <c r="M157" s="142"/>
    </row>
    <row r="158" spans="1:13" ht="12.75">
      <c r="A158" s="446">
        <v>93</v>
      </c>
      <c r="B158" s="466"/>
      <c r="C158" s="448">
        <v>3</v>
      </c>
      <c r="D158" s="142"/>
      <c r="E158" s="142"/>
      <c r="F158" s="142"/>
      <c r="G158" s="142"/>
      <c r="H158" s="142"/>
      <c r="I158" s="142"/>
      <c r="J158" s="142"/>
      <c r="K158" s="142"/>
      <c r="L158" s="142"/>
      <c r="M158" s="142"/>
    </row>
    <row r="159" spans="1:13" ht="12.75">
      <c r="A159" s="446">
        <v>94</v>
      </c>
      <c r="B159" s="466"/>
      <c r="C159" s="448">
        <v>4</v>
      </c>
      <c r="D159" s="142"/>
      <c r="E159" s="142"/>
      <c r="F159" s="142"/>
      <c r="G159" s="142"/>
      <c r="H159" s="142"/>
      <c r="I159" s="142"/>
      <c r="J159" s="142"/>
      <c r="K159" s="142"/>
      <c r="L159" s="142"/>
      <c r="M159" s="142"/>
    </row>
    <row r="160" spans="1:13" ht="12.75">
      <c r="A160" s="446">
        <v>95</v>
      </c>
      <c r="B160" s="466"/>
      <c r="C160" s="448"/>
      <c r="D160" s="142"/>
      <c r="E160" s="142"/>
      <c r="F160" s="142"/>
      <c r="G160" s="142"/>
      <c r="H160" s="142"/>
      <c r="I160" s="142"/>
      <c r="J160" s="142"/>
      <c r="K160" s="142"/>
      <c r="L160" s="142"/>
      <c r="M160" s="142"/>
    </row>
    <row r="161" spans="1:13" ht="12.75">
      <c r="A161" s="446">
        <v>96</v>
      </c>
      <c r="B161" s="466"/>
      <c r="C161" s="448">
        <v>1</v>
      </c>
      <c r="D161" s="142"/>
      <c r="E161" s="142"/>
      <c r="F161" s="142"/>
      <c r="G161" s="142"/>
      <c r="H161" s="142"/>
      <c r="I161" s="142"/>
      <c r="J161" s="142"/>
      <c r="K161" s="142"/>
      <c r="L161" s="142"/>
      <c r="M161" s="142"/>
    </row>
    <row r="162" spans="1:13" ht="12.75">
      <c r="A162" s="446">
        <v>97</v>
      </c>
      <c r="B162" s="466"/>
      <c r="C162" s="448">
        <v>1</v>
      </c>
      <c r="D162" s="142"/>
      <c r="E162" s="142"/>
      <c r="F162" s="142"/>
      <c r="G162" s="142"/>
      <c r="H162" s="142"/>
      <c r="I162" s="142"/>
      <c r="J162" s="142"/>
      <c r="K162" s="142"/>
      <c r="L162" s="142"/>
      <c r="M162" s="142"/>
    </row>
    <row r="163" spans="1:13" ht="12.75">
      <c r="A163" s="446">
        <v>98</v>
      </c>
      <c r="B163" s="466"/>
      <c r="C163" s="448">
        <v>1</v>
      </c>
      <c r="D163" s="142"/>
      <c r="E163" s="142"/>
      <c r="F163" s="142"/>
      <c r="G163" s="142"/>
      <c r="H163" s="142"/>
      <c r="I163" s="142"/>
      <c r="J163" s="142"/>
      <c r="K163" s="142"/>
      <c r="L163" s="142"/>
      <c r="M163" s="142"/>
    </row>
    <row r="164" spans="1:13" ht="12.75">
      <c r="A164" s="446">
        <v>99</v>
      </c>
      <c r="B164" s="466"/>
      <c r="C164" s="448"/>
      <c r="D164" s="142"/>
      <c r="E164" s="142"/>
      <c r="F164" s="142"/>
      <c r="G164" s="142"/>
      <c r="H164" s="142"/>
      <c r="I164" s="142"/>
      <c r="J164" s="142"/>
      <c r="K164" s="142"/>
      <c r="L164" s="142"/>
      <c r="M164" s="142"/>
    </row>
    <row r="165" spans="1:13" ht="12.75">
      <c r="A165" s="446">
        <v>100</v>
      </c>
      <c r="B165" s="466"/>
      <c r="C165" s="448">
        <v>1</v>
      </c>
      <c r="D165" s="142"/>
      <c r="E165" s="142"/>
      <c r="F165" s="142"/>
      <c r="G165" s="142"/>
      <c r="H165" s="142"/>
      <c r="I165" s="142"/>
      <c r="J165" s="142"/>
      <c r="K165" s="142"/>
      <c r="L165" s="142"/>
      <c r="M165" s="142"/>
    </row>
    <row r="166" spans="1:13" ht="12.75">
      <c r="A166" s="446">
        <v>101</v>
      </c>
      <c r="B166" s="466"/>
      <c r="C166" s="448"/>
      <c r="D166" s="142"/>
      <c r="E166" s="142"/>
      <c r="F166" s="142"/>
      <c r="G166" s="142"/>
      <c r="H166" s="142"/>
      <c r="I166" s="142"/>
      <c r="J166" s="142"/>
      <c r="K166" s="142"/>
      <c r="L166" s="142"/>
      <c r="M166" s="142"/>
    </row>
    <row r="167" spans="1:13" ht="12.75">
      <c r="A167" s="446">
        <v>102</v>
      </c>
      <c r="B167" s="466"/>
      <c r="C167" s="448"/>
      <c r="D167" s="142"/>
      <c r="E167" s="142"/>
      <c r="F167" s="142"/>
      <c r="G167" s="142"/>
      <c r="H167" s="142"/>
      <c r="I167" s="142"/>
      <c r="J167" s="142"/>
      <c r="K167" s="142"/>
      <c r="L167" s="142"/>
      <c r="M167" s="142"/>
    </row>
    <row r="168" spans="1:13" ht="12.75">
      <c r="A168" s="446">
        <v>103</v>
      </c>
      <c r="B168" s="467"/>
      <c r="C168" s="465">
        <v>1</v>
      </c>
      <c r="D168" s="142"/>
      <c r="E168" s="142"/>
      <c r="F168" s="142"/>
      <c r="G168" s="142"/>
      <c r="H168" s="142"/>
      <c r="I168" s="142"/>
      <c r="J168" s="142"/>
      <c r="K168" s="142"/>
      <c r="L168" s="142"/>
      <c r="M168" s="142"/>
    </row>
    <row r="169" spans="1:13" ht="12.75">
      <c r="A169" s="142"/>
      <c r="B169" s="446">
        <f>SUM(B117:B168)</f>
        <v>33</v>
      </c>
      <c r="C169" s="446">
        <f>SUM(C117:C168)</f>
        <v>67</v>
      </c>
      <c r="D169" s="142"/>
      <c r="E169" s="142"/>
      <c r="F169" s="142"/>
      <c r="G169" s="142"/>
      <c r="H169" s="142"/>
      <c r="I169" s="142"/>
      <c r="J169" s="142"/>
      <c r="K169" s="142"/>
      <c r="L169" s="142"/>
      <c r="M169" s="142"/>
    </row>
    <row r="170" spans="1:13" ht="12.75">
      <c r="A170" s="142"/>
      <c r="B170" s="142"/>
      <c r="C170" s="142"/>
      <c r="D170" s="142"/>
      <c r="E170" s="142"/>
      <c r="F170" s="142"/>
      <c r="G170" s="142"/>
      <c r="H170" s="142"/>
      <c r="I170" s="142"/>
      <c r="J170" s="142"/>
      <c r="K170" s="142"/>
      <c r="L170" s="142"/>
      <c r="M170" s="142"/>
    </row>
    <row r="171" spans="1:13" ht="12.75">
      <c r="A171" s="142"/>
      <c r="B171" s="142"/>
      <c r="C171" s="142"/>
      <c r="D171" s="142"/>
      <c r="E171" s="142"/>
      <c r="F171" s="142"/>
      <c r="G171" s="142"/>
      <c r="H171" s="142"/>
      <c r="I171" s="142"/>
      <c r="J171" s="142"/>
      <c r="K171" s="142"/>
      <c r="L171" s="142"/>
      <c r="M171" s="142"/>
    </row>
  </sheetData>
  <sheetProtection/>
  <mergeCells count="30">
    <mergeCell ref="E116:E123"/>
    <mergeCell ref="F116:F119"/>
    <mergeCell ref="F120:F123"/>
    <mergeCell ref="G114:L114"/>
    <mergeCell ref="J115:L115"/>
    <mergeCell ref="G115:I115"/>
    <mergeCell ref="A2:H2"/>
    <mergeCell ref="A15:H15"/>
    <mergeCell ref="A7:H7"/>
    <mergeCell ref="A8:H8"/>
    <mergeCell ref="A9:H9"/>
    <mergeCell ref="A10:H10"/>
    <mergeCell ref="A11:H11"/>
    <mergeCell ref="A12:H12"/>
    <mergeCell ref="B100:E100"/>
    <mergeCell ref="B56:E56"/>
    <mergeCell ref="B67:E67"/>
    <mergeCell ref="B78:E78"/>
    <mergeCell ref="B89:E89"/>
    <mergeCell ref="A3:H3"/>
    <mergeCell ref="A13:H13"/>
    <mergeCell ref="A14:H14"/>
    <mergeCell ref="N44:N56"/>
    <mergeCell ref="C41:D41"/>
    <mergeCell ref="A4:H4"/>
    <mergeCell ref="A5:H5"/>
    <mergeCell ref="A6:H6"/>
    <mergeCell ref="H44:J55"/>
    <mergeCell ref="L44:L56"/>
    <mergeCell ref="M44:M56"/>
  </mergeCells>
  <printOptions/>
  <pageMargins left="0.7" right="0.7" top="0.75" bottom="0.75"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B2:N102"/>
  <sheetViews>
    <sheetView zoomScalePageLayoutView="0" workbookViewId="0" topLeftCell="A1">
      <selection activeCell="B1" sqref="B1"/>
    </sheetView>
  </sheetViews>
  <sheetFormatPr defaultColWidth="11.421875" defaultRowHeight="12.75"/>
  <cols>
    <col min="1" max="1" width="1.57421875" style="155" customWidth="1"/>
    <col min="2" max="2" width="27.140625" style="155" customWidth="1"/>
    <col min="3" max="3" width="19.57421875" style="155" customWidth="1"/>
    <col min="4" max="4" width="17.8515625" style="155" customWidth="1"/>
    <col min="5" max="5" width="18.28125" style="155" customWidth="1"/>
    <col min="6" max="6" width="16.7109375" style="155" customWidth="1"/>
    <col min="7" max="7" width="15.57421875" style="155" customWidth="1"/>
    <col min="8" max="8" width="12.421875" style="155" customWidth="1"/>
    <col min="9" max="9" width="18.28125" style="155" customWidth="1"/>
    <col min="10" max="10" width="11.57421875" style="155" customWidth="1"/>
    <col min="11" max="11" width="15.421875" style="155" customWidth="1"/>
    <col min="12" max="12" width="12.140625" style="155" bestFit="1" customWidth="1"/>
    <col min="13" max="13" width="11.57421875" style="155" bestFit="1" customWidth="1"/>
    <col min="14" max="15" width="11.421875" style="155" customWidth="1"/>
    <col min="16" max="18" width="12.7109375" style="155" bestFit="1" customWidth="1"/>
    <col min="19" max="19" width="13.421875" style="155" customWidth="1"/>
    <col min="20" max="20" width="11.421875" style="155" customWidth="1"/>
    <col min="21" max="22" width="12.7109375" style="155" bestFit="1" customWidth="1"/>
    <col min="23" max="23" width="11.57421875" style="155" bestFit="1" customWidth="1"/>
    <col min="24" max="16384" width="11.421875" style="155" customWidth="1"/>
  </cols>
  <sheetData>
    <row r="1" ht="9" customHeight="1" thickBot="1"/>
    <row r="2" spans="2:10" ht="22.5" customHeight="1">
      <c r="B2" s="640" t="s">
        <v>257</v>
      </c>
      <c r="C2" s="641"/>
      <c r="D2" s="641"/>
      <c r="E2" s="642"/>
      <c r="G2" s="649" t="s">
        <v>162</v>
      </c>
      <c r="H2" s="650"/>
      <c r="I2" s="650"/>
      <c r="J2" s="651"/>
    </row>
    <row r="3" spans="2:10" ht="21.75" customHeight="1" thickBot="1">
      <c r="B3" s="643" t="s">
        <v>278</v>
      </c>
      <c r="C3" s="644"/>
      <c r="D3" s="644"/>
      <c r="E3" s="645"/>
      <c r="G3" s="396" t="s">
        <v>216</v>
      </c>
      <c r="H3" s="491">
        <v>0.25</v>
      </c>
      <c r="I3" s="397" t="s">
        <v>169</v>
      </c>
      <c r="J3" s="468">
        <f>H3/(1+H3)</f>
        <v>0.2</v>
      </c>
    </row>
    <row r="4" spans="2:10" ht="22.5" customHeight="1" thickBot="1">
      <c r="B4" s="646" t="s">
        <v>279</v>
      </c>
      <c r="C4" s="647"/>
      <c r="D4" s="647"/>
      <c r="E4" s="648"/>
      <c r="G4" s="398"/>
      <c r="H4" s="398"/>
      <c r="I4" s="398"/>
      <c r="J4" s="398"/>
    </row>
    <row r="5" spans="2:10" ht="18.75" customHeight="1">
      <c r="B5" s="646" t="s">
        <v>258</v>
      </c>
      <c r="C5" s="647"/>
      <c r="D5" s="647"/>
      <c r="E5" s="648"/>
      <c r="G5" s="652" t="s">
        <v>163</v>
      </c>
      <c r="H5" s="653"/>
      <c r="I5" s="653"/>
      <c r="J5" s="654"/>
    </row>
    <row r="6" spans="2:10" ht="19.5" customHeight="1" thickBot="1">
      <c r="B6" s="643" t="s">
        <v>259</v>
      </c>
      <c r="C6" s="644"/>
      <c r="D6" s="644"/>
      <c r="E6" s="645"/>
      <c r="G6" s="399" t="s">
        <v>217</v>
      </c>
      <c r="H6" s="492">
        <v>0.2</v>
      </c>
      <c r="I6" s="400" t="s">
        <v>170</v>
      </c>
      <c r="J6" s="409">
        <f>H6/(1-H6)</f>
        <v>0.25</v>
      </c>
    </row>
    <row r="7" spans="2:5" ht="12.75">
      <c r="B7" s="393"/>
      <c r="C7" s="394"/>
      <c r="D7" s="394"/>
      <c r="E7" s="395"/>
    </row>
    <row r="8" spans="2:14" ht="12.75">
      <c r="B8" s="156"/>
      <c r="H8" s="273"/>
      <c r="I8" s="273"/>
      <c r="J8" s="273"/>
      <c r="K8" s="273"/>
      <c r="L8" s="273"/>
      <c r="M8" s="273"/>
      <c r="N8" s="273"/>
    </row>
    <row r="9" spans="2:14" ht="15">
      <c r="B9" s="663" t="s">
        <v>75</v>
      </c>
      <c r="C9" s="664"/>
      <c r="D9" s="664"/>
      <c r="E9" s="664"/>
      <c r="F9" s="664"/>
      <c r="G9" s="664"/>
      <c r="H9" s="664"/>
      <c r="I9" s="664"/>
      <c r="J9" s="665"/>
      <c r="K9" s="273"/>
      <c r="L9" s="273"/>
      <c r="M9" s="273"/>
      <c r="N9" s="273"/>
    </row>
    <row r="10" spans="2:14" ht="19.5" customHeight="1">
      <c r="B10" s="660" t="s">
        <v>254</v>
      </c>
      <c r="C10" s="661"/>
      <c r="D10" s="661"/>
      <c r="E10" s="661"/>
      <c r="F10" s="661"/>
      <c r="G10" s="661"/>
      <c r="H10" s="661"/>
      <c r="I10" s="661"/>
      <c r="J10" s="662"/>
      <c r="K10" s="273"/>
      <c r="L10" s="273"/>
      <c r="M10" s="273"/>
      <c r="N10" s="273"/>
    </row>
    <row r="11" spans="2:14" ht="34.5" customHeight="1">
      <c r="B11" s="660" t="s">
        <v>271</v>
      </c>
      <c r="C11" s="661"/>
      <c r="D11" s="661"/>
      <c r="E11" s="661"/>
      <c r="F11" s="661"/>
      <c r="G11" s="661"/>
      <c r="H11" s="661"/>
      <c r="I11" s="661"/>
      <c r="J11" s="662"/>
      <c r="K11" s="273"/>
      <c r="L11" s="273"/>
      <c r="M11" s="273"/>
      <c r="N11" s="273"/>
    </row>
    <row r="12" spans="2:14" ht="29.25" customHeight="1">
      <c r="B12" s="660" t="s">
        <v>256</v>
      </c>
      <c r="C12" s="661"/>
      <c r="D12" s="661"/>
      <c r="E12" s="661"/>
      <c r="F12" s="661"/>
      <c r="G12" s="661"/>
      <c r="H12" s="661"/>
      <c r="I12" s="661"/>
      <c r="J12" s="662"/>
      <c r="K12" s="273"/>
      <c r="L12" s="273"/>
      <c r="M12" s="273"/>
      <c r="N12" s="273"/>
    </row>
    <row r="13" spans="2:14" ht="28.5" customHeight="1">
      <c r="B13" s="666" t="s">
        <v>255</v>
      </c>
      <c r="C13" s="667"/>
      <c r="D13" s="667"/>
      <c r="E13" s="667"/>
      <c r="F13" s="667"/>
      <c r="G13" s="667"/>
      <c r="H13" s="667"/>
      <c r="I13" s="667"/>
      <c r="J13" s="668"/>
      <c r="K13" s="273"/>
      <c r="L13" s="273"/>
      <c r="M13" s="273"/>
      <c r="N13" s="273"/>
    </row>
    <row r="14" spans="2:14" ht="12.75">
      <c r="B14" s="156"/>
      <c r="H14" s="273"/>
      <c r="I14" s="273"/>
      <c r="J14" s="273"/>
      <c r="K14" s="273"/>
      <c r="L14" s="273"/>
      <c r="M14" s="273"/>
      <c r="N14" s="273"/>
    </row>
    <row r="15" ht="13.5" thickBot="1">
      <c r="B15" s="155" t="s">
        <v>158</v>
      </c>
    </row>
    <row r="16" spans="2:7" ht="13.5" thickBot="1">
      <c r="B16" s="274" t="s">
        <v>9</v>
      </c>
      <c r="C16" s="275">
        <v>100</v>
      </c>
      <c r="D16" s="638" t="s">
        <v>39</v>
      </c>
      <c r="E16" s="639"/>
      <c r="F16" s="160"/>
      <c r="G16" s="157"/>
    </row>
    <row r="17" spans="2:11" ht="12.75">
      <c r="B17" s="276" t="s">
        <v>155</v>
      </c>
      <c r="C17" s="277">
        <f>1/201</f>
        <v>0.004975124378109453</v>
      </c>
      <c r="D17" s="162" t="s">
        <v>77</v>
      </c>
      <c r="E17" s="278" t="s">
        <v>78</v>
      </c>
      <c r="F17" s="163" t="s">
        <v>0</v>
      </c>
      <c r="G17" s="164"/>
      <c r="K17" s="165"/>
    </row>
    <row r="18" spans="2:11" ht="12.75">
      <c r="B18" s="279" t="s">
        <v>153</v>
      </c>
      <c r="C18" s="280">
        <f>C17/(1-C17)</f>
        <v>0.005</v>
      </c>
      <c r="D18" s="281">
        <f>C16*C17</f>
        <v>0.4975124378109453</v>
      </c>
      <c r="E18" s="282">
        <f>C16-D18</f>
        <v>99.50248756218906</v>
      </c>
      <c r="F18" s="167"/>
      <c r="G18" s="164"/>
      <c r="K18" s="165"/>
    </row>
    <row r="19" spans="2:6" ht="12.75">
      <c r="B19" s="159" t="s">
        <v>11</v>
      </c>
      <c r="C19" s="161">
        <v>0.9</v>
      </c>
      <c r="D19" s="190"/>
      <c r="F19" s="167"/>
    </row>
    <row r="20" spans="2:6" ht="13.5" thickBot="1">
      <c r="B20" s="283" t="s">
        <v>12</v>
      </c>
      <c r="C20" s="284">
        <v>0.8</v>
      </c>
      <c r="D20" s="168"/>
      <c r="E20" s="189"/>
      <c r="F20" s="169"/>
    </row>
    <row r="21" spans="2:8" ht="12.75" customHeight="1">
      <c r="B21" s="633" t="s">
        <v>40</v>
      </c>
      <c r="C21" s="636" t="s">
        <v>7</v>
      </c>
      <c r="D21" s="300">
        <f>D18*D27</f>
        <v>0.44776119402985076</v>
      </c>
      <c r="E21" s="301">
        <f>E18-E23</f>
        <v>19.90049751243781</v>
      </c>
      <c r="F21" s="170">
        <f>SUM(D21:E21)</f>
        <v>20.34825870646766</v>
      </c>
      <c r="G21" s="285" t="s">
        <v>93</v>
      </c>
      <c r="H21" s="286" t="s">
        <v>157</v>
      </c>
    </row>
    <row r="22" spans="2:8" ht="13.5" thickBot="1">
      <c r="B22" s="634"/>
      <c r="C22" s="637"/>
      <c r="D22" s="172" t="s">
        <v>149</v>
      </c>
      <c r="E22" s="173" t="s">
        <v>150</v>
      </c>
      <c r="F22" s="174"/>
      <c r="G22" s="287">
        <f>D21/F21</f>
        <v>0.022004889975550123</v>
      </c>
      <c r="H22" s="288">
        <f>G22/(1-G22)</f>
        <v>0.022500000000000003</v>
      </c>
    </row>
    <row r="23" spans="2:7" ht="12.75" customHeight="1">
      <c r="B23" s="634"/>
      <c r="C23" s="636" t="s">
        <v>8</v>
      </c>
      <c r="D23" s="302">
        <f>D18-D21</f>
        <v>0.04975124378109452</v>
      </c>
      <c r="E23" s="300">
        <f>E18*E27</f>
        <v>79.60199004975125</v>
      </c>
      <c r="F23" s="170">
        <f>SUM(D23:E23)</f>
        <v>79.65174129353234</v>
      </c>
      <c r="G23" s="171" t="s">
        <v>55</v>
      </c>
    </row>
    <row r="24" spans="2:7" ht="16.5" customHeight="1" thickBot="1">
      <c r="B24" s="635"/>
      <c r="C24" s="637"/>
      <c r="D24" s="173" t="s">
        <v>151</v>
      </c>
      <c r="E24" s="172" t="s">
        <v>152</v>
      </c>
      <c r="F24" s="174"/>
      <c r="G24" s="175">
        <f>E23/F23</f>
        <v>0.999375390381012</v>
      </c>
    </row>
    <row r="25" spans="2:6" ht="13.5" thickBot="1">
      <c r="B25" s="176"/>
      <c r="C25" s="289" t="s">
        <v>0</v>
      </c>
      <c r="D25" s="282">
        <f>D21+D23</f>
        <v>0.4975124378109453</v>
      </c>
      <c r="E25" s="282">
        <f>E21+E23</f>
        <v>99.50248756218906</v>
      </c>
      <c r="F25" s="290">
        <f>F21+F23</f>
        <v>100</v>
      </c>
    </row>
    <row r="26" spans="2:7" ht="12.75" customHeight="1">
      <c r="B26" s="176"/>
      <c r="D26" s="177" t="s">
        <v>5</v>
      </c>
      <c r="E26" s="177" t="s">
        <v>6</v>
      </c>
      <c r="F26" s="291"/>
      <c r="G26" s="292"/>
    </row>
    <row r="27" spans="2:7" ht="13.5" thickBot="1">
      <c r="B27" s="159"/>
      <c r="D27" s="178">
        <f>C19</f>
        <v>0.9</v>
      </c>
      <c r="E27" s="179">
        <f>C20</f>
        <v>0.8</v>
      </c>
      <c r="F27" s="293"/>
      <c r="G27" s="294"/>
    </row>
    <row r="28" spans="2:7" ht="13.5" thickBot="1">
      <c r="B28" s="158"/>
      <c r="C28" s="180" t="s">
        <v>105</v>
      </c>
      <c r="D28" s="295">
        <f>D27/(1-E27)</f>
        <v>4.500000000000001</v>
      </c>
      <c r="E28" s="181">
        <f>(1-D27)/E27</f>
        <v>0.12499999999999997</v>
      </c>
      <c r="F28" s="182" t="s">
        <v>109</v>
      </c>
      <c r="G28" s="296"/>
    </row>
    <row r="29" spans="3:13" ht="12.75">
      <c r="C29" s="183"/>
      <c r="D29" s="297"/>
      <c r="E29" s="184"/>
      <c r="F29" s="184"/>
      <c r="G29" s="184"/>
      <c r="H29" s="298"/>
      <c r="I29" s="185"/>
      <c r="J29" s="187"/>
      <c r="K29" s="188"/>
      <c r="L29" s="188"/>
      <c r="M29" s="188"/>
    </row>
    <row r="30" spans="3:13" ht="12.75">
      <c r="C30" s="183"/>
      <c r="D30" s="297"/>
      <c r="E30" s="184"/>
      <c r="F30" s="184"/>
      <c r="G30" s="184"/>
      <c r="H30" s="298"/>
      <c r="I30" s="185"/>
      <c r="J30" s="187"/>
      <c r="K30" s="188"/>
      <c r="L30" s="188"/>
      <c r="M30" s="188"/>
    </row>
    <row r="31" spans="2:12" ht="13.5" thickBot="1">
      <c r="B31" s="155" t="s">
        <v>159</v>
      </c>
      <c r="C31" s="183"/>
      <c r="D31" s="183"/>
      <c r="E31" s="184"/>
      <c r="F31" s="184"/>
      <c r="G31" s="185"/>
      <c r="H31" s="185"/>
      <c r="I31" s="186"/>
      <c r="J31" s="187"/>
      <c r="K31" s="188"/>
      <c r="L31" s="188"/>
    </row>
    <row r="32" spans="2:7" ht="13.5" thickBot="1">
      <c r="B32" s="274" t="s">
        <v>9</v>
      </c>
      <c r="C32" s="275">
        <v>20</v>
      </c>
      <c r="D32" s="638" t="s">
        <v>39</v>
      </c>
      <c r="E32" s="639"/>
      <c r="F32" s="160"/>
      <c r="G32" s="157"/>
    </row>
    <row r="33" spans="2:7" ht="12.75">
      <c r="B33" s="276" t="s">
        <v>156</v>
      </c>
      <c r="C33" s="299">
        <f>G22</f>
        <v>0.022004889975550123</v>
      </c>
      <c r="D33" s="162" t="s">
        <v>77</v>
      </c>
      <c r="E33" s="162" t="s">
        <v>78</v>
      </c>
      <c r="F33" s="163" t="s">
        <v>0</v>
      </c>
      <c r="G33" s="164"/>
    </row>
    <row r="34" spans="2:7" ht="12.75">
      <c r="B34" s="279" t="s">
        <v>154</v>
      </c>
      <c r="C34" s="280">
        <f>C33/(1-C33)</f>
        <v>0.022500000000000003</v>
      </c>
      <c r="D34" s="166"/>
      <c r="E34" s="166"/>
      <c r="F34" s="167"/>
      <c r="G34" s="164"/>
    </row>
    <row r="35" spans="2:6" ht="12.75">
      <c r="B35" s="159" t="s">
        <v>11</v>
      </c>
      <c r="C35" s="161">
        <v>0.7</v>
      </c>
      <c r="D35" s="389">
        <f>C32*C33</f>
        <v>0.4400977995110025</v>
      </c>
      <c r="E35" s="389">
        <f>C32-D35</f>
        <v>19.559902200489</v>
      </c>
      <c r="F35" s="167"/>
    </row>
    <row r="36" spans="2:6" ht="13.5" thickBot="1">
      <c r="B36" s="283" t="s">
        <v>12</v>
      </c>
      <c r="C36" s="284">
        <v>0.99</v>
      </c>
      <c r="D36" s="168"/>
      <c r="E36" s="168"/>
      <c r="F36" s="169"/>
    </row>
    <row r="37" spans="2:8" ht="12.75">
      <c r="B37" s="633" t="s">
        <v>40</v>
      </c>
      <c r="C37" s="636" t="s">
        <v>7</v>
      </c>
      <c r="D37" s="300">
        <f>D35*D43</f>
        <v>0.3080684596577017</v>
      </c>
      <c r="E37" s="301">
        <f>E35-E39</f>
        <v>0.19559902200489176</v>
      </c>
      <c r="F37" s="170">
        <f>SUM(D37:E37)</f>
        <v>0.5036674816625935</v>
      </c>
      <c r="G37" s="285" t="s">
        <v>93</v>
      </c>
      <c r="H37" s="286" t="s">
        <v>157</v>
      </c>
    </row>
    <row r="38" spans="2:8" ht="15.75" customHeight="1" thickBot="1">
      <c r="B38" s="634"/>
      <c r="C38" s="637"/>
      <c r="D38" s="172" t="s">
        <v>149</v>
      </c>
      <c r="E38" s="173" t="s">
        <v>150</v>
      </c>
      <c r="F38" s="174"/>
      <c r="G38" s="287">
        <f>D37/F37</f>
        <v>0.611650485436891</v>
      </c>
      <c r="H38" s="288">
        <f>G38/(1-G38)</f>
        <v>1.5749999999999857</v>
      </c>
    </row>
    <row r="39" spans="2:7" ht="12.75">
      <c r="B39" s="634"/>
      <c r="C39" s="636" t="s">
        <v>8</v>
      </c>
      <c r="D39" s="302">
        <f>D35-D37</f>
        <v>0.1320293398533008</v>
      </c>
      <c r="E39" s="300">
        <f>E35*E43</f>
        <v>19.364303178484107</v>
      </c>
      <c r="F39" s="170">
        <f>SUM(D39:E39)</f>
        <v>19.496332518337407</v>
      </c>
      <c r="G39" s="171" t="s">
        <v>55</v>
      </c>
    </row>
    <row r="40" spans="2:7" ht="18" customHeight="1" thickBot="1">
      <c r="B40" s="635"/>
      <c r="C40" s="637"/>
      <c r="D40" s="173" t="s">
        <v>151</v>
      </c>
      <c r="E40" s="172" t="s">
        <v>152</v>
      </c>
      <c r="F40" s="174"/>
      <c r="G40" s="175">
        <f>E39/F39</f>
        <v>0.9932279909706546</v>
      </c>
    </row>
    <row r="41" spans="2:6" ht="13.5" thickBot="1">
      <c r="B41" s="176"/>
      <c r="C41" s="289" t="s">
        <v>0</v>
      </c>
      <c r="D41" s="282">
        <f>D37+D39</f>
        <v>0.4400977995110025</v>
      </c>
      <c r="E41" s="282">
        <f>E37+E39</f>
        <v>19.559902200489</v>
      </c>
      <c r="F41" s="290">
        <f>F37+F39</f>
        <v>20</v>
      </c>
    </row>
    <row r="42" spans="2:7" ht="12.75">
      <c r="B42" s="176"/>
      <c r="D42" s="177" t="s">
        <v>5</v>
      </c>
      <c r="E42" s="177" t="s">
        <v>6</v>
      </c>
      <c r="F42" s="291"/>
      <c r="G42" s="292"/>
    </row>
    <row r="43" spans="2:7" ht="13.5" thickBot="1">
      <c r="B43" s="159"/>
      <c r="D43" s="178">
        <f>C35</f>
        <v>0.7</v>
      </c>
      <c r="E43" s="179">
        <f>C36</f>
        <v>0.99</v>
      </c>
      <c r="F43" s="293"/>
      <c r="G43" s="294"/>
    </row>
    <row r="44" spans="2:7" ht="13.5" thickBot="1">
      <c r="B44" s="158"/>
      <c r="C44" s="180" t="s">
        <v>105</v>
      </c>
      <c r="D44" s="295">
        <f>D43/(1-E43)</f>
        <v>69.99999999999993</v>
      </c>
      <c r="E44" s="181">
        <f>(1-D43)/E43</f>
        <v>0.3030303030303031</v>
      </c>
      <c r="F44" s="182" t="s">
        <v>109</v>
      </c>
      <c r="G44" s="296"/>
    </row>
    <row r="46" ht="12.75">
      <c r="B46" s="155" t="s">
        <v>164</v>
      </c>
    </row>
    <row r="48" spans="2:6" ht="39.75" customHeight="1">
      <c r="B48" s="303" t="s">
        <v>161</v>
      </c>
      <c r="C48" s="304" t="s">
        <v>125</v>
      </c>
      <c r="D48" s="402" t="s">
        <v>160</v>
      </c>
      <c r="E48" s="398"/>
      <c r="F48" s="398"/>
    </row>
    <row r="49" spans="2:6" ht="12.75">
      <c r="B49" s="403">
        <f>C18</f>
        <v>0.005</v>
      </c>
      <c r="C49" s="404">
        <f>D28</f>
        <v>4.500000000000001</v>
      </c>
      <c r="D49" s="303">
        <f>B49*C49</f>
        <v>0.022500000000000006</v>
      </c>
      <c r="E49" s="398"/>
      <c r="F49" s="398"/>
    </row>
    <row r="50" spans="2:6" ht="3.75" customHeight="1">
      <c r="B50" s="398"/>
      <c r="C50" s="398"/>
      <c r="D50" s="398"/>
      <c r="E50" s="398"/>
      <c r="F50" s="398"/>
    </row>
    <row r="51" spans="2:6" ht="45.75" customHeight="1">
      <c r="B51" s="398"/>
      <c r="C51" s="398"/>
      <c r="D51" s="303" t="s">
        <v>157</v>
      </c>
      <c r="E51" s="304" t="s">
        <v>125</v>
      </c>
      <c r="F51" s="402" t="s">
        <v>317</v>
      </c>
    </row>
    <row r="52" spans="2:6" ht="12.75">
      <c r="B52" s="398"/>
      <c r="C52" s="398"/>
      <c r="D52" s="303">
        <f>D49</f>
        <v>0.022500000000000006</v>
      </c>
      <c r="E52" s="404">
        <f>D44</f>
        <v>69.99999999999993</v>
      </c>
      <c r="F52" s="303">
        <f>D52*E52</f>
        <v>1.5749999999999988</v>
      </c>
    </row>
    <row r="54" spans="2:9" ht="15">
      <c r="B54" s="655" t="s">
        <v>146</v>
      </c>
      <c r="C54" s="655"/>
      <c r="D54" s="655"/>
      <c r="E54" s="655"/>
      <c r="F54" s="655"/>
      <c r="G54" s="655"/>
      <c r="H54" s="655"/>
      <c r="I54" s="655"/>
    </row>
    <row r="55" spans="2:9" ht="15">
      <c r="B55" s="656" t="s">
        <v>165</v>
      </c>
      <c r="C55" s="656"/>
      <c r="D55" s="656"/>
      <c r="E55" s="656"/>
      <c r="F55" s="656"/>
      <c r="G55" s="656"/>
      <c r="H55" s="656"/>
      <c r="I55" s="656"/>
    </row>
    <row r="56" ht="15">
      <c r="B56" s="401"/>
    </row>
    <row r="57" spans="2:9" ht="15">
      <c r="B57" s="657" t="s">
        <v>76</v>
      </c>
      <c r="C57" s="658"/>
      <c r="D57" s="658"/>
      <c r="E57" s="658"/>
      <c r="F57" s="658"/>
      <c r="G57" s="658"/>
      <c r="H57" s="658"/>
      <c r="I57" s="659"/>
    </row>
    <row r="58" spans="2:9" ht="32.25" customHeight="1">
      <c r="B58" s="660" t="s">
        <v>260</v>
      </c>
      <c r="C58" s="661"/>
      <c r="D58" s="661"/>
      <c r="E58" s="661"/>
      <c r="F58" s="661"/>
      <c r="G58" s="661"/>
      <c r="H58" s="661"/>
      <c r="I58" s="662"/>
    </row>
    <row r="59" spans="2:9" ht="20.25" customHeight="1">
      <c r="B59" s="660" t="s">
        <v>261</v>
      </c>
      <c r="C59" s="661"/>
      <c r="D59" s="661"/>
      <c r="E59" s="661"/>
      <c r="F59" s="661"/>
      <c r="G59" s="661"/>
      <c r="H59" s="661"/>
      <c r="I59" s="662"/>
    </row>
    <row r="60" spans="2:9" ht="19.5" customHeight="1">
      <c r="B60" s="660" t="s">
        <v>262</v>
      </c>
      <c r="C60" s="661"/>
      <c r="D60" s="661"/>
      <c r="E60" s="661"/>
      <c r="F60" s="661"/>
      <c r="G60" s="661"/>
      <c r="H60" s="661"/>
      <c r="I60" s="662"/>
    </row>
    <row r="61" spans="2:9" ht="36" customHeight="1">
      <c r="B61" s="674" t="s">
        <v>263</v>
      </c>
      <c r="C61" s="675"/>
      <c r="D61" s="675"/>
      <c r="E61" s="675"/>
      <c r="F61" s="675"/>
      <c r="G61" s="675"/>
      <c r="H61" s="675"/>
      <c r="I61" s="676"/>
    </row>
    <row r="62" ht="15">
      <c r="B62" s="392"/>
    </row>
    <row r="63" spans="2:9" ht="15">
      <c r="B63" s="657" t="s">
        <v>131</v>
      </c>
      <c r="C63" s="658"/>
      <c r="D63" s="658"/>
      <c r="E63" s="658"/>
      <c r="F63" s="658"/>
      <c r="G63" s="658"/>
      <c r="H63" s="658"/>
      <c r="I63" s="659"/>
    </row>
    <row r="64" spans="2:9" ht="15">
      <c r="B64" s="677" t="s">
        <v>264</v>
      </c>
      <c r="C64" s="678"/>
      <c r="D64" s="678"/>
      <c r="E64" s="678"/>
      <c r="F64" s="678"/>
      <c r="G64" s="678"/>
      <c r="H64" s="678"/>
      <c r="I64" s="679"/>
    </row>
    <row r="65" spans="2:9" ht="15">
      <c r="B65" s="680" t="s">
        <v>265</v>
      </c>
      <c r="C65" s="681"/>
      <c r="D65" s="681"/>
      <c r="E65" s="681"/>
      <c r="F65" s="681"/>
      <c r="G65" s="681"/>
      <c r="H65" s="681"/>
      <c r="I65" s="682"/>
    </row>
    <row r="66" spans="2:9" ht="15">
      <c r="B66" s="669" t="s">
        <v>266</v>
      </c>
      <c r="C66" s="670"/>
      <c r="D66" s="670"/>
      <c r="E66" s="670"/>
      <c r="F66" s="670"/>
      <c r="G66" s="670"/>
      <c r="H66" s="670"/>
      <c r="I66" s="671"/>
    </row>
    <row r="67" spans="2:9" ht="15">
      <c r="B67" s="672" t="s">
        <v>267</v>
      </c>
      <c r="C67" s="673"/>
      <c r="D67" s="673"/>
      <c r="E67" s="673"/>
      <c r="F67" s="673"/>
      <c r="G67" s="673"/>
      <c r="H67" s="673"/>
      <c r="I67" s="395"/>
    </row>
    <row r="81" ht="12.75">
      <c r="C81" s="480"/>
    </row>
    <row r="82" spans="3:6" ht="12.75">
      <c r="C82" s="481" t="s">
        <v>313</v>
      </c>
      <c r="D82" s="481" t="s">
        <v>312</v>
      </c>
      <c r="E82" s="481" t="s">
        <v>314</v>
      </c>
      <c r="F82" s="481" t="s">
        <v>315</v>
      </c>
    </row>
    <row r="83" spans="3:6" ht="12.75">
      <c r="C83" s="482">
        <f>5</f>
        <v>5</v>
      </c>
      <c r="D83" s="482">
        <f>100-C83</f>
        <v>95</v>
      </c>
      <c r="E83" s="483">
        <f aca="true" t="shared" si="0" ref="E83:E101">C83/(D83+C83)</f>
        <v>0.05</v>
      </c>
      <c r="F83" s="483">
        <f aca="true" t="shared" si="1" ref="F83:F101">C83/D83</f>
        <v>0.05263157894736842</v>
      </c>
    </row>
    <row r="84" spans="3:6" ht="12.75">
      <c r="C84" s="482">
        <f aca="true" t="shared" si="2" ref="C84:C101">C83+5</f>
        <v>10</v>
      </c>
      <c r="D84" s="482">
        <f aca="true" t="shared" si="3" ref="D84:D101">100-C84</f>
        <v>90</v>
      </c>
      <c r="E84" s="483">
        <f t="shared" si="0"/>
        <v>0.1</v>
      </c>
      <c r="F84" s="483">
        <f t="shared" si="1"/>
        <v>0.1111111111111111</v>
      </c>
    </row>
    <row r="85" spans="3:6" ht="12.75">
      <c r="C85" s="482">
        <f t="shared" si="2"/>
        <v>15</v>
      </c>
      <c r="D85" s="482">
        <f t="shared" si="3"/>
        <v>85</v>
      </c>
      <c r="E85" s="483">
        <f t="shared" si="0"/>
        <v>0.15</v>
      </c>
      <c r="F85" s="483">
        <f t="shared" si="1"/>
        <v>0.17647058823529413</v>
      </c>
    </row>
    <row r="86" spans="3:6" ht="12.75">
      <c r="C86" s="482">
        <f t="shared" si="2"/>
        <v>20</v>
      </c>
      <c r="D86" s="482">
        <f t="shared" si="3"/>
        <v>80</v>
      </c>
      <c r="E86" s="483">
        <f t="shared" si="0"/>
        <v>0.2</v>
      </c>
      <c r="F86" s="483">
        <f t="shared" si="1"/>
        <v>0.25</v>
      </c>
    </row>
    <row r="87" spans="3:6" ht="12.75">
      <c r="C87" s="482">
        <f t="shared" si="2"/>
        <v>25</v>
      </c>
      <c r="D87" s="482">
        <f t="shared" si="3"/>
        <v>75</v>
      </c>
      <c r="E87" s="483">
        <f t="shared" si="0"/>
        <v>0.25</v>
      </c>
      <c r="F87" s="483">
        <f t="shared" si="1"/>
        <v>0.3333333333333333</v>
      </c>
    </row>
    <row r="88" spans="3:6" ht="12.75">
      <c r="C88" s="482">
        <f t="shared" si="2"/>
        <v>30</v>
      </c>
      <c r="D88" s="482">
        <f t="shared" si="3"/>
        <v>70</v>
      </c>
      <c r="E88" s="483">
        <f t="shared" si="0"/>
        <v>0.3</v>
      </c>
      <c r="F88" s="483">
        <f t="shared" si="1"/>
        <v>0.42857142857142855</v>
      </c>
    </row>
    <row r="89" spans="3:6" ht="12.75">
      <c r="C89" s="482">
        <f t="shared" si="2"/>
        <v>35</v>
      </c>
      <c r="D89" s="482">
        <f t="shared" si="3"/>
        <v>65</v>
      </c>
      <c r="E89" s="483">
        <f t="shared" si="0"/>
        <v>0.35</v>
      </c>
      <c r="F89" s="483">
        <f t="shared" si="1"/>
        <v>0.5384615384615384</v>
      </c>
    </row>
    <row r="90" spans="3:6" ht="12.75">
      <c r="C90" s="482">
        <f t="shared" si="2"/>
        <v>40</v>
      </c>
      <c r="D90" s="482">
        <f t="shared" si="3"/>
        <v>60</v>
      </c>
      <c r="E90" s="483">
        <f t="shared" si="0"/>
        <v>0.4</v>
      </c>
      <c r="F90" s="483">
        <f t="shared" si="1"/>
        <v>0.6666666666666666</v>
      </c>
    </row>
    <row r="91" spans="3:6" ht="12.75">
      <c r="C91" s="482">
        <f t="shared" si="2"/>
        <v>45</v>
      </c>
      <c r="D91" s="482">
        <f t="shared" si="3"/>
        <v>55</v>
      </c>
      <c r="E91" s="483">
        <f t="shared" si="0"/>
        <v>0.45</v>
      </c>
      <c r="F91" s="483">
        <f t="shared" si="1"/>
        <v>0.8181818181818182</v>
      </c>
    </row>
    <row r="92" spans="3:6" ht="12.75">
      <c r="C92" s="482">
        <f t="shared" si="2"/>
        <v>50</v>
      </c>
      <c r="D92" s="482">
        <f t="shared" si="3"/>
        <v>50</v>
      </c>
      <c r="E92" s="483">
        <f t="shared" si="0"/>
        <v>0.5</v>
      </c>
      <c r="F92" s="483">
        <f t="shared" si="1"/>
        <v>1</v>
      </c>
    </row>
    <row r="93" spans="3:6" ht="12.75">
      <c r="C93" s="482">
        <f t="shared" si="2"/>
        <v>55</v>
      </c>
      <c r="D93" s="482">
        <f t="shared" si="3"/>
        <v>45</v>
      </c>
      <c r="E93" s="483">
        <f t="shared" si="0"/>
        <v>0.55</v>
      </c>
      <c r="F93" s="483">
        <f t="shared" si="1"/>
        <v>1.2222222222222223</v>
      </c>
    </row>
    <row r="94" spans="3:6" ht="12.75">
      <c r="C94" s="482">
        <f t="shared" si="2"/>
        <v>60</v>
      </c>
      <c r="D94" s="482">
        <f t="shared" si="3"/>
        <v>40</v>
      </c>
      <c r="E94" s="483">
        <f t="shared" si="0"/>
        <v>0.6</v>
      </c>
      <c r="F94" s="483">
        <f t="shared" si="1"/>
        <v>1.5</v>
      </c>
    </row>
    <row r="95" spans="3:6" ht="12.75">
      <c r="C95" s="482">
        <f t="shared" si="2"/>
        <v>65</v>
      </c>
      <c r="D95" s="482">
        <f t="shared" si="3"/>
        <v>35</v>
      </c>
      <c r="E95" s="483">
        <f t="shared" si="0"/>
        <v>0.65</v>
      </c>
      <c r="F95" s="483">
        <f t="shared" si="1"/>
        <v>1.8571428571428572</v>
      </c>
    </row>
    <row r="96" spans="3:6" ht="12.75">
      <c r="C96" s="482">
        <f t="shared" si="2"/>
        <v>70</v>
      </c>
      <c r="D96" s="482">
        <f t="shared" si="3"/>
        <v>30</v>
      </c>
      <c r="E96" s="483">
        <f t="shared" si="0"/>
        <v>0.7</v>
      </c>
      <c r="F96" s="483">
        <f t="shared" si="1"/>
        <v>2.3333333333333335</v>
      </c>
    </row>
    <row r="97" spans="3:6" ht="12.75">
      <c r="C97" s="482">
        <f t="shared" si="2"/>
        <v>75</v>
      </c>
      <c r="D97" s="482">
        <f t="shared" si="3"/>
        <v>25</v>
      </c>
      <c r="E97" s="483">
        <f t="shared" si="0"/>
        <v>0.75</v>
      </c>
      <c r="F97" s="483">
        <f t="shared" si="1"/>
        <v>3</v>
      </c>
    </row>
    <row r="98" spans="3:6" ht="12.75">
      <c r="C98" s="482">
        <f t="shared" si="2"/>
        <v>80</v>
      </c>
      <c r="D98" s="482">
        <f t="shared" si="3"/>
        <v>20</v>
      </c>
      <c r="E98" s="483">
        <f t="shared" si="0"/>
        <v>0.8</v>
      </c>
      <c r="F98" s="483">
        <f t="shared" si="1"/>
        <v>4</v>
      </c>
    </row>
    <row r="99" spans="3:6" ht="12.75">
      <c r="C99" s="482">
        <f t="shared" si="2"/>
        <v>85</v>
      </c>
      <c r="D99" s="482">
        <f t="shared" si="3"/>
        <v>15</v>
      </c>
      <c r="E99" s="483">
        <f t="shared" si="0"/>
        <v>0.85</v>
      </c>
      <c r="F99" s="483">
        <f t="shared" si="1"/>
        <v>5.666666666666667</v>
      </c>
    </row>
    <row r="100" spans="3:6" ht="12.75">
      <c r="C100" s="482">
        <f t="shared" si="2"/>
        <v>90</v>
      </c>
      <c r="D100" s="482">
        <f t="shared" si="3"/>
        <v>10</v>
      </c>
      <c r="E100" s="483">
        <f t="shared" si="0"/>
        <v>0.9</v>
      </c>
      <c r="F100" s="483">
        <f t="shared" si="1"/>
        <v>9</v>
      </c>
    </row>
    <row r="101" spans="3:6" ht="12.75">
      <c r="C101" s="482">
        <f t="shared" si="2"/>
        <v>95</v>
      </c>
      <c r="D101" s="482">
        <f t="shared" si="3"/>
        <v>5</v>
      </c>
      <c r="E101" s="483">
        <f t="shared" si="0"/>
        <v>0.95</v>
      </c>
      <c r="F101" s="483">
        <f t="shared" si="1"/>
        <v>19</v>
      </c>
    </row>
    <row r="102" spans="3:6" ht="12.75">
      <c r="C102" s="482"/>
      <c r="D102" s="482"/>
      <c r="E102" s="483"/>
      <c r="F102" s="483"/>
    </row>
  </sheetData>
  <sheetProtection/>
  <mergeCells count="32">
    <mergeCell ref="B66:I66"/>
    <mergeCell ref="B67:H67"/>
    <mergeCell ref="B59:I59"/>
    <mergeCell ref="B60:I60"/>
    <mergeCell ref="B61:I61"/>
    <mergeCell ref="B63:I63"/>
    <mergeCell ref="B64:I64"/>
    <mergeCell ref="B65:I65"/>
    <mergeCell ref="B54:I54"/>
    <mergeCell ref="B55:I55"/>
    <mergeCell ref="B57:I57"/>
    <mergeCell ref="B58:I58"/>
    <mergeCell ref="B9:J9"/>
    <mergeCell ref="B10:J10"/>
    <mergeCell ref="B11:J11"/>
    <mergeCell ref="B12:J12"/>
    <mergeCell ref="B13:J13"/>
    <mergeCell ref="D16:E16"/>
    <mergeCell ref="B2:E2"/>
    <mergeCell ref="B3:E3"/>
    <mergeCell ref="B4:E4"/>
    <mergeCell ref="B5:E5"/>
    <mergeCell ref="B6:E6"/>
    <mergeCell ref="G2:J2"/>
    <mergeCell ref="G5:J5"/>
    <mergeCell ref="B21:B24"/>
    <mergeCell ref="C21:C22"/>
    <mergeCell ref="C23:C24"/>
    <mergeCell ref="D32:E32"/>
    <mergeCell ref="B37:B40"/>
    <mergeCell ref="C37:C38"/>
    <mergeCell ref="C39:C40"/>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gasanchez</dc:creator>
  <cp:keywords/>
  <dc:description/>
  <cp:lastModifiedBy>Galo</cp:lastModifiedBy>
  <cp:lastPrinted>2013-02-20T21:08:05Z</cp:lastPrinted>
  <dcterms:created xsi:type="dcterms:W3CDTF">2009-02-02T08:29:03Z</dcterms:created>
  <dcterms:modified xsi:type="dcterms:W3CDTF">2020-04-11T10:06:22Z</dcterms:modified>
  <cp:category/>
  <cp:version/>
  <cp:contentType/>
  <cp:contentStatus/>
</cp:coreProperties>
</file>