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C:\Users\Galo\Desktop\8-Basura\"/>
    </mc:Choice>
  </mc:AlternateContent>
  <bookViews>
    <workbookView xWindow="0" yWindow="0" windowWidth="20490" windowHeight="7530" tabRatio="734"/>
  </bookViews>
  <sheets>
    <sheet name="MA 2ECA" sheetId="4" r:id="rId1"/>
    <sheet name="Fact box, alta destr" sheetId="5" r:id="rId2"/>
    <sheet name="Fact box, baja dest" sheetId="7" r:id="rId3"/>
    <sheet name="NNT Inc Acum X-Vert" sheetId="1" r:id="rId4"/>
    <sheet name="NNT Inc Acum ENSURE AF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6" l="1"/>
  <c r="B54" i="6"/>
  <c r="D41" i="6"/>
  <c r="D40" i="6"/>
  <c r="D42" i="6" s="1"/>
  <c r="H22" i="6"/>
  <c r="B22" i="6"/>
  <c r="H21" i="6"/>
  <c r="B21" i="6"/>
  <c r="B23" i="6" s="1"/>
  <c r="C14" i="6"/>
  <c r="E9" i="6"/>
  <c r="C8" i="6"/>
  <c r="C7" i="6"/>
  <c r="A14" i="6" s="1"/>
  <c r="M21" i="6" l="1"/>
  <c r="F22" i="6"/>
  <c r="C9" i="6"/>
  <c r="F14" i="6"/>
  <c r="B55" i="6"/>
  <c r="A21" i="6"/>
  <c r="A22" i="6"/>
  <c r="C55" i="6"/>
  <c r="D7" i="6"/>
  <c r="D8" i="6"/>
  <c r="F21" i="6"/>
  <c r="C8" i="1"/>
  <c r="C7" i="1"/>
  <c r="D9" i="6" l="1"/>
  <c r="B14" i="6"/>
  <c r="C22" i="6"/>
  <c r="D22" i="6"/>
  <c r="J14" i="6"/>
  <c r="D54" i="6"/>
  <c r="A23" i="6"/>
  <c r="C23" i="6" s="1"/>
  <c r="V22" i="6" s="1"/>
  <c r="C21" i="6"/>
  <c r="E21" i="6" s="1"/>
  <c r="M23" i="6"/>
  <c r="D21" i="6"/>
  <c r="B41" i="6"/>
  <c r="B46" i="6" s="1"/>
  <c r="B40" i="6"/>
  <c r="E22" i="6"/>
  <c r="K21" i="6" l="1"/>
  <c r="J21" i="6"/>
  <c r="C56" i="6"/>
  <c r="C58" i="6" s="1"/>
  <c r="C62" i="6" s="1"/>
  <c r="I26" i="6"/>
  <c r="I22" i="6"/>
  <c r="D14" i="6"/>
  <c r="G14" i="6" s="1"/>
  <c r="E14" i="6"/>
  <c r="H14" i="6" s="1"/>
  <c r="B42" i="6"/>
  <c r="B45" i="6"/>
  <c r="B56" i="6"/>
  <c r="B58" i="6" s="1"/>
  <c r="B62" i="6" s="1"/>
  <c r="V21" i="6"/>
  <c r="V23" i="6" s="1"/>
  <c r="V24" i="6" s="1"/>
  <c r="V25" i="6" s="1"/>
  <c r="I21" i="6"/>
  <c r="K22" i="6"/>
  <c r="J22" i="6"/>
  <c r="C41" i="6"/>
  <c r="C46" i="6" s="1"/>
  <c r="C40" i="6"/>
  <c r="E152" i="4"/>
  <c r="E151" i="4"/>
  <c r="E150" i="4"/>
  <c r="J138" i="4"/>
  <c r="E138" i="4"/>
  <c r="J137" i="4"/>
  <c r="E137" i="4"/>
  <c r="F131" i="4"/>
  <c r="E131" i="4"/>
  <c r="O131" i="4" s="1"/>
  <c r="F139" i="4" s="1"/>
  <c r="C131" i="4"/>
  <c r="B131" i="4"/>
  <c r="A131" i="4"/>
  <c r="P130" i="4"/>
  <c r="H138" i="4" s="1"/>
  <c r="O130" i="4"/>
  <c r="F138" i="4" s="1"/>
  <c r="L130" i="4"/>
  <c r="I138" i="4" s="1"/>
  <c r="J130" i="4"/>
  <c r="I130" i="4"/>
  <c r="H130" i="4"/>
  <c r="K130" i="4" s="1"/>
  <c r="G138" i="4" s="1"/>
  <c r="D130" i="4"/>
  <c r="N130" i="4" s="1"/>
  <c r="P129" i="4"/>
  <c r="H137" i="4" s="1"/>
  <c r="O129" i="4"/>
  <c r="F137" i="4" s="1"/>
  <c r="K129" i="4"/>
  <c r="G137" i="4" s="1"/>
  <c r="I129" i="4"/>
  <c r="I131" i="4" s="1"/>
  <c r="L131" i="4" s="1"/>
  <c r="I139" i="4" s="1"/>
  <c r="B144" i="4" s="1"/>
  <c r="H129" i="4"/>
  <c r="D129" i="4"/>
  <c r="N129" i="4" s="1"/>
  <c r="N131" i="4" s="1"/>
  <c r="E121" i="4"/>
  <c r="E120" i="4"/>
  <c r="E119" i="4"/>
  <c r="J107" i="4"/>
  <c r="E107" i="4"/>
  <c r="J106" i="4"/>
  <c r="E106" i="4"/>
  <c r="F100" i="4"/>
  <c r="E100" i="4"/>
  <c r="O100" i="4" s="1"/>
  <c r="F108" i="4" s="1"/>
  <c r="C100" i="4"/>
  <c r="B100" i="4"/>
  <c r="A100" i="4"/>
  <c r="P99" i="4"/>
  <c r="H107" i="4" s="1"/>
  <c r="O99" i="4"/>
  <c r="F107" i="4" s="1"/>
  <c r="I99" i="4"/>
  <c r="L99" i="4" s="1"/>
  <c r="I107" i="4" s="1"/>
  <c r="H99" i="4"/>
  <c r="K99" i="4" s="1"/>
  <c r="G107" i="4" s="1"/>
  <c r="D99" i="4"/>
  <c r="N99" i="4" s="1"/>
  <c r="P98" i="4"/>
  <c r="H106" i="4" s="1"/>
  <c r="O98" i="4"/>
  <c r="F106" i="4" s="1"/>
  <c r="I98" i="4"/>
  <c r="L98" i="4" s="1"/>
  <c r="I106" i="4" s="1"/>
  <c r="H98" i="4"/>
  <c r="J98" i="4" s="1"/>
  <c r="D98" i="4"/>
  <c r="D100" i="4" s="1"/>
  <c r="E90" i="4"/>
  <c r="E89" i="4"/>
  <c r="E88" i="4"/>
  <c r="J76" i="4"/>
  <c r="E76" i="4"/>
  <c r="J75" i="4"/>
  <c r="E75" i="4"/>
  <c r="F69" i="4"/>
  <c r="E69" i="4"/>
  <c r="C69" i="4"/>
  <c r="B69" i="4"/>
  <c r="A69" i="4"/>
  <c r="P68" i="4"/>
  <c r="H76" i="4" s="1"/>
  <c r="O68" i="4"/>
  <c r="F76" i="4" s="1"/>
  <c r="L68" i="4"/>
  <c r="I76" i="4" s="1"/>
  <c r="I68" i="4"/>
  <c r="H68" i="4"/>
  <c r="K68" i="4" s="1"/>
  <c r="G76" i="4" s="1"/>
  <c r="D68" i="4"/>
  <c r="N68" i="4" s="1"/>
  <c r="P67" i="4"/>
  <c r="H75" i="4" s="1"/>
  <c r="O67" i="4"/>
  <c r="F75" i="4" s="1"/>
  <c r="L67" i="4"/>
  <c r="I75" i="4" s="1"/>
  <c r="I67" i="4"/>
  <c r="I69" i="4" s="1"/>
  <c r="H67" i="4"/>
  <c r="H69" i="4" s="1"/>
  <c r="D67" i="4"/>
  <c r="N67" i="4" s="1"/>
  <c r="N69" i="4" s="1"/>
  <c r="E59" i="4"/>
  <c r="E58" i="4"/>
  <c r="E57" i="4"/>
  <c r="J45" i="4"/>
  <c r="E45" i="4"/>
  <c r="J44" i="4"/>
  <c r="E44" i="4"/>
  <c r="F38" i="4"/>
  <c r="E38" i="4"/>
  <c r="O38" i="4" s="1"/>
  <c r="F46" i="4" s="1"/>
  <c r="C38" i="4"/>
  <c r="B38" i="4"/>
  <c r="A38" i="4"/>
  <c r="P37" i="4"/>
  <c r="H45" i="4" s="1"/>
  <c r="O37" i="4"/>
  <c r="F45" i="4" s="1"/>
  <c r="K37" i="4"/>
  <c r="G45" i="4" s="1"/>
  <c r="I37" i="4"/>
  <c r="L37" i="4" s="1"/>
  <c r="I45" i="4" s="1"/>
  <c r="H37" i="4"/>
  <c r="D37" i="4"/>
  <c r="N37" i="4" s="1"/>
  <c r="P36" i="4"/>
  <c r="H44" i="4" s="1"/>
  <c r="O36" i="4"/>
  <c r="F44" i="4" s="1"/>
  <c r="K36" i="4"/>
  <c r="G44" i="4" s="1"/>
  <c r="B46" i="4" s="1"/>
  <c r="J36" i="4"/>
  <c r="I36" i="4"/>
  <c r="I38" i="4" s="1"/>
  <c r="L38" i="4" s="1"/>
  <c r="I46" i="4" s="1"/>
  <c r="B51" i="4" s="1"/>
  <c r="H36" i="4"/>
  <c r="H38" i="4" s="1"/>
  <c r="D36" i="4"/>
  <c r="N36" i="4" s="1"/>
  <c r="N38" i="4" s="1"/>
  <c r="D5" i="4"/>
  <c r="H5" i="4"/>
  <c r="K5" i="4" s="1"/>
  <c r="G13" i="4" s="1"/>
  <c r="I5" i="4"/>
  <c r="L5" i="4" s="1"/>
  <c r="I13" i="4" s="1"/>
  <c r="N5" i="4"/>
  <c r="O5" i="4"/>
  <c r="F13" i="4" s="1"/>
  <c r="P5" i="4"/>
  <c r="D6" i="4"/>
  <c r="H6" i="4"/>
  <c r="K6" i="4" s="1"/>
  <c r="G14" i="4" s="1"/>
  <c r="I6" i="4"/>
  <c r="O6" i="4"/>
  <c r="F14" i="4" s="1"/>
  <c r="P6" i="4"/>
  <c r="H14" i="4" s="1"/>
  <c r="A7" i="4"/>
  <c r="B7" i="4"/>
  <c r="C7" i="4"/>
  <c r="E7" i="4"/>
  <c r="F7" i="4"/>
  <c r="E13" i="4"/>
  <c r="H13" i="4"/>
  <c r="J13" i="4"/>
  <c r="E14" i="4"/>
  <c r="J14" i="4"/>
  <c r="E26" i="4"/>
  <c r="E27" i="4"/>
  <c r="E28" i="4"/>
  <c r="D56" i="6" l="1"/>
  <c r="L14" i="6"/>
  <c r="D55" i="6"/>
  <c r="K14" i="6"/>
  <c r="C42" i="6"/>
  <c r="C45" i="6"/>
  <c r="B48" i="6" s="1"/>
  <c r="J41" i="6"/>
  <c r="H40" i="6" s="1"/>
  <c r="J26" i="6"/>
  <c r="M22" i="6"/>
  <c r="M24" i="6" s="1"/>
  <c r="M25" i="6" s="1"/>
  <c r="E54" i="6"/>
  <c r="I27" i="6"/>
  <c r="K26" i="6"/>
  <c r="J5" i="4"/>
  <c r="L129" i="4"/>
  <c r="I137" i="4" s="1"/>
  <c r="J129" i="4"/>
  <c r="P131" i="4"/>
  <c r="H139" i="4" s="1"/>
  <c r="B139" i="4"/>
  <c r="K98" i="4"/>
  <c r="G106" i="4" s="1"/>
  <c r="B108" i="4" s="1"/>
  <c r="N98" i="4"/>
  <c r="N100" i="4" s="1"/>
  <c r="J67" i="4"/>
  <c r="J68" i="4"/>
  <c r="O69" i="4"/>
  <c r="F77" i="4" s="1"/>
  <c r="K67" i="4"/>
  <c r="G75" i="4" s="1"/>
  <c r="B77" i="4" s="1"/>
  <c r="P69" i="4"/>
  <c r="H77" i="4" s="1"/>
  <c r="D7" i="4"/>
  <c r="H7" i="4"/>
  <c r="K7" i="4" s="1"/>
  <c r="G15" i="4" s="1"/>
  <c r="J6" i="4"/>
  <c r="B15" i="4"/>
  <c r="J37" i="4"/>
  <c r="L36" i="4"/>
  <c r="I44" i="4" s="1"/>
  <c r="E154" i="4"/>
  <c r="J146" i="4" s="1"/>
  <c r="D148" i="4"/>
  <c r="C151" i="4" s="1"/>
  <c r="C154" i="4" s="1"/>
  <c r="H146" i="4" s="1"/>
  <c r="D151" i="4"/>
  <c r="D154" i="4" s="1"/>
  <c r="I146" i="4" s="1"/>
  <c r="E148" i="4"/>
  <c r="L148" i="4" s="1"/>
  <c r="F148" i="4"/>
  <c r="K148" i="4" s="1"/>
  <c r="D131" i="4"/>
  <c r="M131" i="4" s="1"/>
  <c r="J139" i="4" s="1"/>
  <c r="H131" i="4"/>
  <c r="E123" i="4"/>
  <c r="J115" i="4" s="1"/>
  <c r="P100" i="4"/>
  <c r="H108" i="4" s="1"/>
  <c r="M100" i="4"/>
  <c r="J108" i="4" s="1"/>
  <c r="I100" i="4"/>
  <c r="L100" i="4" s="1"/>
  <c r="I108" i="4" s="1"/>
  <c r="B113" i="4" s="1"/>
  <c r="J99" i="4"/>
  <c r="H100" i="4"/>
  <c r="J100" i="4" s="1"/>
  <c r="G100" i="4" s="1"/>
  <c r="E108" i="4" s="1"/>
  <c r="E92" i="4"/>
  <c r="J84" i="4" s="1"/>
  <c r="J69" i="4"/>
  <c r="K69" i="4"/>
  <c r="G77" i="4" s="1"/>
  <c r="D69" i="4"/>
  <c r="M69" i="4" s="1"/>
  <c r="J77" i="4" s="1"/>
  <c r="L69" i="4"/>
  <c r="I77" i="4" s="1"/>
  <c r="B82" i="4" s="1"/>
  <c r="E61" i="4"/>
  <c r="J53" i="4" s="1"/>
  <c r="P38" i="4"/>
  <c r="H46" i="4" s="1"/>
  <c r="D55" i="4"/>
  <c r="C58" i="4" s="1"/>
  <c r="C61" i="4" s="1"/>
  <c r="H53" i="4" s="1"/>
  <c r="D58" i="4"/>
  <c r="D61" i="4" s="1"/>
  <c r="I53" i="4" s="1"/>
  <c r="E55" i="4"/>
  <c r="L55" i="4" s="1"/>
  <c r="F55" i="4"/>
  <c r="K55" i="4" s="1"/>
  <c r="J38" i="4"/>
  <c r="K38" i="4"/>
  <c r="G46" i="4" s="1"/>
  <c r="D38" i="4"/>
  <c r="M38" i="4" s="1"/>
  <c r="J46" i="4" s="1"/>
  <c r="O7" i="4"/>
  <c r="F15" i="4" s="1"/>
  <c r="N6" i="4"/>
  <c r="N7" i="4" s="1"/>
  <c r="M7" i="4" s="1"/>
  <c r="J15" i="4" s="1"/>
  <c r="E30" i="4"/>
  <c r="J22" i="4" s="1"/>
  <c r="I7" i="4"/>
  <c r="L6" i="4"/>
  <c r="I14" i="4" s="1"/>
  <c r="P7" i="4"/>
  <c r="H15" i="4" s="1"/>
  <c r="D58" i="6" l="1"/>
  <c r="D62" i="6" s="1"/>
  <c r="B49" i="6"/>
  <c r="I62" i="6" s="1"/>
  <c r="F46" i="6"/>
  <c r="F54" i="6"/>
  <c r="I36" i="6"/>
  <c r="I31" i="6"/>
  <c r="I34" i="6"/>
  <c r="I29" i="6"/>
  <c r="I37" i="6"/>
  <c r="I35" i="6"/>
  <c r="I32" i="6"/>
  <c r="I30" i="6"/>
  <c r="G56" i="6"/>
  <c r="G58" i="6" s="1"/>
  <c r="G62" i="6" s="1"/>
  <c r="M26" i="6"/>
  <c r="E55" i="6"/>
  <c r="K27" i="6"/>
  <c r="K32" i="6" s="1"/>
  <c r="J35" i="6"/>
  <c r="J27" i="6"/>
  <c r="E56" i="6"/>
  <c r="K35" i="6"/>
  <c r="J7" i="4"/>
  <c r="G7" i="4" s="1"/>
  <c r="E15" i="4" s="1"/>
  <c r="K100" i="4"/>
  <c r="G108" i="4" s="1"/>
  <c r="J148" i="4"/>
  <c r="F150" i="4" s="1"/>
  <c r="K149" i="4"/>
  <c r="G151" i="4" s="1"/>
  <c r="F152" i="4"/>
  <c r="L149" i="4"/>
  <c r="G152" i="4" s="1"/>
  <c r="F151" i="4"/>
  <c r="J131" i="4"/>
  <c r="G131" i="4" s="1"/>
  <c r="E139" i="4" s="1"/>
  <c r="K131" i="4"/>
  <c r="G139" i="4" s="1"/>
  <c r="D117" i="4"/>
  <c r="C120" i="4" s="1"/>
  <c r="C123" i="4" s="1"/>
  <c r="H115" i="4" s="1"/>
  <c r="F117" i="4"/>
  <c r="K117" i="4" s="1"/>
  <c r="D120" i="4"/>
  <c r="D123" i="4" s="1"/>
  <c r="I115" i="4" s="1"/>
  <c r="E117" i="4"/>
  <c r="L117" i="4" s="1"/>
  <c r="G69" i="4"/>
  <c r="E77" i="4" s="1"/>
  <c r="D86" i="4"/>
  <c r="C89" i="4" s="1"/>
  <c r="C92" i="4" s="1"/>
  <c r="H84" i="4" s="1"/>
  <c r="D89" i="4"/>
  <c r="D92" i="4" s="1"/>
  <c r="I84" i="4" s="1"/>
  <c r="E86" i="4"/>
  <c r="L86" i="4" s="1"/>
  <c r="F86" i="4"/>
  <c r="K86" i="4" s="1"/>
  <c r="J55" i="4"/>
  <c r="F57" i="4" s="1"/>
  <c r="K56" i="4"/>
  <c r="G58" i="4" s="1"/>
  <c r="F59" i="4"/>
  <c r="L56" i="4"/>
  <c r="G59" i="4" s="1"/>
  <c r="F58" i="4"/>
  <c r="G38" i="4"/>
  <c r="E46" i="4" s="1"/>
  <c r="L7" i="4"/>
  <c r="I15" i="4" s="1"/>
  <c r="B20" i="4" s="1"/>
  <c r="E58" i="6" l="1"/>
  <c r="E62" i="6" s="1"/>
  <c r="K29" i="6"/>
  <c r="J34" i="6"/>
  <c r="F56" i="6"/>
  <c r="K31" i="6"/>
  <c r="J36" i="6"/>
  <c r="K30" i="6"/>
  <c r="J37" i="6"/>
  <c r="K34" i="6"/>
  <c r="J29" i="6"/>
  <c r="F55" i="6"/>
  <c r="K36" i="6"/>
  <c r="J31" i="6"/>
  <c r="K37" i="6"/>
  <c r="J30" i="6"/>
  <c r="J32" i="6"/>
  <c r="J149" i="4"/>
  <c r="G150" i="4" s="1"/>
  <c r="G154" i="4" s="1"/>
  <c r="L146" i="4" s="1"/>
  <c r="F154" i="4"/>
  <c r="K146" i="4" s="1"/>
  <c r="J117" i="4"/>
  <c r="F119" i="4" s="1"/>
  <c r="K118" i="4"/>
  <c r="G120" i="4" s="1"/>
  <c r="F121" i="4"/>
  <c r="L118" i="4"/>
  <c r="G121" i="4" s="1"/>
  <c r="F120" i="4"/>
  <c r="J86" i="4"/>
  <c r="J87" i="4" s="1"/>
  <c r="G88" i="4" s="1"/>
  <c r="L87" i="4"/>
  <c r="G90" i="4" s="1"/>
  <c r="F89" i="4"/>
  <c r="K87" i="4"/>
  <c r="G89" i="4" s="1"/>
  <c r="F90" i="4"/>
  <c r="J56" i="4"/>
  <c r="G57" i="4" s="1"/>
  <c r="G61" i="4" s="1"/>
  <c r="L53" i="4" s="1"/>
  <c r="F61" i="4"/>
  <c r="K53" i="4" s="1"/>
  <c r="E24" i="4"/>
  <c r="L24" i="4" s="1"/>
  <c r="D27" i="4"/>
  <c r="D30" i="4" s="1"/>
  <c r="I22" i="4" s="1"/>
  <c r="F24" i="4"/>
  <c r="K24" i="4" s="1"/>
  <c r="D24" i="4"/>
  <c r="C27" i="4" s="1"/>
  <c r="C30" i="4" s="1"/>
  <c r="H22" i="4" s="1"/>
  <c r="F58" i="6" l="1"/>
  <c r="F62" i="6" s="1"/>
  <c r="F88" i="4"/>
  <c r="F92" i="4" s="1"/>
  <c r="K84" i="4" s="1"/>
  <c r="J118" i="4"/>
  <c r="G119" i="4" s="1"/>
  <c r="G123" i="4" s="1"/>
  <c r="L115" i="4" s="1"/>
  <c r="F123" i="4"/>
  <c r="K115" i="4" s="1"/>
  <c r="G92" i="4"/>
  <c r="L84" i="4" s="1"/>
  <c r="F27" i="4"/>
  <c r="L25" i="4"/>
  <c r="J24" i="4"/>
  <c r="F28" i="4"/>
  <c r="K25" i="4"/>
  <c r="C55" i="1"/>
  <c r="B55" i="1"/>
  <c r="C54" i="1"/>
  <c r="B54" i="1"/>
  <c r="D41" i="1"/>
  <c r="D40" i="1"/>
  <c r="H22" i="1"/>
  <c r="B22" i="1"/>
  <c r="A22" i="1"/>
  <c r="H21" i="1"/>
  <c r="B21" i="1"/>
  <c r="M21" i="1" s="1"/>
  <c r="A21" i="1"/>
  <c r="F14" i="1"/>
  <c r="J14" i="1" s="1"/>
  <c r="C14" i="1"/>
  <c r="A14" i="1"/>
  <c r="E9" i="1"/>
  <c r="C9" i="1"/>
  <c r="D8" i="1"/>
  <c r="D7" i="1"/>
  <c r="G27" i="4" l="1"/>
  <c r="G28" i="4"/>
  <c r="J25" i="4"/>
  <c r="F26" i="4"/>
  <c r="F30" i="4" s="1"/>
  <c r="K22" i="4" s="1"/>
  <c r="A23" i="1"/>
  <c r="F22" i="1"/>
  <c r="C21" i="1"/>
  <c r="B56" i="1" s="1"/>
  <c r="B58" i="1" s="1"/>
  <c r="B62" i="1" s="1"/>
  <c r="D42" i="1"/>
  <c r="B23" i="1"/>
  <c r="C22" i="1"/>
  <c r="E22" i="1" s="1"/>
  <c r="B41" i="1"/>
  <c r="B46" i="1" s="1"/>
  <c r="D9" i="1"/>
  <c r="C41" i="1" s="1"/>
  <c r="C46" i="1" s="1"/>
  <c r="B14" i="1"/>
  <c r="D14" i="1" s="1"/>
  <c r="G14" i="1" s="1"/>
  <c r="M23" i="1"/>
  <c r="D21" i="1"/>
  <c r="D22" i="1"/>
  <c r="B40" i="1"/>
  <c r="D54" i="1"/>
  <c r="F21" i="1"/>
  <c r="G26" i="4" l="1"/>
  <c r="G30" i="4" s="1"/>
  <c r="L22" i="4" s="1"/>
  <c r="E21" i="1"/>
  <c r="J21" i="1" s="1"/>
  <c r="C23" i="1"/>
  <c r="V22" i="1" s="1"/>
  <c r="C56" i="1"/>
  <c r="C58" i="1" s="1"/>
  <c r="C62" i="1" s="1"/>
  <c r="I22" i="1"/>
  <c r="I26" i="1"/>
  <c r="E54" i="1" s="1"/>
  <c r="C40" i="1"/>
  <c r="C42" i="1" s="1"/>
  <c r="V21" i="1"/>
  <c r="I21" i="1"/>
  <c r="K14" i="1"/>
  <c r="D55" i="1"/>
  <c r="E14" i="1"/>
  <c r="H14" i="1" s="1"/>
  <c r="B42" i="1"/>
  <c r="B45" i="1"/>
  <c r="K22" i="1"/>
  <c r="J22" i="1"/>
  <c r="K21" i="1" l="1"/>
  <c r="J26" i="1" s="1"/>
  <c r="E56" i="1" s="1"/>
  <c r="M22" i="1"/>
  <c r="M24" i="1" s="1"/>
  <c r="M25" i="1" s="1"/>
  <c r="M26" i="1" s="1"/>
  <c r="J41" i="1"/>
  <c r="H40" i="1" s="1"/>
  <c r="C45" i="1"/>
  <c r="B48" i="1" s="1"/>
  <c r="B49" i="1" s="1"/>
  <c r="I62" i="1" s="1"/>
  <c r="V23" i="1"/>
  <c r="V24" i="1" s="1"/>
  <c r="V25" i="1" s="1"/>
  <c r="I27" i="1"/>
  <c r="I35" i="1" s="1"/>
  <c r="K26" i="1"/>
  <c r="E55" i="1" s="1"/>
  <c r="D56" i="1"/>
  <c r="D58" i="1" s="1"/>
  <c r="D62" i="1" s="1"/>
  <c r="L14" i="1"/>
  <c r="G56" i="1" l="1"/>
  <c r="G58" i="1" s="1"/>
  <c r="G62" i="1" s="1"/>
  <c r="I37" i="1"/>
  <c r="I29" i="1"/>
  <c r="I31" i="1"/>
  <c r="F54" i="1"/>
  <c r="I30" i="1"/>
  <c r="I36" i="1"/>
  <c r="I32" i="1"/>
  <c r="I34" i="1"/>
  <c r="F46" i="1"/>
  <c r="K27" i="1"/>
  <c r="K32" i="1" s="1"/>
  <c r="J27" i="1"/>
  <c r="K35" i="1" s="1"/>
  <c r="E58" i="1"/>
  <c r="E62" i="1" s="1"/>
  <c r="J31" i="1" l="1"/>
  <c r="J34" i="1"/>
  <c r="J29" i="1"/>
  <c r="K34" i="1"/>
  <c r="J30" i="1"/>
  <c r="K37" i="1"/>
  <c r="K36" i="1"/>
  <c r="F55" i="1"/>
  <c r="J37" i="1"/>
  <c r="K31" i="1"/>
  <c r="K30" i="1"/>
  <c r="F56" i="1"/>
  <c r="J35" i="1"/>
  <c r="J36" i="1"/>
  <c r="K29" i="1"/>
  <c r="J32" i="1"/>
  <c r="F58" i="1" l="1"/>
  <c r="F62" i="1" s="1"/>
</calcChain>
</file>

<file path=xl/sharedStrings.xml><?xml version="1.0" encoding="utf-8"?>
<sst xmlns="http://schemas.openxmlformats.org/spreadsheetml/2006/main" count="968" uniqueCount="377">
  <si>
    <t>Cálculo por incidencias acumuladas de RR, RAR, NNT con sus IC 95%, potencia estadística y valor de p</t>
  </si>
  <si>
    <r>
      <t>Abreviaturas</t>
    </r>
    <r>
      <rPr>
        <sz val="11"/>
        <rFont val="Calibri"/>
        <family val="2"/>
      </rPr>
      <t xml:space="preserve">: </t>
    </r>
    <r>
      <rPr>
        <b/>
        <sz val="11"/>
        <rFont val="Calibri"/>
        <family val="2"/>
      </rPr>
      <t>RA</t>
    </r>
    <r>
      <rPr>
        <sz val="11"/>
        <rFont val="Calibri"/>
        <family val="2"/>
      </rPr>
      <t>: Riesgo Absoluto; R</t>
    </r>
    <r>
      <rPr>
        <b/>
        <sz val="11"/>
        <rFont val="Calibri"/>
        <family val="2"/>
      </rPr>
      <t>R</t>
    </r>
    <r>
      <rPr>
        <sz val="11"/>
        <rFont val="Calibri"/>
        <family val="2"/>
      </rPr>
      <t xml:space="preserve">: Riesgo Relativo; </t>
    </r>
    <r>
      <rPr>
        <b/>
        <sz val="11"/>
        <rFont val="Calibri"/>
        <family val="2"/>
      </rPr>
      <t>RAR</t>
    </r>
    <r>
      <rPr>
        <sz val="11"/>
        <rFont val="Calibri"/>
        <family val="2"/>
      </rPr>
      <t xml:space="preserve">: Reducción Absoluta del Riesgo; </t>
    </r>
    <r>
      <rPr>
        <b/>
        <sz val="11"/>
        <rFont val="Calibri"/>
        <family val="2"/>
      </rPr>
      <t>NNT</t>
    </r>
    <r>
      <rPr>
        <sz val="11"/>
        <rFont val="Calibri"/>
        <family val="2"/>
      </rPr>
      <t xml:space="preserve">: Número Necesario a Tratar para evitar un evento; </t>
    </r>
    <r>
      <rPr>
        <b/>
        <sz val="11"/>
        <rFont val="Calibri"/>
        <family val="2"/>
      </rPr>
      <t>IC 95%</t>
    </r>
    <r>
      <rPr>
        <sz val="11"/>
        <rFont val="Calibri"/>
        <family val="2"/>
      </rPr>
      <t>: intervalo de confianza al 95%</t>
    </r>
  </si>
  <si>
    <t xml:space="preserve"> </t>
  </si>
  <si>
    <t>Enferman</t>
  </si>
  <si>
    <t>No enferman</t>
  </si>
  <si>
    <t>Con eventos</t>
  </si>
  <si>
    <t>Sin eventos</t>
  </si>
  <si>
    <t>Total</t>
  </si>
  <si>
    <t>Intervención</t>
  </si>
  <si>
    <t>Control</t>
  </si>
  <si>
    <t>Los límites del intervalos de confianza son los exponentes neperianos o antilogaritmos de la ecuación [ ln RR +- Z α/2 x EE (ln RR) ]</t>
  </si>
  <si>
    <t>ln RR</t>
  </si>
  <si>
    <t>Z α/2 (0,05)</t>
  </si>
  <si>
    <t>RR</t>
  </si>
  <si>
    <t>Límite inferior del IC</t>
  </si>
  <si>
    <t>Límite superior del IC</t>
  </si>
  <si>
    <t>RRR</t>
  </si>
  <si>
    <t>Cálculo del intervalo de confianza (IC) cada una de las dos proporciones (Riesgo absoluto de la intervención y Riesgo absoluto del control)</t>
  </si>
  <si>
    <t xml:space="preserve">Mét. Newcombe, 1988 </t>
  </si>
  <si>
    <t>Primero se procede haciendo los IC de ambas proporciones por el método de Wilson, y después se aplica: IC = RAR - Raíz [(p1-Ls1)^2 + (Li2-p2)^2]  hasta RAR + Raíz [(p2-Ls2)^2 + (Li1-p1)^2]</t>
  </si>
  <si>
    <t>Aunque es mejor calcularlo por ji^2 de Pearson, puede utilizarse una aproximación al cálculo de la "p de la diferencia"</t>
  </si>
  <si>
    <r>
      <t>p</t>
    </r>
    <r>
      <rPr>
        <sz val="10"/>
        <color indexed="12"/>
        <rFont val="Calibri"/>
        <family val="2"/>
      </rPr>
      <t xml:space="preserve"> = eventos / n</t>
    </r>
  </si>
  <si>
    <t>A= 2*eventos + z^2</t>
  </si>
  <si>
    <r>
      <t xml:space="preserve">B= z * Raíz [z^2 + 4*eventos (1 - </t>
    </r>
    <r>
      <rPr>
        <i/>
        <sz val="10"/>
        <color indexed="12"/>
        <rFont val="Calibri"/>
        <family val="2"/>
      </rPr>
      <t>p</t>
    </r>
    <r>
      <rPr>
        <sz val="10"/>
        <color indexed="12"/>
        <rFont val="Calibri"/>
        <family val="2"/>
      </rPr>
      <t xml:space="preserve">)] </t>
    </r>
  </si>
  <si>
    <t>C= 2(n+z^2)</t>
  </si>
  <si>
    <t>IC = (A+-B)/C</t>
  </si>
  <si>
    <t>Coinciden z^2 de una distribución normal tipificada (=&gt; muestras grandes) con ji^2 con un grado de libertad (EA, pág 254)</t>
  </si>
  <si>
    <t>Nº con evento</t>
  </si>
  <si>
    <t>n (de muestra)</t>
  </si>
  <si>
    <t>p (proporción) = eventos / n</t>
  </si>
  <si>
    <t>Estimación puntual de la proporción</t>
  </si>
  <si>
    <t>CÁLCULO DE LA POTENCIA:</t>
  </si>
  <si>
    <r>
      <t>Zβ = [Raíz (nd^2 /2</t>
    </r>
    <r>
      <rPr>
        <i/>
        <sz val="10"/>
        <rFont val="Calibri"/>
        <family val="2"/>
      </rPr>
      <t>p</t>
    </r>
    <r>
      <rPr>
        <sz val="10"/>
        <rFont val="Calibri"/>
        <family val="2"/>
      </rPr>
      <t>m*</t>
    </r>
    <r>
      <rPr>
        <i/>
        <sz val="10"/>
        <rFont val="Calibri"/>
        <family val="2"/>
      </rPr>
      <t>q</t>
    </r>
    <r>
      <rPr>
        <sz val="10"/>
        <rFont val="Calibri"/>
        <family val="2"/>
      </rPr>
      <t>m)] - Z α/2 (0,05)</t>
    </r>
  </si>
  <si>
    <r>
      <t xml:space="preserve">CÁLCULO DE LA </t>
    </r>
    <r>
      <rPr>
        <b/>
        <i/>
        <sz val="9"/>
        <rFont val="Calibri"/>
        <family val="2"/>
      </rPr>
      <t>p</t>
    </r>
  </si>
  <si>
    <t>Z α/2 = Dif Proporc / EE (Difer Proporc)</t>
  </si>
  <si>
    <t>Operar</t>
  </si>
  <si>
    <t>n = nº de los que hay en cada grupo (ojo, no de la suma de ambos)</t>
  </si>
  <si>
    <t>Dif Proporc de ambos grupos =  RAR</t>
  </si>
  <si>
    <t>d = diferencia de proporciones de ambos grupos o RAR</t>
  </si>
  <si>
    <t xml:space="preserve">EE (Dif Proporc) = Raíz[ pm(1-pm)/n1] + [ pm(1-pm)/n2] = </t>
  </si>
  <si>
    <t>pM = proporción "media" de los eventos = nº total eventos / nº suma de ambos grupos; qM= complementario</t>
  </si>
  <si>
    <t>Z α/2 = Dif Proporc / EE Dif proporc</t>
  </si>
  <si>
    <t>A continuación, se aplica: IC = RAR - Raíz [(p1-Li1)^2 + (Ls2-p2)^2]  hasta RAR + Raíz [(p2-Li2)^2 + (Ls1-p1)^2], cuidando colocar arriba la proporción mayor y abajo la menor</t>
  </si>
  <si>
    <r>
      <t>Zβ = [Raíz (nd^2 /2</t>
    </r>
    <r>
      <rPr>
        <i/>
        <sz val="10"/>
        <rFont val="Calibri"/>
        <family val="2"/>
      </rPr>
      <t>pM</t>
    </r>
    <r>
      <rPr>
        <sz val="10"/>
        <rFont val="Calibri"/>
        <family val="2"/>
      </rPr>
      <t>*</t>
    </r>
    <r>
      <rPr>
        <i/>
        <sz val="10"/>
        <rFont val="Calibri"/>
        <family val="2"/>
      </rPr>
      <t>qM</t>
    </r>
    <r>
      <rPr>
        <sz val="10"/>
        <rFont val="Calibri"/>
        <family val="2"/>
      </rPr>
      <t>)] - Z α/2 (0,05)</t>
    </r>
  </si>
  <si>
    <t>α = probab de que la diferencia detectada entre ambos sea debida al azar, en caso de que no exista (error alfa)</t>
  </si>
  <si>
    <r>
      <t>Ls1:</t>
    </r>
    <r>
      <rPr>
        <sz val="10"/>
        <color indexed="12"/>
        <rFont val="Calibri"/>
        <family val="2"/>
      </rPr>
      <t xml:space="preserve"> límite superior del grupo 1; </t>
    </r>
    <r>
      <rPr>
        <b/>
        <sz val="10"/>
        <color indexed="12"/>
        <rFont val="Calibri"/>
        <family val="2"/>
      </rPr>
      <t xml:space="preserve">Li2: </t>
    </r>
    <r>
      <rPr>
        <sz val="10"/>
        <color indexed="12"/>
        <rFont val="Calibri"/>
        <family val="2"/>
      </rPr>
      <t>límite inferior del grupo 2</t>
    </r>
  </si>
  <si>
    <t>1 -β = potencia estadística resultante =&gt; probab de detectar una diferencia entre ambos, en caso de que exista</t>
  </si>
  <si>
    <t>1-α = probabilidad de dar por buena una diferencia que existe.</t>
  </si>
  <si>
    <t>Cálculo del IC del RAR y del NNT</t>
  </si>
  <si>
    <t>---------------------------------------------&gt;</t>
  </si>
  <si>
    <t>RAR =</t>
  </si>
  <si>
    <t>probabliidad o riesgo de cometer un error β =&gt; probabilidad de no detectar una diferencia que sí exista.</t>
  </si>
  <si>
    <t>NNT =</t>
  </si>
  <si>
    <t>APLICAR SÓLO SI EL NNT Y SUS IC SON POSITIVOS</t>
  </si>
  <si>
    <t>====&gt;  NNT</t>
  </si>
  <si>
    <t>Permanecerán sanos sin tomar el Mto de Intervención</t>
  </si>
  <si>
    <t>Permanecerán sanos por tomar el Mto de Intervención</t>
  </si>
  <si>
    <t>Enfermarán incluso tomando el Mto de Intervención</t>
  </si>
  <si>
    <t>APLICAR SÓLO SI EL NNT Y SUS IC SON NEGATIVOS</t>
  </si>
  <si>
    <t>====&gt;  NND</t>
  </si>
  <si>
    <t>Enfermarán por tomar el Mto de Intervención</t>
  </si>
  <si>
    <t>Chi cuadrado de Pearson (un ejemplo de variable cualitativa)</t>
  </si>
  <si>
    <t>Enfermarán incluso sin tomar el Mto de Intervención</t>
  </si>
  <si>
    <t>Esperadas</t>
  </si>
  <si>
    <t>Expuestos</t>
  </si>
  <si>
    <t xml:space="preserve">χ² teórico alfa 0,05, y 1 g.l = </t>
  </si>
  <si>
    <t>No expuestos</t>
  </si>
  <si>
    <t>Grados de libertad = (Nº filas - 1 ) x (Nº columnas -1) =</t>
  </si>
  <si>
    <t>Totales</t>
  </si>
  <si>
    <t>Si χ² cal &lt; χ² teórico =&gt;</t>
  </si>
  <si>
    <t>Se acepta Ho =&gt; existe homogeneidad o independencia de la intervención estudiada</t>
  </si>
  <si>
    <t>Si χ² cal &gt; χ² teórico =&gt;</t>
  </si>
  <si>
    <t>Se rechaza Ho =&gt; existe heterogenicidad o dependencia de la intervención estudiada</t>
  </si>
  <si>
    <t>χ² cal= Sumat (observado i - esperado i)^2 / esperado i)</t>
  </si>
  <si>
    <t>χ² cal - χ² teórico =</t>
  </si>
  <si>
    <t>χ² cal= Suma [(ao-ae)^2/ae +(bo-be)^2/be + (co-ce)^2/ce + (do-de)^2/de)]</t>
  </si>
  <si>
    <t>Es &lt; 0 =&gt;Acepto Ho =&gt; Homogeneidad o independencia (o tratamiento no eficaz)</t>
  </si>
  <si>
    <t>χ² cal=</t>
  </si>
  <si>
    <t>Es &gt; 0 =&gt;Rechazo Ho =&gt; Heterogenicidad o dependencia (o tratamiento eficaz)</t>
  </si>
  <si>
    <r>
      <t>Corresponde a</t>
    </r>
    <r>
      <rPr>
        <b/>
        <i/>
        <sz val="10"/>
        <rFont val="Calibri"/>
        <family val="2"/>
      </rPr>
      <t xml:space="preserve"> p</t>
    </r>
    <r>
      <rPr>
        <sz val="10"/>
        <rFont val="Calibri"/>
        <family val="2"/>
      </rPr>
      <t>=</t>
    </r>
  </si>
  <si>
    <t>CÁLCULOS EN incidencias acumuladas</t>
  </si>
  <si>
    <t xml:space="preserve">en </t>
  </si>
  <si>
    <t>…….</t>
  </si>
  <si>
    <t>años</t>
  </si>
  <si>
    <t>(</t>
  </si>
  <si>
    <t>-</t>
  </si>
  <si>
    <t>)</t>
  </si>
  <si>
    <t>%</t>
  </si>
  <si>
    <t>Nº event Interv (%)</t>
  </si>
  <si>
    <t>Nº event Control (%)</t>
  </si>
  <si>
    <t>RAR</t>
  </si>
  <si>
    <t>NNT</t>
  </si>
  <si>
    <t>potencia</t>
  </si>
  <si>
    <t>a</t>
  </si>
  <si>
    <t>/</t>
  </si>
  <si>
    <t>RR (IC 95%)</t>
  </si>
  <si>
    <t>RAR (IC 95%)</t>
  </si>
  <si>
    <t>NNT (IC 95%)</t>
  </si>
  <si>
    <t>Potencia</t>
  </si>
  <si>
    <r>
      <t xml:space="preserve">Valor de </t>
    </r>
    <r>
      <rPr>
        <i/>
        <sz val="10"/>
        <rFont val="Calibri"/>
        <family val="2"/>
      </rPr>
      <t xml:space="preserve">p </t>
    </r>
    <r>
      <rPr>
        <b/>
        <sz val="10"/>
        <rFont val="Calibri"/>
        <family val="2"/>
      </rPr>
      <t>para la diferencia</t>
    </r>
  </si>
  <si>
    <t>Estimación puntual</t>
  </si>
  <si>
    <t>Límite inferior del IC 95%</t>
  </si>
  <si>
    <t>% RA interv</t>
  </si>
  <si>
    <t>% RA control</t>
  </si>
  <si>
    <t>RAR (IC95%)</t>
  </si>
  <si>
    <t>RR (IC 95%) obtenido en el metaanálisis</t>
  </si>
  <si>
    <t>ln del LS IC</t>
  </si>
  <si>
    <t>ln del LI IC</t>
  </si>
  <si>
    <t>EE del ln RR = Raíz (varianza del ln RR) = Raíz [b / a(a+b)]+[d/ c(c+d)]</t>
  </si>
  <si>
    <t>EE del ln RR = Raíz (varianza del ln RR) = Raíz [b/ a(a+b)]+[d / c(c+d)]. También es igual a Raíz (1/a + 1/c - 1/a+b -1/c+d)</t>
  </si>
  <si>
    <t>Cálculos por incidencias acumuladas</t>
  </si>
  <si>
    <t>EVENTOS CARDIOVASCULARES</t>
  </si>
  <si>
    <t>HEMORRAGIAS</t>
  </si>
  <si>
    <t>5/978 (0,51%)</t>
  </si>
  <si>
    <t>5/492 (1,02%)</t>
  </si>
  <si>
    <t>0,5 (0,15-1,73)</t>
  </si>
  <si>
    <t>0,51% (-0,87% a 1,4%)</t>
  </si>
  <si>
    <t>198 (71 a -115)</t>
  </si>
  <si>
    <t>MortCV, IAM, ACV, AIT o EmbSist]</t>
  </si>
  <si>
    <t>2/978 (0,2%)</t>
  </si>
  <si>
    <t>0/492 (0%)</t>
  </si>
  <si>
    <t>-0,2% (-0,99% a 0,33%)</t>
  </si>
  <si>
    <t>-489 (300 a -101)</t>
  </si>
  <si>
    <t>0/978 (0%)</t>
  </si>
  <si>
    <t>2/492 (0,41%)</t>
  </si>
  <si>
    <t>0,41% (-0,66% a 0,9%)</t>
  </si>
  <si>
    <t>246 (112 a -152)</t>
  </si>
  <si>
    <t>1/978 (0,1%)</t>
  </si>
  <si>
    <t>1/492 (0,2%)</t>
  </si>
  <si>
    <t>0,5 (0,03-8,03)</t>
  </si>
  <si>
    <t>0,1% (-0,84% a 0,6%)</t>
  </si>
  <si>
    <t>990 (165 a -119)</t>
  </si>
  <si>
    <t>4/978 (0,41%)</t>
  </si>
  <si>
    <t>1,01 (0,18-5,47)</t>
  </si>
  <si>
    <t>0% (-1,09% a 0,7%)</t>
  </si>
  <si>
    <t>-40098 (143 a -91)</t>
  </si>
  <si>
    <t>3/492 (0,61%)</t>
  </si>
  <si>
    <t>0,84 (0,2-3,49)</t>
  </si>
  <si>
    <t>0,1% (-1,11% a 0,89%)</t>
  </si>
  <si>
    <t>1015 (113 a -90)</t>
  </si>
  <si>
    <t>6/978 (0,61%)</t>
  </si>
  <si>
    <t>4/492 (0,81%)</t>
  </si>
  <si>
    <t>0,75 (0,21-2,66)</t>
  </si>
  <si>
    <t>0,2% (-1,1% a 1,07%)</t>
  </si>
  <si>
    <t>501 (93 a -91)</t>
  </si>
  <si>
    <t>0,25 (0,02-2,77)</t>
  </si>
  <si>
    <t>0,3% (-0,76% a 0,86%)</t>
  </si>
  <si>
    <t>329 (116 a -131)</t>
  </si>
  <si>
    <t>1,01 (0,09-11,07)</t>
  </si>
  <si>
    <t>0% (-0,95% a 0,56%)</t>
  </si>
  <si>
    <t>-80196 (178 a -105)</t>
  </si>
  <si>
    <t>Reducción &gt; 2 g/dl de Hb</t>
  </si>
  <si>
    <t>2,01 (0,23-17,96)</t>
  </si>
  <si>
    <t>-0,21% (-1,18% a 0,45%)</t>
  </si>
  <si>
    <t>-486 (220 a -85)</t>
  </si>
  <si>
    <r>
      <rPr>
        <b/>
        <sz val="12"/>
        <color rgb="FF993300"/>
        <rFont val="Calibri"/>
        <family val="2"/>
        <scheme val="minor"/>
      </rPr>
      <t>Tabla 1</t>
    </r>
    <r>
      <rPr>
        <b/>
        <sz val="12"/>
        <rFont val="Calibri"/>
        <family val="2"/>
        <scheme val="minor"/>
      </rPr>
      <t>: Ensayo clínico X-Vert, eventos en los 30 días después de la cardioversión</t>
    </r>
  </si>
  <si>
    <t>---------</t>
  </si>
  <si>
    <t>Grupo Rivaroxabán, n= 978</t>
  </si>
  <si>
    <t>Grupo Warfarina, n= 492</t>
  </si>
  <si>
    <r>
      <rPr>
        <b/>
        <sz val="12"/>
        <color rgb="FF993300"/>
        <rFont val="Calibri"/>
        <family val="2"/>
        <scheme val="minor"/>
      </rPr>
      <t>Tabla 2</t>
    </r>
    <r>
      <rPr>
        <b/>
        <sz val="12"/>
        <rFont val="Calibri"/>
        <family val="2"/>
        <scheme val="minor"/>
      </rPr>
      <t>: Ensayo clínico ENSURE FA, eventos en los 30 días después de la cardioversión</t>
    </r>
  </si>
  <si>
    <t>Grupo Edoxabán, n= 1095</t>
  </si>
  <si>
    <t>Grupo Warfarina, n= 1104</t>
  </si>
  <si>
    <t>[MortCV, ACV o EmbSist]</t>
  </si>
  <si>
    <t>5/1095 (0,46%)</t>
  </si>
  <si>
    <t>11/1104 (1%)</t>
  </si>
  <si>
    <t>0,46 (0,16-1,31)</t>
  </si>
  <si>
    <t>0,54% (-0,28% a 1,29%)</t>
  </si>
  <si>
    <t>185 (78 a -355)</t>
  </si>
  <si>
    <t>1/1095 (0,09%)</t>
  </si>
  <si>
    <t>5/1104 (0,45%)</t>
  </si>
  <si>
    <t>0,2 (0,02-1,72)</t>
  </si>
  <si>
    <t>0,36% (-0,25% a 0,86%)</t>
  </si>
  <si>
    <t>277 (116 a -406)</t>
  </si>
  <si>
    <t>36,77%</t>
  </si>
  <si>
    <t>ACV</t>
  </si>
  <si>
    <t>2/1095 (0,18%)</t>
  </si>
  <si>
    <t>3/1104 (0,27%)</t>
  </si>
  <si>
    <t>0,67 (0,11-4,01)</t>
  </si>
  <si>
    <t>0,09% (-0,45% a 0,6%)</t>
  </si>
  <si>
    <t>1123 (166 a -221)</t>
  </si>
  <si>
    <t>6,4%</t>
  </si>
  <si>
    <t>1/1104 (0,09%)</t>
  </si>
  <si>
    <t>1,01 (0,06-16,1)</t>
  </si>
  <si>
    <t>0% (-0,43% a 0,43%)</t>
  </si>
  <si>
    <t>-134320 (233 a -234)</t>
  </si>
  <si>
    <t>1122 (166 a -221)</t>
  </si>
  <si>
    <t>16/1095 (1,46%)</t>
  </si>
  <si>
    <t>1,47 (0,68-3,15)</t>
  </si>
  <si>
    <t>-0,46% (-1,42% a 0,54%)</t>
  </si>
  <si>
    <t>-215 (187 a -70)</t>
  </si>
  <si>
    <t>3/1095 (0,27%)</t>
  </si>
  <si>
    <t>0,6 (0,14-2,53)</t>
  </si>
  <si>
    <t>0,18% (-0,45% a 0,77%)</t>
  </si>
  <si>
    <t>559 (130 a -222)</t>
  </si>
  <si>
    <t>10,3%</t>
  </si>
  <si>
    <t>0/1095 (0%)</t>
  </si>
  <si>
    <t>0/1104 (0%)</t>
  </si>
  <si>
    <t>------</t>
  </si>
  <si>
    <t>0% (-0,35% a 0,35%)</t>
  </si>
  <si>
    <t>0,09% (-0,33% a 0,45%)</t>
  </si>
  <si>
    <t>1104 (223 a -303)</t>
  </si>
  <si>
    <t>32/1095 (2,92%)</t>
  </si>
  <si>
    <t>35/1104 (3,17%)</t>
  </si>
  <si>
    <t>0,92 (0,57-1,48)</t>
  </si>
  <si>
    <t>0,25% (-1,23% a 1,72%)</t>
  </si>
  <si>
    <t>403 (58 a -82)</t>
  </si>
  <si>
    <t>EFECTOS ADVERSOS</t>
  </si>
  <si>
    <t>320/1067 (29,99%)</t>
  </si>
  <si>
    <t>357/1083 (32,96%)</t>
  </si>
  <si>
    <t>0,91 (0,8-1,03)</t>
  </si>
  <si>
    <t>2,97% (-0,94% a 6,9%)</t>
  </si>
  <si>
    <t>34 (14 a -107)</t>
  </si>
  <si>
    <t>85/1067 (7,97%)</t>
  </si>
  <si>
    <t>83/1083 (7,66%)</t>
  </si>
  <si>
    <t>1,04 (0,78-1,39)</t>
  </si>
  <si>
    <t>-0,3% (-2,58% a 1,99%)</t>
  </si>
  <si>
    <t>-331 (50 a -39)</t>
  </si>
  <si>
    <t>1/1067 (0,09%)</t>
  </si>
  <si>
    <t>5/1083 (0,46%)</t>
  </si>
  <si>
    <t>0,2 (0,02-1,73)</t>
  </si>
  <si>
    <t>0,37% (-0,25% a 0,88%)</t>
  </si>
  <si>
    <t>272 (114 a -398)</t>
  </si>
  <si>
    <t>54/1067 (5,06%)</t>
  </si>
  <si>
    <t>69/1083 (6,37%)</t>
  </si>
  <si>
    <t>0,79 (0,56-1,12)</t>
  </si>
  <si>
    <t>1,31% (-0,68% a 3,29%)</t>
  </si>
  <si>
    <t>76 (30 a -147)</t>
  </si>
  <si>
    <t>WARF</t>
  </si>
  <si>
    <t>NACO</t>
  </si>
  <si>
    <t>X-Vert (Riva vs Warf)</t>
  </si>
  <si>
    <t>ENSURE AF (Edox vs Warf)</t>
  </si>
  <si>
    <t>Nº personas</t>
  </si>
  <si>
    <t>Nº de eventos crudos</t>
  </si>
  <si>
    <t>Denominación de los estudios</t>
  </si>
  <si>
    <t>Ambos grupos combinados</t>
  </si>
  <si>
    <t>Puntuación ordinal de importancia o aversión al riesgo</t>
  </si>
  <si>
    <t>Estudios individuales</t>
  </si>
  <si>
    <t>Diseño</t>
  </si>
  <si>
    <t>Heteroge-neidad</t>
  </si>
  <si>
    <t>Peso de los estudios (modelo efectos aleatorios)</t>
  </si>
  <si>
    <t>Cálculo por incidencias acumuladas</t>
  </si>
  <si>
    <t>RR (IC (95%)</t>
  </si>
  <si>
    <t xml:space="preserve">Potencia estadística </t>
  </si>
  <si>
    <t>ECA</t>
  </si>
  <si>
    <t>Total estudios:</t>
  </si>
  <si>
    <r>
      <t>I</t>
    </r>
    <r>
      <rPr>
        <b/>
        <i/>
        <vertAlign val="superscript"/>
        <sz val="11"/>
        <rFont val="Calibri"/>
        <family val="2"/>
      </rPr>
      <t xml:space="preserve">2 </t>
    </r>
    <r>
      <rPr>
        <b/>
        <sz val="11"/>
        <rFont val="Calibri"/>
        <family val="2"/>
      </rPr>
      <t>= 0%</t>
    </r>
  </si>
  <si>
    <t>METAANÁLISIS</t>
  </si>
  <si>
    <t>0.83 [0.74, 0.92]</t>
  </si>
  <si>
    <t xml:space="preserve">% RA control = </t>
  </si>
  <si>
    <t>Límite superior del IC al 95%</t>
  </si>
  <si>
    <t>RA intervención</t>
  </si>
  <si>
    <t>Meses de seguimiento</t>
  </si>
  <si>
    <t>Nº personas-mes</t>
  </si>
  <si>
    <t>Eventos / 100 personas-mes</t>
  </si>
  <si>
    <t>por mes</t>
  </si>
  <si>
    <t>ECAs X-Vert y ENSURE AF, "ACV totales"</t>
  </si>
  <si>
    <r>
      <rPr>
        <b/>
        <sz val="14"/>
        <color indexed="60"/>
        <rFont val="Calibri"/>
        <family val="2"/>
      </rPr>
      <t>Tabla 3.1:</t>
    </r>
    <r>
      <rPr>
        <b/>
        <sz val="14"/>
        <rFont val="Calibri"/>
        <family val="2"/>
      </rPr>
      <t xml:space="preserve"> ACV totales con NACOs frente a Warfarina para cardioversión electiva en pacientes con fibrilación auricular no valvular.</t>
    </r>
  </si>
  <si>
    <t>0.62 [0.14, 2.77]</t>
  </si>
  <si>
    <t>0.52 [0.11, 2.48]</t>
  </si>
  <si>
    <t>0.69 [0.27, 1.76]</t>
  </si>
  <si>
    <t>1.01 [0.09, 11.07]</t>
  </si>
  <si>
    <t>0,19%</t>
  </si>
  <si>
    <t>0,32%</t>
  </si>
  <si>
    <t>0,59 (0,16-2,2)</t>
  </si>
  <si>
    <t>0,13% (-0,38% a 0,27%)</t>
  </si>
  <si>
    <t>769 (375 a -263)</t>
  </si>
  <si>
    <t>Aplicando al 0,32% eventos / personas-mes estimado en el control, para una edad media de 64,5 años</t>
  </si>
  <si>
    <t xml:space="preserve"> % Eventos, Grupo NACOs</t>
  </si>
  <si>
    <t xml:space="preserve"> % Eventos, Grupo WARF</t>
  </si>
  <si>
    <t>ACV totales, si aplicamos modelo de efectos aleatorios</t>
  </si>
  <si>
    <t>ECAs X-Vert y ENSURE AF, "Hemorragia intracraneal"</t>
  </si>
  <si>
    <r>
      <rPr>
        <b/>
        <sz val="14"/>
        <color indexed="60"/>
        <rFont val="Calibri"/>
        <family val="2"/>
      </rPr>
      <t>Tabla 3.5:</t>
    </r>
    <r>
      <rPr>
        <b/>
        <sz val="14"/>
        <rFont val="Calibri"/>
        <family val="2"/>
      </rPr>
      <t xml:space="preserve"> Hemorragia intracraneal con NACOs frente a Warfarina para cardioversión electiva en pacientes con fibrilación auricular no valvular.</t>
    </r>
  </si>
  <si>
    <t>Aplicando al 0,06% eventos / personas-mes estimado en el control, para una edad media de 64,5 años</t>
  </si>
  <si>
    <t xml:space="preserve">meses de seguimiento (media o mediana) </t>
  </si>
  <si>
    <t xml:space="preserve"> % Eventos/ mes, Grupo NACOs</t>
  </si>
  <si>
    <t>Nº Eventos / total pacientes; Grupo NACOs</t>
  </si>
  <si>
    <t>Nº Eventos / total pacientes; Grupo WARF</t>
  </si>
  <si>
    <t xml:space="preserve"> % Eventos/ mes, Grupo WARF</t>
  </si>
  <si>
    <r>
      <rPr>
        <b/>
        <sz val="14"/>
        <color indexed="60"/>
        <rFont val="Calibri"/>
        <family val="2"/>
      </rPr>
      <t>Tabla 3.2:</t>
    </r>
    <r>
      <rPr>
        <b/>
        <sz val="14"/>
        <rFont val="Calibri"/>
        <family val="2"/>
      </rPr>
      <t xml:space="preserve"> Infarto de miocardio con NACOs frente a Warfarina para cardioversión electiva en pacientes con fibrilación auricular no valvular.</t>
    </r>
  </si>
  <si>
    <t>Infarto de miocardio, si aplicamos modelo de efectos aleatorios</t>
  </si>
  <si>
    <t>ECAs X-Vert y ENSURE AF, "Infarto de miocardio"</t>
  </si>
  <si>
    <t>0,62 (0,14-2,27)</t>
  </si>
  <si>
    <t>0,1% (-0,32% a 0,22%)</t>
  </si>
  <si>
    <t>1037 (458 a -310)</t>
  </si>
  <si>
    <t>Aplicando al 0,25% eventos / personas-mes estimado en el control, para una edad media de 64,5 años</t>
  </si>
  <si>
    <t>ECAs X-Vert y ENSURE AF, "Mortalidad cardiovascular"</t>
  </si>
  <si>
    <r>
      <rPr>
        <b/>
        <sz val="14"/>
        <color indexed="60"/>
        <rFont val="Calibri"/>
        <family val="2"/>
      </rPr>
      <t>Tabla 3.3:</t>
    </r>
    <r>
      <rPr>
        <b/>
        <sz val="14"/>
        <rFont val="Calibri"/>
        <family val="2"/>
      </rPr>
      <t xml:space="preserve"> Mortalidad cardiovascular con NACOs frente a Warfarina para cardioversión electiva en pacientes con fibrilación auricular no valvular.</t>
    </r>
  </si>
  <si>
    <t>Mortalidad cardiovascular, si aplicamos modelo de efectos aleatorios</t>
  </si>
  <si>
    <t>Aplicando al 0,44% eventos / personas-mes estimado en el control, para una edad media de 64,5 años</t>
  </si>
  <si>
    <r>
      <t>I</t>
    </r>
    <r>
      <rPr>
        <b/>
        <i/>
        <vertAlign val="superscript"/>
        <sz val="11"/>
        <color rgb="FFFF6600"/>
        <rFont val="Calibri"/>
        <family val="2"/>
      </rPr>
      <t xml:space="preserve">2 </t>
    </r>
    <r>
      <rPr>
        <b/>
        <sz val="11"/>
        <color rgb="FFFF6600"/>
        <rFont val="Calibri"/>
        <family val="2"/>
      </rPr>
      <t>= 28%</t>
    </r>
  </si>
  <si>
    <t>0,23%</t>
  </si>
  <si>
    <t>0,44%</t>
  </si>
  <si>
    <t>0,52 (0,11-2,48)</t>
  </si>
  <si>
    <t>0,21% (-0,66% a 0,4%)</t>
  </si>
  <si>
    <t>469 (253 a -152)</t>
  </si>
  <si>
    <t>ECAs X-Vert y ENSURE AF, "Hemorragia mayor"</t>
  </si>
  <si>
    <r>
      <rPr>
        <b/>
        <sz val="14"/>
        <color indexed="60"/>
        <rFont val="Calibri"/>
        <family val="2"/>
      </rPr>
      <t>Tabla 3.4:</t>
    </r>
    <r>
      <rPr>
        <b/>
        <sz val="14"/>
        <rFont val="Calibri"/>
        <family val="2"/>
      </rPr>
      <t xml:space="preserve"> Hemorragia mayor con NACOs frente a Warfarina para cardioversión electiva en pacientes con fibrilación auricular no valvular.</t>
    </r>
  </si>
  <si>
    <t>Hemorragia mayor, si aplicamos modelo de efectos aleatorios</t>
  </si>
  <si>
    <t>Aplicando al 0,57% eventos / personas-mes estimado en el control, para una edad media de 64,5 años</t>
  </si>
  <si>
    <t>0,69 (0,27-1,76)</t>
  </si>
  <si>
    <t>0,18% (-0,43% a 0,42%)</t>
  </si>
  <si>
    <t>565 (240 a -230)</t>
  </si>
  <si>
    <t>Hemorragia intracraneal, si aplicamos modelo de efectos aleatorios</t>
  </si>
  <si>
    <t>0% (-0,64% a 0,06%)</t>
  </si>
  <si>
    <t>-157600 (1732 a -157)</t>
  </si>
  <si>
    <t>0,5 (0,07-3,56)</t>
  </si>
  <si>
    <t>0,2% (-0,87% a 0,82%)</t>
  </si>
  <si>
    <t>495 (123 a -115)</t>
  </si>
  <si>
    <t>13,51%</t>
  </si>
  <si>
    <t>Mortalidad cardiovascular</t>
  </si>
  <si>
    <t>Embolismo Sistémico</t>
  </si>
  <si>
    <t>Infartode miocardio</t>
  </si>
  <si>
    <t>Hemorragia mayor o Hemorragia relevante</t>
  </si>
  <si>
    <t>Hemorragia Inctracraneal</t>
  </si>
  <si>
    <t>Hemorragia gastrointestinal</t>
  </si>
  <si>
    <t>Hemorragia fatal no intracerebral</t>
  </si>
  <si>
    <t>Hemorragia amenazante de la vida</t>
  </si>
  <si>
    <t>Hemorragias totales</t>
  </si>
  <si>
    <t>Total de Efectos adversos</t>
  </si>
  <si>
    <t>Efectos adversos graves</t>
  </si>
  <si>
    <t>Graves</t>
  </si>
  <si>
    <t>Con resultado fatal</t>
  </si>
  <si>
    <t>Relacionados con el tratamiento</t>
  </si>
  <si>
    <t>ACV isquémico</t>
  </si>
  <si>
    <t>ACV hemorrágico</t>
  </si>
  <si>
    <t>Infarto de miocardio</t>
  </si>
  <si>
    <t>Hemorragia mayor</t>
  </si>
  <si>
    <t>Hem mayor</t>
  </si>
  <si>
    <t>Hem mayor fatal</t>
  </si>
  <si>
    <t>Mortalidad por cualquier causa</t>
  </si>
  <si>
    <t>MORTALIDAD</t>
  </si>
  <si>
    <t>Pacientes de 65 años (DE 10) con fibrilación auricular para cardioversión electiva</t>
  </si>
  <si>
    <t>Importancia</t>
  </si>
  <si>
    <r>
      <t xml:space="preserve">Eventos acumulados en los 30 días tras la cardioversión </t>
    </r>
    <r>
      <rPr>
        <b/>
        <sz val="14"/>
        <color rgb="FF0000FF"/>
        <rFont val="Calibri"/>
        <family val="2"/>
        <scheme val="minor"/>
      </rPr>
      <t>(*)</t>
    </r>
  </si>
  <si>
    <t>1.000 personas con Warfarina</t>
  </si>
  <si>
    <t>¿Diferencia estadísticamente significativa?</t>
  </si>
  <si>
    <t>No</t>
  </si>
  <si>
    <t>6 a 8</t>
  </si>
  <si>
    <t>Inconvenientes</t>
  </si>
  <si>
    <t>Warfarina</t>
  </si>
  <si>
    <r>
      <t xml:space="preserve">Días necesarios hasta la cardioversión </t>
    </r>
    <r>
      <rPr>
        <sz val="14"/>
        <color rgb="FF0000FF"/>
        <rFont val="Calibri"/>
        <family val="2"/>
        <scheme val="minor"/>
      </rPr>
      <t>(*)</t>
    </r>
  </si>
  <si>
    <t>¿Dispone de determinación analítica estándar para valorar su actividad?</t>
  </si>
  <si>
    <t>Sí</t>
  </si>
  <si>
    <t>¿Dispone antagonista de uso estandarizado y fácil disponibilidad para casos de sangrado o requerimiento quirúrgico urgente?</t>
  </si>
  <si>
    <t>Coste en euros del fármaco</t>
  </si>
  <si>
    <t>Coste por monitorización nivel en sangre del fármaco</t>
  </si>
  <si>
    <t>No hemos podido calcularlos</t>
  </si>
  <si>
    <t>Otros costes directos e indirectos</t>
  </si>
  <si>
    <t>1.000 personas con Rivaroxabán o Edoxabán</t>
  </si>
  <si>
    <t>Hemorragia intracraneal</t>
  </si>
  <si>
    <t>23 a 25</t>
  </si>
  <si>
    <t>23 a 34</t>
  </si>
  <si>
    <t>Rivaroxabán o Edoxabán</t>
  </si>
  <si>
    <r>
      <t xml:space="preserve">3 </t>
    </r>
    <r>
      <rPr>
        <sz val="14"/>
        <color rgb="FF663300"/>
        <rFont val="Calibri"/>
        <family val="2"/>
      </rPr>
      <t>€</t>
    </r>
    <r>
      <rPr>
        <sz val="14"/>
        <color rgb="FF663300"/>
        <rFont val="Calibri"/>
        <family val="2"/>
        <scheme val="minor"/>
      </rPr>
      <t xml:space="preserve"> en 23 a 34 días</t>
    </r>
  </si>
  <si>
    <r>
      <t xml:space="preserve">67 a 75 </t>
    </r>
    <r>
      <rPr>
        <sz val="14"/>
        <color rgb="FF663300"/>
        <rFont val="Calibri"/>
        <family val="2"/>
      </rPr>
      <t>€</t>
    </r>
    <r>
      <rPr>
        <sz val="14"/>
        <color rgb="FF663300"/>
        <rFont val="Calibri"/>
        <family val="2"/>
        <scheme val="minor"/>
      </rPr>
      <t xml:space="preserve"> en 23 a 25 días</t>
    </r>
  </si>
  <si>
    <t>11/978 (1,1%)</t>
  </si>
  <si>
    <t>5/492 (1,1%)</t>
  </si>
  <si>
    <t>1 (0,36-2,79)</t>
  </si>
  <si>
    <t>0% (-1,46% a 1,07%)</t>
  </si>
  <si>
    <t>2,5%</t>
  </si>
  <si>
    <t>Graves relacionados con el tratamiento</t>
  </si>
  <si>
    <t xml:space="preserve">Hemorragia mayor  </t>
  </si>
  <si>
    <t>Efectos adversos graves imputados al fármaco</t>
  </si>
  <si>
    <t>Ictus totales</t>
  </si>
  <si>
    <t xml:space="preserve">Fuentes: </t>
  </si>
  <si>
    <t>1) Cappato R, Ezekowitz MD, Klein AL, Camm AJ, on behalf of the X-VeRT Investigators. Rivaroxaban vs. vitamin K antagonists for cardioversion in atrial fibrillation. Eur Heart J. 2014 Dec 14;35(47):3346-55.</t>
  </si>
  <si>
    <t>2) Goette A, Merino JL, Ezekowitz MD, et al. Edoxaban versus enoxaparin-warfarin in patients undergoing cardioversion of atrial fibrillation (ENSURE-AF): a randomised, open-label, phase 3b trial. Lancet. 2016 Aug 26. pii: S0140-6736(16)31474-X.</t>
  </si>
  <si>
    <r>
      <rPr>
        <sz val="10"/>
        <color rgb="FF0000FF"/>
        <rFont val="Calibri"/>
        <family val="2"/>
        <scheme val="minor"/>
      </rPr>
      <t>(*)</t>
    </r>
    <r>
      <rPr>
        <sz val="10"/>
        <rFont val="Calibri"/>
        <family val="2"/>
        <scheme val="minor"/>
      </rPr>
      <t xml:space="preserve"> Estos resultados se han obtenido del metaánalisis que combina los datos de los ensayos clínicos exploratorios X-VeRT y ENSURE AF, de los que tomaron los datos de 2073 pacientes con NACOs (978 en rivaroxabán y 1095 en edoxabán) y 1576 con warfarina. Dado el carácter exploratorio y el bajo tamaño de muestra, estos resultados tienen una calidad de evidencia moderada, y deben ser tomados como provisionales.</t>
    </r>
  </si>
  <si>
    <t>2 a 4</t>
  </si>
  <si>
    <t>2 a 3</t>
  </si>
  <si>
    <t>1 a 2</t>
  </si>
  <si>
    <t>4 a 6</t>
  </si>
  <si>
    <t>70 a 80</t>
  </si>
  <si>
    <t>FACT BOX PARA USUARIOS QUE NO TIENEN ALTA DESTREZA NUMÉRICA</t>
  </si>
  <si>
    <t>Mortalidad por causa cardiovascular</t>
  </si>
  <si>
    <t>Edad media, años</t>
  </si>
  <si>
    <t>Media de edad (años)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</si>
</sst>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\ _€_-;\-* #,##0.000\ _€_-;_-* &quot;-&quot;??\ _€_-;_-@_-"/>
    <numFmt numFmtId="166" formatCode="_-* #,##0.0\ _€_-;\-* #,##0.0\ _€_-;_-* &quot;-&quot;??\ _€_-;_-@_-"/>
    <numFmt numFmtId="167" formatCode="0.0000%"/>
    <numFmt numFmtId="168" formatCode="0.00000%"/>
    <numFmt numFmtId="169" formatCode="0.0%"/>
    <numFmt numFmtId="170" formatCode="_-* #,##0.0000\ _€_-;\-* #,##0.0000\ _€_-;_-* &quot;-&quot;??\ _€_-;_-@_-"/>
    <numFmt numFmtId="171" formatCode="_-* #,##0.00000\ _€_-;\-* #,##0.00000\ _€_-;_-* &quot;-&quot;??\ _€_-;_-@_-"/>
    <numFmt numFmtId="172" formatCode="_-* #,##0.0\ _€_-;\-* #,##0.0\ _€_-;_-* &quot;-&quot;?\ _€_-;_-@_-"/>
    <numFmt numFmtId="173" formatCode="_-* #,##0.000000\ _€_-;\-* #,##0.000000\ _€_-;_-* &quot;-&quot;??\ _€_-;_-@_-"/>
    <numFmt numFmtId="174" formatCode="_-* #,##0.0000\ _€_-;\-* #,##0.0000\ _€_-;_-* &quot;-&quot;?\ _€_-;_-@_-"/>
    <numFmt numFmtId="175" formatCode="_-* #,##0.000\ _€_-;\-* #,##0.000\ _€_-;_-* &quot;-&quot;???\ _€_-;_-@_-"/>
    <numFmt numFmtId="176" formatCode="0.000"/>
    <numFmt numFmtId="177" formatCode="0.0000000000"/>
    <numFmt numFmtId="178" formatCode="0.0"/>
    <numFmt numFmtId="179" formatCode="0.000%"/>
    <numFmt numFmtId="180" formatCode="#,##0\ &quot;€&quot;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5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sz val="10"/>
      <color indexed="52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24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57"/>
      <name val="Calibri"/>
      <family val="2"/>
      <scheme val="minor"/>
    </font>
    <font>
      <sz val="10"/>
      <color indexed="20"/>
      <name val="Calibri"/>
      <family val="2"/>
      <scheme val="minor"/>
    </font>
    <font>
      <b/>
      <sz val="10"/>
      <color indexed="63"/>
      <name val="Calibri"/>
      <family val="2"/>
      <scheme val="minor"/>
    </font>
    <font>
      <sz val="10"/>
      <color indexed="63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0"/>
      <color indexed="12"/>
      <name val="Calibri"/>
      <family val="2"/>
    </font>
    <font>
      <i/>
      <sz val="10"/>
      <color indexed="12"/>
      <name val="Calibri"/>
      <family val="2"/>
    </font>
    <font>
      <b/>
      <sz val="9"/>
      <name val="Calibri"/>
      <family val="2"/>
      <scheme val="minor"/>
    </font>
    <font>
      <i/>
      <sz val="10"/>
      <name val="Calibri"/>
      <family val="2"/>
    </font>
    <font>
      <sz val="10"/>
      <name val="Calibri"/>
      <family val="2"/>
    </font>
    <font>
      <b/>
      <i/>
      <sz val="9"/>
      <name val="Calibri"/>
      <family val="2"/>
    </font>
    <font>
      <i/>
      <sz val="10"/>
      <color indexed="20"/>
      <name val="Calibri"/>
      <family val="2"/>
      <scheme val="minor"/>
    </font>
    <font>
      <b/>
      <sz val="10"/>
      <color indexed="12"/>
      <name val="Calibri"/>
      <family val="2"/>
    </font>
    <font>
      <b/>
      <sz val="10"/>
      <color indexed="14"/>
      <name val="Calibri"/>
      <family val="2"/>
      <scheme val="minor"/>
    </font>
    <font>
      <sz val="10"/>
      <color indexed="14"/>
      <name val="Calibri"/>
      <family val="2"/>
      <scheme val="minor"/>
    </font>
    <font>
      <b/>
      <u/>
      <sz val="12.5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0"/>
      <color indexed="12"/>
      <name val="Calibri"/>
      <family val="2"/>
      <scheme val="minor"/>
    </font>
    <font>
      <sz val="10"/>
      <color indexed="61"/>
      <name val="Calibri"/>
      <family val="2"/>
      <scheme val="minor"/>
    </font>
    <font>
      <b/>
      <i/>
      <sz val="10"/>
      <name val="Calibri"/>
      <family val="2"/>
    </font>
    <font>
      <sz val="10"/>
      <color indexed="10"/>
      <name val="Calibri"/>
      <family val="2"/>
      <scheme val="minor"/>
    </font>
    <font>
      <b/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2"/>
      <color rgb="FF99330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b/>
      <sz val="14"/>
      <color indexed="20"/>
      <name val="Calibri"/>
      <family val="2"/>
    </font>
    <font>
      <b/>
      <sz val="14"/>
      <color indexed="12"/>
      <name val="Calibri"/>
      <family val="2"/>
    </font>
    <font>
      <b/>
      <sz val="14"/>
      <color indexed="60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  <scheme val="minor"/>
    </font>
    <font>
      <b/>
      <i/>
      <sz val="11"/>
      <name val="Calibri"/>
      <family val="2"/>
    </font>
    <font>
      <b/>
      <i/>
      <vertAlign val="superscript"/>
      <sz val="11"/>
      <name val="Calibri"/>
      <family val="2"/>
    </font>
    <font>
      <b/>
      <sz val="14"/>
      <color rgb="FF0000FF"/>
      <name val="Calibri"/>
      <family val="2"/>
    </font>
    <font>
      <b/>
      <sz val="13"/>
      <name val="Calibri"/>
      <family val="2"/>
    </font>
    <font>
      <sz val="14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  <font>
      <b/>
      <i/>
      <sz val="11"/>
      <color rgb="FFFF6600"/>
      <name val="Calibri"/>
      <family val="2"/>
    </font>
    <font>
      <b/>
      <i/>
      <vertAlign val="superscript"/>
      <sz val="11"/>
      <color rgb="FFFF6600"/>
      <name val="Calibri"/>
      <family val="2"/>
    </font>
    <font>
      <b/>
      <sz val="11"/>
      <color rgb="FFFF6600"/>
      <name val="Calibri"/>
      <family val="2"/>
    </font>
    <font>
      <sz val="13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rgb="FF663300"/>
      <name val="Calibri"/>
      <family val="2"/>
      <scheme val="minor"/>
    </font>
    <font>
      <sz val="14"/>
      <color rgb="FF663300"/>
      <name val="Calibri"/>
      <family val="2"/>
    </font>
    <font>
      <sz val="10"/>
      <color rgb="FF0000FF"/>
      <name val="Calibri"/>
      <family val="2"/>
      <scheme val="minor"/>
    </font>
    <font>
      <sz val="10"/>
      <color rgb="FF7030A0"/>
      <name val="Calibri"/>
      <family val="2"/>
    </font>
    <font>
      <sz val="9"/>
      <name val="Calibri"/>
      <family val="2"/>
      <scheme val="minor"/>
    </font>
    <font>
      <b/>
      <sz val="13"/>
      <color rgb="FFFF6600"/>
      <name val="Calibri"/>
      <family val="2"/>
      <scheme val="minor"/>
    </font>
    <font>
      <b/>
      <sz val="13"/>
      <color rgb="FF00B050"/>
      <name val="Calibri"/>
      <family val="2"/>
      <scheme val="minor"/>
    </font>
    <font>
      <b/>
      <sz val="13"/>
      <color rgb="FFC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586">
    <xf numFmtId="0" fontId="0" fillId="0" borderId="0" xfId="0"/>
    <xf numFmtId="164" fontId="2" fillId="0" borderId="0" xfId="1" applyNumberFormat="1" applyFont="1" applyFill="1" applyBorder="1" applyAlignment="1"/>
    <xf numFmtId="164" fontId="3" fillId="0" borderId="0" xfId="1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0" fontId="5" fillId="0" borderId="0" xfId="0" applyFont="1"/>
    <xf numFmtId="2" fontId="5" fillId="0" borderId="0" xfId="0" applyNumberFormat="1" applyFont="1" applyBorder="1"/>
    <xf numFmtId="10" fontId="6" fillId="0" borderId="0" xfId="2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0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5" fillId="0" borderId="0" xfId="0" applyFont="1" applyFill="1" applyBorder="1"/>
    <xf numFmtId="10" fontId="5" fillId="0" borderId="0" xfId="2" applyNumberFormat="1" applyFont="1" applyBorder="1" applyAlignment="1">
      <alignment horizontal="center"/>
    </xf>
    <xf numFmtId="0" fontId="9" fillId="0" borderId="0" xfId="0" applyFont="1" applyFill="1" applyBorder="1" applyAlignment="1">
      <alignment vertical="distributed"/>
    </xf>
    <xf numFmtId="0" fontId="5" fillId="0" borderId="0" xfId="0" applyFont="1" applyFill="1" applyAlignment="1">
      <alignment horizontal="center"/>
    </xf>
    <xf numFmtId="10" fontId="5" fillId="0" borderId="0" xfId="0" applyNumberFormat="1" applyFont="1" applyFill="1" applyAlignment="1">
      <alignment horizontal="center"/>
    </xf>
    <xf numFmtId="0" fontId="5" fillId="0" borderId="0" xfId="0" applyFont="1" applyFill="1"/>
    <xf numFmtId="0" fontId="13" fillId="0" borderId="0" xfId="0" applyFont="1"/>
    <xf numFmtId="18" fontId="5" fillId="0" borderId="0" xfId="1" applyNumberFormat="1" applyFont="1" applyBorder="1" applyAlignment="1">
      <alignment horizontal="center"/>
    </xf>
    <xf numFmtId="2" fontId="5" fillId="0" borderId="0" xfId="0" applyNumberFormat="1" applyFont="1"/>
    <xf numFmtId="43" fontId="5" fillId="0" borderId="0" xfId="1" applyFont="1" applyFill="1" applyAlignment="1">
      <alignment horizontal="center"/>
    </xf>
    <xf numFmtId="10" fontId="6" fillId="0" borderId="0" xfId="2" applyNumberFormat="1" applyFont="1" applyFill="1" applyBorder="1" applyAlignment="1">
      <alignment horizontal="center"/>
    </xf>
    <xf numFmtId="164" fontId="5" fillId="0" borderId="0" xfId="0" applyNumberFormat="1" applyFont="1" applyBorder="1"/>
    <xf numFmtId="9" fontId="5" fillId="0" borderId="0" xfId="0" applyNumberFormat="1" applyFont="1" applyBorder="1"/>
    <xf numFmtId="43" fontId="5" fillId="0" borderId="0" xfId="0" applyNumberFormat="1" applyFont="1"/>
    <xf numFmtId="43" fontId="14" fillId="0" borderId="0" xfId="1" applyFont="1" applyFill="1" applyBorder="1" applyAlignment="1">
      <alignment horizontal="center"/>
    </xf>
    <xf numFmtId="43" fontId="5" fillId="0" borderId="0" xfId="1" applyFont="1" applyFill="1"/>
    <xf numFmtId="0" fontId="15" fillId="0" borderId="0" xfId="0" applyFont="1" applyFill="1"/>
    <xf numFmtId="165" fontId="5" fillId="0" borderId="0" xfId="0" applyNumberFormat="1" applyFont="1" applyBorder="1" applyAlignment="1">
      <alignment horizontal="center"/>
    </xf>
    <xf numFmtId="166" fontId="2" fillId="0" borderId="5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5" fillId="0" borderId="0" xfId="0" applyFont="1" applyBorder="1"/>
    <xf numFmtId="0" fontId="2" fillId="0" borderId="8" xfId="0" applyFont="1" applyBorder="1"/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64" fontId="2" fillId="2" borderId="11" xfId="0" applyNumberFormat="1" applyFont="1" applyFill="1" applyBorder="1"/>
    <xf numFmtId="164" fontId="2" fillId="0" borderId="11" xfId="0" applyNumberFormat="1" applyFont="1" applyBorder="1"/>
    <xf numFmtId="164" fontId="2" fillId="2" borderId="12" xfId="1" applyNumberFormat="1" applyFont="1" applyFill="1" applyBorder="1"/>
    <xf numFmtId="167" fontId="5" fillId="0" borderId="0" xfId="2" applyNumberFormat="1" applyFont="1"/>
    <xf numFmtId="0" fontId="6" fillId="0" borderId="0" xfId="0" applyFont="1" applyBorder="1" applyAlignment="1">
      <alignment horizontal="center"/>
    </xf>
    <xf numFmtId="168" fontId="5" fillId="0" borderId="0" xfId="2" applyNumberFormat="1" applyFont="1"/>
    <xf numFmtId="0" fontId="16" fillId="0" borderId="0" xfId="0" applyFont="1" applyBorder="1" applyAlignment="1">
      <alignment horizontal="center"/>
    </xf>
    <xf numFmtId="43" fontId="5" fillId="0" borderId="0" xfId="1" applyFont="1" applyFill="1" applyBorder="1"/>
    <xf numFmtId="0" fontId="17" fillId="0" borderId="11" xfId="0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0" fontId="5" fillId="0" borderId="0" xfId="2" applyNumberFormat="1" applyFont="1"/>
    <xf numFmtId="0" fontId="5" fillId="0" borderId="0" xfId="0" applyFont="1" applyBorder="1" applyAlignment="1">
      <alignment horizontal="right"/>
    </xf>
    <xf numFmtId="10" fontId="5" fillId="0" borderId="0" xfId="2" applyNumberFormat="1" applyFont="1" applyFill="1"/>
    <xf numFmtId="10" fontId="5" fillId="0" borderId="0" xfId="0" applyNumberFormat="1" applyFont="1" applyFill="1"/>
    <xf numFmtId="0" fontId="18" fillId="0" borderId="0" xfId="0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43" fontId="5" fillId="0" borderId="0" xfId="0" applyNumberFormat="1" applyFont="1" applyFill="1" applyBorder="1"/>
    <xf numFmtId="43" fontId="5" fillId="0" borderId="0" xfId="0" applyNumberFormat="1" applyFont="1" applyFill="1" applyBorder="1" applyAlignment="1">
      <alignment horizontal="center"/>
    </xf>
    <xf numFmtId="10" fontId="5" fillId="0" borderId="0" xfId="2" applyNumberFormat="1" applyFont="1" applyFill="1" applyBorder="1" applyAlignment="1">
      <alignment horizontal="center"/>
    </xf>
    <xf numFmtId="10" fontId="5" fillId="0" borderId="0" xfId="2" applyNumberFormat="1" applyFont="1" applyFill="1" applyBorder="1"/>
    <xf numFmtId="0" fontId="16" fillId="0" borderId="0" xfId="0" applyFont="1" applyFill="1" applyBorder="1" applyAlignment="1">
      <alignment horizontal="right"/>
    </xf>
    <xf numFmtId="43" fontId="16" fillId="0" borderId="0" xfId="0" applyNumberFormat="1" applyFont="1" applyFill="1" applyBorder="1" applyAlignment="1">
      <alignment horizontal="center"/>
    </xf>
    <xf numFmtId="43" fontId="16" fillId="0" borderId="0" xfId="1" applyFont="1" applyFill="1" applyBorder="1"/>
    <xf numFmtId="165" fontId="16" fillId="0" borderId="0" xfId="0" applyNumberFormat="1" applyFont="1" applyFill="1" applyBorder="1" applyAlignment="1">
      <alignment horizontal="right"/>
    </xf>
    <xf numFmtId="43" fontId="16" fillId="0" borderId="0" xfId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3" fontId="16" fillId="0" borderId="0" xfId="1" applyFont="1" applyFill="1" applyAlignment="1">
      <alignment horizontal="right"/>
    </xf>
    <xf numFmtId="0" fontId="16" fillId="0" borderId="0" xfId="0" applyFont="1" applyFill="1" applyBorder="1"/>
    <xf numFmtId="43" fontId="5" fillId="0" borderId="0" xfId="0" applyNumberFormat="1" applyFont="1" applyFill="1"/>
    <xf numFmtId="170" fontId="16" fillId="0" borderId="0" xfId="0" applyNumberFormat="1" applyFont="1" applyFill="1" applyBorder="1"/>
    <xf numFmtId="171" fontId="16" fillId="0" borderId="0" xfId="1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left"/>
    </xf>
    <xf numFmtId="166" fontId="5" fillId="0" borderId="0" xfId="0" applyNumberFormat="1" applyFont="1" applyFill="1" applyBorder="1"/>
    <xf numFmtId="172" fontId="5" fillId="0" borderId="0" xfId="0" applyNumberFormat="1" applyFont="1" applyFill="1"/>
    <xf numFmtId="0" fontId="19" fillId="0" borderId="0" xfId="0" applyFont="1"/>
    <xf numFmtId="0" fontId="2" fillId="0" borderId="0" xfId="0" applyFont="1" applyAlignment="1">
      <alignment horizontal="center"/>
    </xf>
    <xf numFmtId="164" fontId="5" fillId="0" borderId="0" xfId="0" applyNumberFormat="1" applyFont="1" applyFill="1" applyAlignment="1">
      <alignment horizontal="right"/>
    </xf>
    <xf numFmtId="0" fontId="2" fillId="0" borderId="0" xfId="0" applyFont="1" applyBorder="1"/>
    <xf numFmtId="166" fontId="5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3" fontId="5" fillId="0" borderId="0" xfId="1" applyFont="1" applyFill="1" applyBorder="1" applyAlignment="1">
      <alignment horizontal="center"/>
    </xf>
    <xf numFmtId="173" fontId="5" fillId="0" borderId="0" xfId="1" applyNumberFormat="1" applyFont="1" applyFill="1" applyBorder="1" applyAlignment="1">
      <alignment horizontal="center"/>
    </xf>
    <xf numFmtId="43" fontId="2" fillId="0" borderId="0" xfId="1" applyFont="1" applyFill="1" applyBorder="1" applyAlignment="1"/>
    <xf numFmtId="0" fontId="9" fillId="0" borderId="0" xfId="0" applyFont="1" applyFill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9" fillId="0" borderId="0" xfId="0" applyFont="1" applyBorder="1"/>
    <xf numFmtId="166" fontId="6" fillId="0" borderId="0" xfId="0" applyNumberFormat="1" applyFont="1" applyFill="1" applyBorder="1"/>
    <xf numFmtId="166" fontId="6" fillId="0" borderId="0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0" fillId="0" borderId="0" xfId="0" applyFont="1"/>
    <xf numFmtId="0" fontId="6" fillId="0" borderId="0" xfId="0" applyFont="1"/>
    <xf numFmtId="0" fontId="6" fillId="0" borderId="0" xfId="0" applyFont="1" applyFill="1" applyBorder="1"/>
    <xf numFmtId="43" fontId="9" fillId="0" borderId="0" xfId="1" applyFont="1" applyFill="1" applyBorder="1" applyAlignment="1"/>
    <xf numFmtId="0" fontId="7" fillId="0" borderId="0" xfId="0" applyFont="1" applyFill="1"/>
    <xf numFmtId="0" fontId="6" fillId="0" borderId="0" xfId="0" applyFont="1" applyFill="1" applyBorder="1" applyAlignment="1">
      <alignment vertical="center" textRotation="90"/>
    </xf>
    <xf numFmtId="0" fontId="5" fillId="0" borderId="13" xfId="0" applyFont="1" applyFill="1" applyBorder="1" applyAlignment="1">
      <alignment horizontal="left"/>
    </xf>
    <xf numFmtId="43" fontId="23" fillId="0" borderId="14" xfId="1" applyFont="1" applyFill="1" applyBorder="1" applyAlignment="1">
      <alignment horizontal="right"/>
    </xf>
    <xf numFmtId="0" fontId="5" fillId="0" borderId="14" xfId="0" applyFont="1" applyFill="1" applyBorder="1" applyAlignment="1">
      <alignment horizontal="left"/>
    </xf>
    <xf numFmtId="173" fontId="5" fillId="0" borderId="14" xfId="1" applyNumberFormat="1" applyFont="1" applyFill="1" applyBorder="1" applyAlignment="1">
      <alignment horizontal="center"/>
    </xf>
    <xf numFmtId="43" fontId="5" fillId="0" borderId="14" xfId="1" applyFont="1" applyFill="1" applyBorder="1" applyAlignment="1">
      <alignment horizontal="center"/>
    </xf>
    <xf numFmtId="43" fontId="2" fillId="0" borderId="14" xfId="1" applyFont="1" applyFill="1" applyBorder="1" applyAlignment="1"/>
    <xf numFmtId="43" fontId="2" fillId="0" borderId="15" xfId="1" applyFont="1" applyFill="1" applyBorder="1" applyAlignment="1"/>
    <xf numFmtId="0" fontId="5" fillId="0" borderId="13" xfId="0" applyFont="1" applyFill="1" applyBorder="1"/>
    <xf numFmtId="0" fontId="5" fillId="0" borderId="14" xfId="0" applyFont="1" applyBorder="1"/>
    <xf numFmtId="0" fontId="5" fillId="0" borderId="15" xfId="0" applyFont="1" applyBorder="1"/>
    <xf numFmtId="164" fontId="6" fillId="0" borderId="11" xfId="0" applyNumberFormat="1" applyFont="1" applyFill="1" applyBorder="1" applyAlignment="1">
      <alignment horizontal="center"/>
    </xf>
    <xf numFmtId="10" fontId="6" fillId="3" borderId="11" xfId="2" applyNumberFormat="1" applyFont="1" applyFill="1" applyBorder="1" applyAlignment="1">
      <alignment horizontal="center"/>
    </xf>
    <xf numFmtId="43" fontId="6" fillId="0" borderId="11" xfId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43" fontId="6" fillId="0" borderId="10" xfId="1" applyFont="1" applyFill="1" applyBorder="1" applyAlignment="1">
      <alignment horizontal="center"/>
    </xf>
    <xf numFmtId="10" fontId="9" fillId="3" borderId="11" xfId="2" applyNumberFormat="1" applyFont="1" applyFill="1" applyBorder="1" applyAlignment="1">
      <alignment horizontal="center"/>
    </xf>
    <xf numFmtId="10" fontId="9" fillId="4" borderId="11" xfId="2" applyNumberFormat="1" applyFont="1" applyFill="1" applyBorder="1" applyAlignment="1">
      <alignment horizontal="center"/>
    </xf>
    <xf numFmtId="10" fontId="9" fillId="5" borderId="11" xfId="2" applyNumberFormat="1" applyFont="1" applyFill="1" applyBorder="1" applyAlignment="1">
      <alignment horizontal="center"/>
    </xf>
    <xf numFmtId="164" fontId="5" fillId="0" borderId="16" xfId="0" applyNumberFormat="1" applyFont="1" applyFill="1" applyBorder="1"/>
    <xf numFmtId="43" fontId="2" fillId="0" borderId="17" xfId="1" applyFont="1" applyFill="1" applyBorder="1" applyAlignment="1"/>
    <xf numFmtId="170" fontId="5" fillId="0" borderId="16" xfId="1" applyNumberFormat="1" applyFont="1" applyFill="1" applyBorder="1"/>
    <xf numFmtId="0" fontId="5" fillId="0" borderId="17" xfId="0" applyFont="1" applyBorder="1"/>
    <xf numFmtId="169" fontId="5" fillId="0" borderId="16" xfId="2" applyNumberFormat="1" applyFont="1" applyFill="1" applyBorder="1"/>
    <xf numFmtId="0" fontId="5" fillId="0" borderId="17" xfId="0" applyFont="1" applyFill="1" applyBorder="1"/>
    <xf numFmtId="174" fontId="5" fillId="0" borderId="16" xfId="0" applyNumberFormat="1" applyFont="1" applyBorder="1"/>
    <xf numFmtId="0" fontId="5" fillId="0" borderId="0" xfId="0" applyFont="1" applyFill="1" applyBorder="1" applyAlignment="1">
      <alignment horizontal="left"/>
    </xf>
    <xf numFmtId="164" fontId="27" fillId="0" borderId="11" xfId="0" applyNumberFormat="1" applyFont="1" applyFill="1" applyBorder="1" applyAlignment="1">
      <alignment horizontal="center"/>
    </xf>
    <xf numFmtId="10" fontId="27" fillId="0" borderId="11" xfId="2" applyNumberFormat="1" applyFont="1" applyFill="1" applyBorder="1" applyAlignment="1">
      <alignment horizontal="center"/>
    </xf>
    <xf numFmtId="43" fontId="6" fillId="0" borderId="0" xfId="1" applyFont="1" applyBorder="1" applyAlignment="1">
      <alignment horizontal="center"/>
    </xf>
    <xf numFmtId="43" fontId="6" fillId="0" borderId="0" xfId="0" applyNumberFormat="1" applyFont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10" fontId="9" fillId="0" borderId="0" xfId="2" applyNumberFormat="1" applyFont="1" applyFill="1" applyBorder="1" applyAlignment="1"/>
    <xf numFmtId="169" fontId="2" fillId="0" borderId="16" xfId="2" applyNumberFormat="1" applyFont="1" applyFill="1" applyBorder="1"/>
    <xf numFmtId="165" fontId="2" fillId="0" borderId="16" xfId="1" applyNumberFormat="1" applyFont="1" applyFill="1" applyBorder="1"/>
    <xf numFmtId="43" fontId="5" fillId="0" borderId="18" xfId="0" applyNumberFormat="1" applyFont="1" applyBorder="1"/>
    <xf numFmtId="170" fontId="5" fillId="3" borderId="16" xfId="1" applyNumberFormat="1" applyFont="1" applyFill="1" applyBorder="1"/>
    <xf numFmtId="169" fontId="5" fillId="0" borderId="0" xfId="2" applyNumberFormat="1" applyFont="1"/>
    <xf numFmtId="10" fontId="2" fillId="3" borderId="18" xfId="2" applyNumberFormat="1" applyFont="1" applyFill="1" applyBorder="1"/>
    <xf numFmtId="173" fontId="5" fillId="0" borderId="0" xfId="0" applyNumberFormat="1" applyFont="1" applyBorder="1"/>
    <xf numFmtId="10" fontId="29" fillId="0" borderId="16" xfId="0" applyNumberFormat="1" applyFont="1" applyBorder="1"/>
    <xf numFmtId="0" fontId="30" fillId="0" borderId="0" xfId="0" applyFont="1" applyBorder="1"/>
    <xf numFmtId="0" fontId="31" fillId="0" borderId="0" xfId="0" applyFont="1"/>
    <xf numFmtId="0" fontId="9" fillId="0" borderId="0" xfId="0" applyFont="1" applyAlignment="1">
      <alignment horizontal="center"/>
    </xf>
    <xf numFmtId="49" fontId="32" fillId="0" borderId="0" xfId="0" applyNumberFormat="1" applyFont="1"/>
    <xf numFmtId="0" fontId="2" fillId="0" borderId="19" xfId="0" applyFont="1" applyBorder="1"/>
    <xf numFmtId="10" fontId="2" fillId="3" borderId="19" xfId="2" applyNumberFormat="1" applyFont="1" applyFill="1" applyBorder="1" applyAlignment="1">
      <alignment horizontal="center"/>
    </xf>
    <xf numFmtId="10" fontId="2" fillId="5" borderId="19" xfId="2" applyNumberFormat="1" applyFont="1" applyFill="1" applyBorder="1" applyAlignment="1">
      <alignment horizontal="center"/>
    </xf>
    <xf numFmtId="10" fontId="2" fillId="4" borderId="20" xfId="2" applyNumberFormat="1" applyFont="1" applyFill="1" applyBorder="1" applyAlignment="1">
      <alignment horizontal="center"/>
    </xf>
    <xf numFmtId="10" fontId="29" fillId="0" borderId="21" xfId="0" applyNumberFormat="1" applyFont="1" applyBorder="1"/>
    <xf numFmtId="0" fontId="30" fillId="0" borderId="22" xfId="0" applyFont="1" applyBorder="1"/>
    <xf numFmtId="0" fontId="5" fillId="0" borderId="22" xfId="0" applyFont="1" applyBorder="1"/>
    <xf numFmtId="175" fontId="5" fillId="0" borderId="22" xfId="0" applyNumberFormat="1" applyFont="1" applyBorder="1"/>
    <xf numFmtId="0" fontId="5" fillId="0" borderId="23" xfId="0" applyFont="1" applyBorder="1"/>
    <xf numFmtId="0" fontId="5" fillId="0" borderId="24" xfId="0" applyFont="1" applyFill="1" applyBorder="1"/>
    <xf numFmtId="0" fontId="5" fillId="0" borderId="22" xfId="0" applyFont="1" applyFill="1" applyBorder="1"/>
    <xf numFmtId="0" fontId="5" fillId="0" borderId="23" xfId="0" applyFont="1" applyFill="1" applyBorder="1"/>
    <xf numFmtId="10" fontId="5" fillId="0" borderId="0" xfId="0" applyNumberFormat="1" applyFont="1"/>
    <xf numFmtId="0" fontId="2" fillId="0" borderId="20" xfId="0" applyFont="1" applyBorder="1"/>
    <xf numFmtId="1" fontId="2" fillId="3" borderId="19" xfId="0" applyNumberFormat="1" applyFont="1" applyFill="1" applyBorder="1" applyAlignment="1">
      <alignment horizontal="center"/>
    </xf>
    <xf numFmtId="1" fontId="2" fillId="5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0" fontId="5" fillId="0" borderId="0" xfId="0" applyNumberFormat="1" applyFont="1" applyFill="1" applyBorder="1"/>
    <xf numFmtId="10" fontId="5" fillId="0" borderId="0" xfId="1" applyNumberFormat="1" applyFont="1" applyFill="1" applyBorder="1"/>
    <xf numFmtId="164" fontId="5" fillId="0" borderId="0" xfId="1" applyNumberFormat="1" applyFont="1"/>
    <xf numFmtId="1" fontId="5" fillId="0" borderId="0" xfId="0" applyNumberFormat="1" applyFont="1"/>
    <xf numFmtId="2" fontId="5" fillId="0" borderId="0" xfId="0" applyNumberFormat="1" applyFont="1" applyAlignment="1">
      <alignment horizontal="right"/>
    </xf>
    <xf numFmtId="10" fontId="7" fillId="0" borderId="10" xfId="2" applyNumberFormat="1" applyFont="1" applyFill="1" applyBorder="1"/>
    <xf numFmtId="0" fontId="5" fillId="0" borderId="25" xfId="0" applyFont="1" applyBorder="1"/>
    <xf numFmtId="0" fontId="2" fillId="0" borderId="11" xfId="0" applyFont="1" applyBorder="1" applyAlignment="1">
      <alignment horizontal="right"/>
    </xf>
    <xf numFmtId="49" fontId="32" fillId="0" borderId="11" xfId="1" applyNumberFormat="1" applyFont="1" applyBorder="1" applyAlignment="1">
      <alignment horizontal="right"/>
    </xf>
    <xf numFmtId="1" fontId="33" fillId="0" borderId="0" xfId="0" applyNumberFormat="1" applyFont="1" applyFill="1" applyBorder="1" applyAlignment="1">
      <alignment horizontal="center"/>
    </xf>
    <xf numFmtId="165" fontId="5" fillId="0" borderId="0" xfId="1" applyNumberFormat="1" applyFont="1" applyFill="1" applyBorder="1"/>
    <xf numFmtId="10" fontId="7" fillId="0" borderId="0" xfId="2" applyNumberFormat="1" applyFont="1" applyFill="1" applyBorder="1" applyAlignment="1">
      <alignment horizontal="center"/>
    </xf>
    <xf numFmtId="0" fontId="7" fillId="6" borderId="8" xfId="0" applyFont="1" applyFill="1" applyBorder="1"/>
    <xf numFmtId="0" fontId="5" fillId="6" borderId="26" xfId="0" applyFont="1" applyFill="1" applyBorder="1"/>
    <xf numFmtId="0" fontId="2" fillId="6" borderId="25" xfId="0" applyFont="1" applyFill="1" applyBorder="1" applyAlignment="1">
      <alignment horizontal="right"/>
    </xf>
    <xf numFmtId="1" fontId="2" fillId="6" borderId="11" xfId="0" applyNumberFormat="1" applyFont="1" applyFill="1" applyBorder="1" applyAlignment="1">
      <alignment horizontal="center" vertical="distributed"/>
    </xf>
    <xf numFmtId="164" fontId="7" fillId="0" borderId="0" xfId="1" applyNumberFormat="1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5" fillId="7" borderId="11" xfId="0" applyFont="1" applyFill="1" applyBorder="1"/>
    <xf numFmtId="0" fontId="2" fillId="7" borderId="11" xfId="0" applyFont="1" applyFill="1" applyBorder="1" applyAlignment="1">
      <alignment horizontal="right"/>
    </xf>
    <xf numFmtId="1" fontId="2" fillId="7" borderId="11" xfId="0" applyNumberFormat="1" applyFont="1" applyFill="1" applyBorder="1" applyAlignment="1">
      <alignment horizontal="center" vertical="distributed"/>
    </xf>
    <xf numFmtId="165" fontId="5" fillId="0" borderId="0" xfId="0" applyNumberFormat="1" applyFont="1" applyFill="1" applyBorder="1"/>
    <xf numFmtId="164" fontId="7" fillId="8" borderId="10" xfId="0" applyNumberFormat="1" applyFont="1" applyFill="1" applyBorder="1" applyAlignment="1">
      <alignment horizontal="center"/>
    </xf>
    <xf numFmtId="43" fontId="14" fillId="8" borderId="25" xfId="1" applyFont="1" applyFill="1" applyBorder="1"/>
    <xf numFmtId="43" fontId="2" fillId="8" borderId="25" xfId="1" applyFont="1" applyFill="1" applyBorder="1" applyAlignment="1">
      <alignment horizontal="right"/>
    </xf>
    <xf numFmtId="1" fontId="2" fillId="8" borderId="11" xfId="0" applyNumberFormat="1" applyFont="1" applyFill="1" applyBorder="1" applyAlignment="1">
      <alignment horizontal="center" vertical="distributed"/>
    </xf>
    <xf numFmtId="49" fontId="5" fillId="0" borderId="0" xfId="0" applyNumberFormat="1" applyFont="1" applyFill="1" applyBorder="1"/>
    <xf numFmtId="1" fontId="5" fillId="0" borderId="0" xfId="0" applyNumberFormat="1" applyFont="1" applyAlignment="1">
      <alignment horizontal="center"/>
    </xf>
    <xf numFmtId="0" fontId="5" fillId="0" borderId="10" xfId="0" applyFont="1" applyFill="1" applyBorder="1"/>
    <xf numFmtId="0" fontId="5" fillId="0" borderId="25" xfId="0" applyFont="1" applyFill="1" applyBorder="1"/>
    <xf numFmtId="164" fontId="2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34" fillId="0" borderId="0" xfId="0" applyNumberFormat="1" applyFont="1" applyFill="1" applyBorder="1"/>
    <xf numFmtId="0" fontId="7" fillId="6" borderId="27" xfId="0" applyFont="1" applyFill="1" applyBorder="1"/>
    <xf numFmtId="0" fontId="5" fillId="6" borderId="0" xfId="0" applyFont="1" applyFill="1" applyBorder="1"/>
    <xf numFmtId="0" fontId="2" fillId="6" borderId="28" xfId="0" applyFont="1" applyFill="1" applyBorder="1" applyAlignment="1">
      <alignment horizontal="right"/>
    </xf>
    <xf numFmtId="49" fontId="6" fillId="0" borderId="0" xfId="0" applyNumberFormat="1" applyFont="1"/>
    <xf numFmtId="0" fontId="7" fillId="4" borderId="10" xfId="0" applyFont="1" applyFill="1" applyBorder="1" applyAlignment="1">
      <alignment horizontal="center"/>
    </xf>
    <xf numFmtId="0" fontId="5" fillId="4" borderId="25" xfId="0" applyFont="1" applyFill="1" applyBorder="1"/>
    <xf numFmtId="0" fontId="2" fillId="4" borderId="12" xfId="0" applyFont="1" applyFill="1" applyBorder="1" applyAlignment="1">
      <alignment horizontal="right"/>
    </xf>
    <xf numFmtId="1" fontId="2" fillId="4" borderId="12" xfId="0" applyNumberFormat="1" applyFont="1" applyFill="1" applyBorder="1" applyAlignment="1">
      <alignment horizontal="center" vertical="distributed"/>
    </xf>
    <xf numFmtId="1" fontId="2" fillId="4" borderId="11" xfId="0" applyNumberFormat="1" applyFont="1" applyFill="1" applyBorder="1" applyAlignment="1">
      <alignment horizontal="center" vertical="distributed"/>
    </xf>
    <xf numFmtId="0" fontId="35" fillId="0" borderId="0" xfId="0" applyFont="1" applyFill="1"/>
    <xf numFmtId="0" fontId="36" fillId="0" borderId="0" xfId="0" applyFont="1" applyFill="1" applyBorder="1"/>
    <xf numFmtId="164" fontId="7" fillId="8" borderId="8" xfId="0" applyNumberFormat="1" applyFont="1" applyFill="1" applyBorder="1" applyAlignment="1">
      <alignment horizontal="center"/>
    </xf>
    <xf numFmtId="43" fontId="14" fillId="8" borderId="0" xfId="1" applyFont="1" applyFill="1" applyBorder="1"/>
    <xf numFmtId="43" fontId="2" fillId="8" borderId="0" xfId="1" applyFont="1" applyFill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43" fontId="14" fillId="0" borderId="0" xfId="1" applyFont="1" applyFill="1" applyBorder="1"/>
    <xf numFmtId="43" fontId="2" fillId="0" borderId="0" xfId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right"/>
    </xf>
    <xf numFmtId="164" fontId="6" fillId="0" borderId="11" xfId="1" applyNumberFormat="1" applyFont="1" applyFill="1" applyBorder="1"/>
    <xf numFmtId="0" fontId="6" fillId="0" borderId="11" xfId="0" applyFont="1" applyFill="1" applyBorder="1"/>
    <xf numFmtId="0" fontId="37" fillId="0" borderId="11" xfId="0" applyFont="1" applyFill="1" applyBorder="1" applyAlignment="1">
      <alignment horizontal="right"/>
    </xf>
    <xf numFmtId="43" fontId="5" fillId="0" borderId="11" xfId="1" applyFont="1" applyFill="1" applyBorder="1"/>
    <xf numFmtId="0" fontId="16" fillId="0" borderId="11" xfId="0" applyFont="1" applyBorder="1" applyAlignment="1">
      <alignment horizontal="right"/>
    </xf>
    <xf numFmtId="0" fontId="6" fillId="0" borderId="10" xfId="0" applyFont="1" applyBorder="1"/>
    <xf numFmtId="0" fontId="6" fillId="0" borderId="12" xfId="0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9" fillId="0" borderId="11" xfId="1" applyNumberFormat="1" applyFont="1" applyFill="1" applyBorder="1"/>
    <xf numFmtId="0" fontId="2" fillId="0" borderId="0" xfId="0" applyFont="1" applyBorder="1" applyAlignment="1">
      <alignment horizontal="right"/>
    </xf>
    <xf numFmtId="164" fontId="6" fillId="0" borderId="0" xfId="1" applyNumberFormat="1" applyFont="1" applyFill="1" applyBorder="1"/>
    <xf numFmtId="164" fontId="9" fillId="0" borderId="0" xfId="1" applyNumberFormat="1" applyFont="1" applyFill="1" applyBorder="1"/>
    <xf numFmtId="0" fontId="38" fillId="0" borderId="16" xfId="0" applyFont="1" applyBorder="1"/>
    <xf numFmtId="164" fontId="6" fillId="0" borderId="0" xfId="1" applyNumberFormat="1" applyFont="1"/>
    <xf numFmtId="43" fontId="38" fillId="0" borderId="11" xfId="1" applyFont="1" applyBorder="1"/>
    <xf numFmtId="43" fontId="9" fillId="0" borderId="0" xfId="1" applyFont="1"/>
    <xf numFmtId="164" fontId="5" fillId="0" borderId="0" xfId="0" applyNumberFormat="1" applyFont="1"/>
    <xf numFmtId="0" fontId="9" fillId="0" borderId="0" xfId="0" applyFont="1" applyBorder="1" applyAlignment="1">
      <alignment horizontal="right"/>
    </xf>
    <xf numFmtId="43" fontId="6" fillId="9" borderId="0" xfId="0" applyNumberFormat="1" applyFont="1" applyFill="1"/>
    <xf numFmtId="43" fontId="5" fillId="0" borderId="0" xfId="1" applyFont="1" applyBorder="1"/>
    <xf numFmtId="0" fontId="2" fillId="0" borderId="22" xfId="0" applyFont="1" applyBorder="1" applyAlignment="1">
      <alignment horizontal="right"/>
    </xf>
    <xf numFmtId="43" fontId="2" fillId="0" borderId="20" xfId="0" applyNumberFormat="1" applyFont="1" applyBorder="1"/>
    <xf numFmtId="43" fontId="6" fillId="0" borderId="0" xfId="0" applyNumberFormat="1" applyFont="1"/>
    <xf numFmtId="166" fontId="5" fillId="0" borderId="0" xfId="0" applyNumberFormat="1" applyFont="1"/>
    <xf numFmtId="0" fontId="5" fillId="0" borderId="24" xfId="0" applyFont="1" applyFill="1" applyBorder="1" applyAlignment="1">
      <alignment horizontal="right"/>
    </xf>
    <xf numFmtId="165" fontId="2" fillId="9" borderId="29" xfId="1" applyNumberFormat="1" applyFont="1" applyFill="1" applyBorder="1"/>
    <xf numFmtId="173" fontId="6" fillId="0" borderId="0" xfId="0" applyNumberFormat="1" applyFont="1" applyFill="1" applyBorder="1"/>
    <xf numFmtId="0" fontId="2" fillId="0" borderId="0" xfId="0" applyFont="1" applyBorder="1" applyAlignment="1">
      <alignment horizontal="center"/>
    </xf>
    <xf numFmtId="9" fontId="5" fillId="0" borderId="0" xfId="2" applyFont="1" applyFill="1" applyBorder="1"/>
    <xf numFmtId="49" fontId="5" fillId="10" borderId="19" xfId="0" applyNumberFormat="1" applyFont="1" applyFill="1" applyBorder="1"/>
    <xf numFmtId="49" fontId="5" fillId="10" borderId="30" xfId="0" applyNumberFormat="1" applyFont="1" applyFill="1" applyBorder="1"/>
    <xf numFmtId="49" fontId="5" fillId="10" borderId="31" xfId="0" applyNumberFormat="1" applyFont="1" applyFill="1" applyBorder="1" applyAlignment="1">
      <alignment horizontal="right"/>
    </xf>
    <xf numFmtId="49" fontId="5" fillId="10" borderId="13" xfId="0" applyNumberFormat="1" applyFont="1" applyFill="1" applyBorder="1"/>
    <xf numFmtId="164" fontId="5" fillId="10" borderId="0" xfId="0" applyNumberFormat="1" applyFont="1" applyFill="1" applyBorder="1"/>
    <xf numFmtId="2" fontId="5" fillId="10" borderId="0" xfId="0" applyNumberFormat="1" applyFont="1" applyFill="1" applyBorder="1"/>
    <xf numFmtId="10" fontId="5" fillId="10" borderId="0" xfId="0" applyNumberFormat="1" applyFont="1" applyFill="1" applyBorder="1"/>
    <xf numFmtId="1" fontId="5" fillId="10" borderId="0" xfId="0" applyNumberFormat="1" applyFont="1" applyFill="1" applyBorder="1" applyAlignment="1">
      <alignment horizontal="center"/>
    </xf>
    <xf numFmtId="49" fontId="5" fillId="10" borderId="16" xfId="0" applyNumberFormat="1" applyFont="1" applyFill="1" applyBorder="1"/>
    <xf numFmtId="10" fontId="5" fillId="10" borderId="17" xfId="0" applyNumberFormat="1" applyFont="1" applyFill="1" applyBorder="1" applyAlignment="1">
      <alignment horizontal="center"/>
    </xf>
    <xf numFmtId="0" fontId="40" fillId="0" borderId="0" xfId="0" applyFont="1" applyFill="1" applyBorder="1"/>
    <xf numFmtId="49" fontId="5" fillId="10" borderId="11" xfId="0" applyNumberFormat="1" applyFont="1" applyFill="1" applyBorder="1" applyAlignment="1">
      <alignment horizontal="center"/>
    </xf>
    <xf numFmtId="49" fontId="5" fillId="10" borderId="10" xfId="0" applyNumberFormat="1" applyFont="1" applyFill="1" applyBorder="1" applyAlignment="1">
      <alignment horizontal="center"/>
    </xf>
    <xf numFmtId="0" fontId="5" fillId="10" borderId="32" xfId="0" applyFont="1" applyFill="1" applyBorder="1" applyAlignment="1">
      <alignment horizontal="center"/>
    </xf>
    <xf numFmtId="0" fontId="5" fillId="10" borderId="16" xfId="0" applyFont="1" applyFill="1" applyBorder="1"/>
    <xf numFmtId="0" fontId="5" fillId="10" borderId="11" xfId="0" applyFont="1" applyFill="1" applyBorder="1" applyAlignment="1">
      <alignment horizontal="center"/>
    </xf>
    <xf numFmtId="49" fontId="5" fillId="10" borderId="24" xfId="0" applyNumberFormat="1" applyFont="1" applyFill="1" applyBorder="1"/>
    <xf numFmtId="0" fontId="5" fillId="10" borderId="22" xfId="0" applyFont="1" applyFill="1" applyBorder="1"/>
    <xf numFmtId="0" fontId="5" fillId="10" borderId="23" xfId="0" applyFont="1" applyFill="1" applyBorder="1"/>
    <xf numFmtId="49" fontId="2" fillId="10" borderId="11" xfId="0" applyNumberFormat="1" applyFont="1" applyFill="1" applyBorder="1" applyAlignment="1">
      <alignment horizontal="center" vertical="distributed"/>
    </xf>
    <xf numFmtId="0" fontId="2" fillId="10" borderId="11" xfId="0" applyFont="1" applyFill="1" applyBorder="1" applyAlignment="1">
      <alignment horizontal="center" vertical="distributed"/>
    </xf>
    <xf numFmtId="0" fontId="5" fillId="0" borderId="0" xfId="0" applyFont="1" applyAlignment="1">
      <alignment vertical="distributed"/>
    </xf>
    <xf numFmtId="0" fontId="5" fillId="0" borderId="0" xfId="0" applyFont="1" applyFill="1" applyBorder="1" applyAlignment="1">
      <alignment horizontal="center" vertical="distributed"/>
    </xf>
    <xf numFmtId="0" fontId="5" fillId="0" borderId="11" xfId="0" applyFont="1" applyBorder="1" applyAlignment="1">
      <alignment horizontal="center" vertical="distributed"/>
    </xf>
    <xf numFmtId="165" fontId="5" fillId="0" borderId="0" xfId="0" applyNumberFormat="1" applyFont="1"/>
    <xf numFmtId="176" fontId="5" fillId="0" borderId="11" xfId="0" applyNumberFormat="1" applyFont="1" applyBorder="1" applyAlignment="1">
      <alignment horizontal="center" vertical="distributed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5" fillId="0" borderId="0" xfId="0" applyFont="1" applyFill="1"/>
    <xf numFmtId="43" fontId="41" fillId="0" borderId="0" xfId="1" applyFont="1" applyFill="1" applyBorder="1" applyAlignment="1">
      <alignment horizontal="center" vertical="distributed"/>
    </xf>
    <xf numFmtId="0" fontId="25" fillId="0" borderId="0" xfId="0" applyFont="1" applyFill="1" applyBorder="1"/>
    <xf numFmtId="0" fontId="25" fillId="0" borderId="0" xfId="0" applyFont="1" applyFill="1" applyAlignment="1">
      <alignment horizontal="center"/>
    </xf>
    <xf numFmtId="43" fontId="2" fillId="0" borderId="6" xfId="1" applyFont="1" applyFill="1" applyBorder="1" applyAlignment="1">
      <alignment horizontal="center" vertical="center" wrapText="1"/>
    </xf>
    <xf numFmtId="43" fontId="2" fillId="0" borderId="6" xfId="1" applyFont="1" applyBorder="1" applyAlignment="1">
      <alignment horizontal="center" vertical="center" wrapText="1"/>
    </xf>
    <xf numFmtId="2" fontId="5" fillId="0" borderId="11" xfId="1" applyNumberFormat="1" applyFont="1" applyBorder="1" applyAlignment="1">
      <alignment horizontal="center" vertical="center"/>
    </xf>
    <xf numFmtId="2" fontId="5" fillId="0" borderId="11" xfId="1" applyNumberFormat="1" applyFont="1" applyFill="1" applyBorder="1" applyAlignment="1">
      <alignment horizontal="center" vertical="center"/>
    </xf>
    <xf numFmtId="2" fontId="5" fillId="0" borderId="10" xfId="1" applyNumberFormat="1" applyFont="1" applyFill="1" applyBorder="1" applyAlignment="1">
      <alignment horizontal="center" vertical="center"/>
    </xf>
    <xf numFmtId="2" fontId="2" fillId="3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2" fontId="2" fillId="5" borderId="11" xfId="0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vertical="center"/>
    </xf>
    <xf numFmtId="169" fontId="2" fillId="0" borderId="11" xfId="2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77" fontId="5" fillId="0" borderId="11" xfId="1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43" fontId="2" fillId="11" borderId="2" xfId="1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10" fontId="2" fillId="11" borderId="3" xfId="0" applyNumberFormat="1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left" vertical="center" wrapText="1"/>
    </xf>
    <xf numFmtId="0" fontId="2" fillId="11" borderId="0" xfId="0" applyFont="1" applyFill="1" applyBorder="1" applyAlignment="1">
      <alignment horizontal="center" vertical="center" wrapText="1"/>
    </xf>
    <xf numFmtId="0" fontId="2" fillId="11" borderId="0" xfId="0" applyFont="1" applyFill="1" applyBorder="1" applyAlignment="1">
      <alignment horizontal="center" vertical="center"/>
    </xf>
    <xf numFmtId="43" fontId="2" fillId="11" borderId="0" xfId="1" applyFont="1" applyFill="1" applyBorder="1" applyAlignment="1">
      <alignment horizontal="center" vertical="center"/>
    </xf>
    <xf numFmtId="10" fontId="2" fillId="11" borderId="0" xfId="0" applyNumberFormat="1" applyFont="1" applyFill="1" applyBorder="1" applyAlignment="1">
      <alignment horizontal="center" vertical="center"/>
    </xf>
    <xf numFmtId="0" fontId="2" fillId="11" borderId="0" xfId="0" applyFont="1" applyFill="1" applyBorder="1" applyAlignment="1">
      <alignment horizontal="left" vertical="center"/>
    </xf>
    <xf numFmtId="0" fontId="5" fillId="11" borderId="0" xfId="0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horizontal="center" vertical="center"/>
    </xf>
    <xf numFmtId="43" fontId="5" fillId="11" borderId="0" xfId="1" applyFont="1" applyFill="1" applyBorder="1" applyAlignment="1">
      <alignment horizontal="center" vertical="center"/>
    </xf>
    <xf numFmtId="10" fontId="5" fillId="11" borderId="0" xfId="0" applyNumberFormat="1" applyFont="1" applyFill="1" applyBorder="1" applyAlignment="1">
      <alignment horizontal="center" vertical="center"/>
    </xf>
    <xf numFmtId="0" fontId="5" fillId="11" borderId="42" xfId="0" applyFont="1" applyFill="1" applyBorder="1" applyAlignment="1">
      <alignment vertical="center" wrapText="1"/>
    </xf>
    <xf numFmtId="0" fontId="5" fillId="11" borderId="31" xfId="0" applyFont="1" applyFill="1" applyBorder="1" applyAlignment="1">
      <alignment horizontal="center" vertical="center"/>
    </xf>
    <xf numFmtId="43" fontId="5" fillId="11" borderId="31" xfId="1" applyFont="1" applyFill="1" applyBorder="1" applyAlignment="1">
      <alignment horizontal="center" vertical="center"/>
    </xf>
    <xf numFmtId="10" fontId="5" fillId="11" borderId="40" xfId="0" applyNumberFormat="1" applyFont="1" applyFill="1" applyBorder="1" applyAlignment="1">
      <alignment horizontal="center" vertical="center"/>
    </xf>
    <xf numFmtId="0" fontId="5" fillId="11" borderId="18" xfId="0" applyFont="1" applyFill="1" applyBorder="1" applyAlignment="1">
      <alignment vertical="center"/>
    </xf>
    <xf numFmtId="0" fontId="5" fillId="11" borderId="11" xfId="0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 vertical="center"/>
    </xf>
    <xf numFmtId="10" fontId="5" fillId="11" borderId="32" xfId="0" applyNumberFormat="1" applyFont="1" applyFill="1" applyBorder="1" applyAlignment="1">
      <alignment horizontal="center" vertical="center"/>
    </xf>
    <xf numFmtId="49" fontId="5" fillId="11" borderId="11" xfId="1" applyNumberFormat="1" applyFont="1" applyFill="1" applyBorder="1" applyAlignment="1">
      <alignment horizontal="center" vertical="center"/>
    </xf>
    <xf numFmtId="43" fontId="5" fillId="11" borderId="11" xfId="1" applyFont="1" applyFill="1" applyBorder="1" applyAlignment="1">
      <alignment horizontal="center" vertical="center"/>
    </xf>
    <xf numFmtId="0" fontId="5" fillId="11" borderId="21" xfId="0" applyFont="1" applyFill="1" applyBorder="1" applyAlignment="1">
      <alignment vertical="center"/>
    </xf>
    <xf numFmtId="0" fontId="5" fillId="11" borderId="38" xfId="0" applyFont="1" applyFill="1" applyBorder="1" applyAlignment="1">
      <alignment horizontal="center" vertical="center"/>
    </xf>
    <xf numFmtId="10" fontId="5" fillId="11" borderId="41" xfId="0" applyNumberFormat="1" applyFont="1" applyFill="1" applyBorder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2" fillId="11" borderId="0" xfId="0" applyFont="1" applyFill="1"/>
    <xf numFmtId="0" fontId="5" fillId="11" borderId="0" xfId="0" applyFont="1" applyFill="1"/>
    <xf numFmtId="0" fontId="5" fillId="11" borderId="42" xfId="0" applyFont="1" applyFill="1" applyBorder="1" applyAlignment="1">
      <alignment vertical="center"/>
    </xf>
    <xf numFmtId="0" fontId="5" fillId="11" borderId="40" xfId="0" applyFont="1" applyFill="1" applyBorder="1" applyAlignment="1">
      <alignment horizontal="center" vertical="center"/>
    </xf>
    <xf numFmtId="49" fontId="5" fillId="11" borderId="32" xfId="0" applyNumberFormat="1" applyFont="1" applyFill="1" applyBorder="1" applyAlignment="1">
      <alignment horizontal="center" vertical="center"/>
    </xf>
    <xf numFmtId="0" fontId="5" fillId="11" borderId="11" xfId="0" applyFont="1" applyFill="1" applyBorder="1" applyAlignment="1">
      <alignment horizontal="center" vertical="distributed"/>
    </xf>
    <xf numFmtId="0" fontId="2" fillId="11" borderId="0" xfId="0" applyFont="1" applyFill="1" applyAlignment="1">
      <alignment vertical="center"/>
    </xf>
    <xf numFmtId="0" fontId="5" fillId="11" borderId="0" xfId="0" applyFont="1" applyFill="1" applyAlignment="1">
      <alignment vertical="center"/>
    </xf>
    <xf numFmtId="0" fontId="5" fillId="11" borderId="42" xfId="0" applyFont="1" applyFill="1" applyBorder="1" applyAlignment="1">
      <alignment horizontal="left" vertical="center"/>
    </xf>
    <xf numFmtId="0" fontId="5" fillId="11" borderId="18" xfId="0" applyFont="1" applyFill="1" applyBorder="1" applyAlignment="1">
      <alignment horizontal="left" vertical="center"/>
    </xf>
    <xf numFmtId="0" fontId="5" fillId="11" borderId="21" xfId="0" applyFont="1" applyFill="1" applyBorder="1" applyAlignment="1">
      <alignment horizontal="left" vertical="center"/>
    </xf>
    <xf numFmtId="0" fontId="42" fillId="0" borderId="0" xfId="0" applyFont="1" applyFill="1" applyAlignment="1">
      <alignment vertical="center"/>
    </xf>
    <xf numFmtId="43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41" fillId="0" borderId="6" xfId="0" applyFont="1" applyFill="1" applyBorder="1" applyAlignment="1">
      <alignment vertical="center" wrapText="1"/>
    </xf>
    <xf numFmtId="0" fontId="41" fillId="0" borderId="11" xfId="3" applyFont="1" applyFill="1" applyBorder="1" applyAlignment="1" applyProtection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  <xf numFmtId="0" fontId="41" fillId="0" borderId="4" xfId="3" applyFont="1" applyFill="1" applyBorder="1" applyAlignment="1" applyProtection="1">
      <alignment horizontal="center" vertical="center" wrapText="1"/>
    </xf>
    <xf numFmtId="0" fontId="41" fillId="0" borderId="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left" vertical="center"/>
    </xf>
    <xf numFmtId="164" fontId="11" fillId="2" borderId="11" xfId="1" applyNumberFormat="1" applyFont="1" applyFill="1" applyBorder="1" applyAlignment="1">
      <alignment horizontal="center" vertical="center"/>
    </xf>
    <xf numFmtId="164" fontId="11" fillId="0" borderId="11" xfId="1" applyNumberFormat="1" applyFont="1" applyFill="1" applyBorder="1" applyAlignment="1">
      <alignment horizontal="center" vertical="center"/>
    </xf>
    <xf numFmtId="0" fontId="46" fillId="2" borderId="11" xfId="3" applyFont="1" applyFill="1" applyBorder="1" applyAlignment="1" applyProtection="1">
      <alignment horizontal="center" vertical="center"/>
    </xf>
    <xf numFmtId="164" fontId="25" fillId="0" borderId="11" xfId="1" applyNumberFormat="1" applyFont="1" applyFill="1" applyBorder="1" applyAlignment="1">
      <alignment horizontal="center" vertical="center"/>
    </xf>
    <xf numFmtId="10" fontId="25" fillId="0" borderId="11" xfId="2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64" fontId="25" fillId="0" borderId="0" xfId="1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0" fontId="41" fillId="0" borderId="10" xfId="0" applyFont="1" applyFill="1" applyBorder="1" applyAlignment="1">
      <alignment horizontal="center" vertical="distributed"/>
    </xf>
    <xf numFmtId="164" fontId="12" fillId="0" borderId="11" xfId="1" applyNumberFormat="1" applyFont="1" applyFill="1" applyBorder="1" applyAlignment="1">
      <alignment horizontal="center" vertical="distributed"/>
    </xf>
    <xf numFmtId="2" fontId="47" fillId="10" borderId="11" xfId="3" applyNumberFormat="1" applyFont="1" applyFill="1" applyBorder="1" applyAlignment="1" applyProtection="1">
      <alignment horizontal="center" vertical="center"/>
    </xf>
    <xf numFmtId="164" fontId="12" fillId="0" borderId="11" xfId="1" applyNumberFormat="1" applyFont="1" applyFill="1" applyBorder="1" applyAlignment="1">
      <alignment vertical="center"/>
    </xf>
    <xf numFmtId="10" fontId="12" fillId="0" borderId="11" xfId="2" applyNumberFormat="1" applyFont="1" applyFill="1" applyBorder="1" applyAlignment="1">
      <alignment horizontal="center" vertical="center"/>
    </xf>
    <xf numFmtId="10" fontId="41" fillId="0" borderId="11" xfId="2" applyNumberFormat="1" applyFont="1" applyFill="1" applyBorder="1" applyAlignment="1">
      <alignment horizontal="center" vertical="center"/>
    </xf>
    <xf numFmtId="178" fontId="12" fillId="12" borderId="11" xfId="0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10" fontId="25" fillId="0" borderId="0" xfId="2" applyNumberFormat="1" applyFont="1" applyFill="1"/>
    <xf numFmtId="43" fontId="25" fillId="0" borderId="0" xfId="0" applyNumberFormat="1" applyFont="1" applyFill="1"/>
    <xf numFmtId="0" fontId="12" fillId="0" borderId="49" xfId="0" applyFont="1" applyFill="1" applyBorder="1" applyAlignment="1">
      <alignment horizontal="center" vertical="distributed" wrapText="1"/>
    </xf>
    <xf numFmtId="0" fontId="12" fillId="0" borderId="50" xfId="0" applyFont="1" applyFill="1" applyBorder="1" applyAlignment="1">
      <alignment horizontal="center" vertical="distributed"/>
    </xf>
    <xf numFmtId="0" fontId="12" fillId="0" borderId="50" xfId="0" applyFont="1" applyFill="1" applyBorder="1" applyAlignment="1">
      <alignment horizontal="center" vertical="distributed" wrapText="1"/>
    </xf>
    <xf numFmtId="0" fontId="12" fillId="0" borderId="5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distributed"/>
    </xf>
    <xf numFmtId="0" fontId="11" fillId="0" borderId="4" xfId="0" applyFont="1" applyFill="1" applyBorder="1" applyAlignment="1">
      <alignment horizontal="center" vertical="distributed" wrapText="1"/>
    </xf>
    <xf numFmtId="0" fontId="11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distributed" wrapText="1"/>
    </xf>
    <xf numFmtId="10" fontId="11" fillId="0" borderId="11" xfId="2" applyNumberFormat="1" applyFont="1" applyFill="1" applyBorder="1" applyAlignment="1">
      <alignment horizontal="center" vertical="distributed" wrapText="1"/>
    </xf>
    <xf numFmtId="169" fontId="52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distributed"/>
    </xf>
    <xf numFmtId="0" fontId="25" fillId="0" borderId="11" xfId="0" applyFont="1" applyFill="1" applyBorder="1" applyAlignment="1">
      <alignment horizontal="center" vertical="distributed"/>
    </xf>
    <xf numFmtId="10" fontId="25" fillId="0" borderId="11" xfId="0" applyNumberFormat="1" applyFont="1" applyFill="1" applyBorder="1" applyAlignment="1">
      <alignment horizontal="center" vertical="distributed"/>
    </xf>
    <xf numFmtId="0" fontId="42" fillId="0" borderId="11" xfId="0" applyFont="1" applyFill="1" applyBorder="1" applyAlignment="1">
      <alignment horizontal="right" vertical="distributed"/>
    </xf>
    <xf numFmtId="0" fontId="42" fillId="0" borderId="11" xfId="0" applyFont="1" applyFill="1" applyBorder="1" applyAlignment="1">
      <alignment horizontal="center" vertical="distributed"/>
    </xf>
    <xf numFmtId="0" fontId="11" fillId="0" borderId="12" xfId="0" applyFont="1" applyFill="1" applyBorder="1" applyAlignment="1">
      <alignment horizontal="left" vertical="distributed" wrapText="1"/>
    </xf>
    <xf numFmtId="0" fontId="53" fillId="0" borderId="11" xfId="0" applyFont="1" applyFill="1" applyBorder="1" applyAlignment="1">
      <alignment horizontal="center" vertical="distributed" wrapText="1"/>
    </xf>
    <xf numFmtId="2" fontId="50" fillId="0" borderId="11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distributed" wrapText="1"/>
    </xf>
    <xf numFmtId="10" fontId="50" fillId="0" borderId="11" xfId="2" applyNumberFormat="1" applyFont="1" applyFill="1" applyBorder="1" applyAlignment="1">
      <alignment horizontal="center" vertical="distributed" wrapText="1"/>
    </xf>
    <xf numFmtId="178" fontId="50" fillId="0" borderId="11" xfId="0" applyNumberFormat="1" applyFont="1" applyFill="1" applyBorder="1" applyAlignment="1">
      <alignment horizontal="center" vertical="center"/>
    </xf>
    <xf numFmtId="169" fontId="53" fillId="0" borderId="11" xfId="0" applyNumberFormat="1" applyFont="1" applyFill="1" applyBorder="1" applyAlignment="1">
      <alignment horizontal="center" vertical="distributed"/>
    </xf>
    <xf numFmtId="43" fontId="12" fillId="0" borderId="11" xfId="1" applyFont="1" applyFill="1" applyBorder="1" applyAlignment="1">
      <alignment horizontal="center" vertical="distributed"/>
    </xf>
    <xf numFmtId="0" fontId="41" fillId="0" borderId="0" xfId="0" applyFont="1" applyFill="1" applyBorder="1" applyAlignment="1">
      <alignment horizontal="center" vertical="distributed"/>
    </xf>
    <xf numFmtId="0" fontId="25" fillId="0" borderId="0" xfId="0" applyFont="1" applyFill="1" applyBorder="1" applyAlignment="1">
      <alignment horizontal="center" vertical="distributed" wrapText="1"/>
    </xf>
    <xf numFmtId="0" fontId="39" fillId="0" borderId="0" xfId="0" applyFont="1" applyFill="1" applyBorder="1" applyAlignment="1">
      <alignment horizontal="center" vertical="distributed" wrapText="1"/>
    </xf>
    <xf numFmtId="0" fontId="41" fillId="0" borderId="0" xfId="0" applyFont="1" applyFill="1" applyBorder="1" applyAlignment="1">
      <alignment horizontal="center" vertical="distributed" wrapText="1"/>
    </xf>
    <xf numFmtId="10" fontId="41" fillId="0" borderId="0" xfId="2" applyNumberFormat="1" applyFont="1" applyFill="1" applyBorder="1" applyAlignment="1">
      <alignment horizontal="center" vertical="distributed" wrapText="1"/>
    </xf>
    <xf numFmtId="10" fontId="25" fillId="0" borderId="0" xfId="2" applyNumberFormat="1" applyFont="1" applyFill="1" applyBorder="1" applyAlignment="1">
      <alignment horizontal="center" vertical="distributed" wrapText="1"/>
    </xf>
    <xf numFmtId="169" fontId="24" fillId="0" borderId="0" xfId="0" applyNumberFormat="1" applyFont="1" applyFill="1" applyBorder="1" applyAlignment="1">
      <alignment horizontal="center" vertical="distributed"/>
    </xf>
    <xf numFmtId="0" fontId="25" fillId="0" borderId="0" xfId="0" applyFont="1" applyFill="1" applyBorder="1" applyAlignment="1">
      <alignment horizontal="center" vertical="distributed"/>
    </xf>
    <xf numFmtId="0" fontId="42" fillId="0" borderId="13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distributed" wrapText="1"/>
    </xf>
    <xf numFmtId="0" fontId="42" fillId="0" borderId="34" xfId="0" applyFont="1" applyFill="1" applyBorder="1" applyAlignment="1">
      <alignment horizontal="center" vertical="distributed"/>
    </xf>
    <xf numFmtId="0" fontId="42" fillId="0" borderId="15" xfId="0" applyFont="1" applyFill="1" applyBorder="1" applyAlignment="1">
      <alignment horizontal="center" vertical="distributed" wrapText="1"/>
    </xf>
    <xf numFmtId="0" fontId="57" fillId="0" borderId="2" xfId="0" applyFont="1" applyFill="1" applyBorder="1" applyAlignment="1">
      <alignment horizontal="center" vertical="center"/>
    </xf>
    <xf numFmtId="43" fontId="50" fillId="0" borderId="2" xfId="1" applyFont="1" applyFill="1" applyBorder="1" applyAlignment="1">
      <alignment horizontal="center" vertical="distributed"/>
    </xf>
    <xf numFmtId="0" fontId="58" fillId="0" borderId="2" xfId="0" applyFont="1" applyFill="1" applyBorder="1" applyAlignment="1">
      <alignment horizontal="center" vertical="distributed"/>
    </xf>
    <xf numFmtId="0" fontId="5" fillId="0" borderId="19" xfId="0" applyFont="1" applyBorder="1" applyAlignment="1">
      <alignment horizontal="right" vertical="distributed"/>
    </xf>
    <xf numFmtId="10" fontId="5" fillId="2" borderId="33" xfId="2" applyNumberFormat="1" applyFont="1" applyFill="1" applyBorder="1" applyAlignment="1">
      <alignment horizontal="center" vertical="distributed"/>
    </xf>
    <xf numFmtId="0" fontId="5" fillId="0" borderId="0" xfId="0" applyFont="1" applyAlignment="1">
      <alignment horizontal="left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79" fontId="5" fillId="0" borderId="0" xfId="2" applyNumberFormat="1" applyFont="1" applyAlignment="1">
      <alignment horizontal="left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2" fontId="5" fillId="2" borderId="33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5" fillId="0" borderId="19" xfId="0" applyFont="1" applyBorder="1" applyAlignment="1">
      <alignment horizontal="left"/>
    </xf>
    <xf numFmtId="49" fontId="5" fillId="0" borderId="30" xfId="0" applyNumberFormat="1" applyFont="1" applyBorder="1"/>
    <xf numFmtId="165" fontId="5" fillId="0" borderId="20" xfId="1" applyNumberFormat="1" applyFont="1" applyBorder="1" applyAlignment="1">
      <alignment horizontal="center"/>
    </xf>
    <xf numFmtId="170" fontId="5" fillId="0" borderId="20" xfId="1" applyNumberFormat="1" applyFont="1" applyBorder="1" applyAlignment="1">
      <alignment horizontal="center"/>
    </xf>
    <xf numFmtId="10" fontId="5" fillId="0" borderId="33" xfId="2" applyNumberFormat="1" applyFont="1" applyBorder="1" applyAlignment="1">
      <alignment horizontal="center"/>
    </xf>
    <xf numFmtId="0" fontId="5" fillId="10" borderId="5" xfId="0" applyFont="1" applyFill="1" applyBorder="1" applyAlignment="1">
      <alignment horizontal="left"/>
    </xf>
    <xf numFmtId="0" fontId="5" fillId="10" borderId="28" xfId="0" applyFont="1" applyFill="1" applyBorder="1" applyAlignment="1">
      <alignment horizontal="center"/>
    </xf>
    <xf numFmtId="2" fontId="5" fillId="10" borderId="28" xfId="0" applyNumberFormat="1" applyFont="1" applyFill="1" applyBorder="1" applyAlignment="1">
      <alignment horizontal="center"/>
    </xf>
    <xf numFmtId="10" fontId="5" fillId="10" borderId="28" xfId="2" applyNumberFormat="1" applyFont="1" applyFill="1" applyBorder="1" applyAlignment="1">
      <alignment horizontal="center"/>
    </xf>
    <xf numFmtId="1" fontId="5" fillId="10" borderId="7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left"/>
    </xf>
    <xf numFmtId="165" fontId="5" fillId="10" borderId="0" xfId="0" applyNumberFormat="1" applyFont="1" applyFill="1" applyBorder="1" applyAlignment="1">
      <alignment horizontal="center"/>
    </xf>
    <xf numFmtId="10" fontId="5" fillId="10" borderId="0" xfId="0" applyNumberFormat="1" applyFont="1" applyFill="1" applyBorder="1" applyAlignment="1">
      <alignment horizontal="center"/>
    </xf>
    <xf numFmtId="2" fontId="5" fillId="10" borderId="0" xfId="0" applyNumberFormat="1" applyFont="1" applyFill="1" applyBorder="1" applyAlignment="1">
      <alignment horizontal="center"/>
    </xf>
    <xf numFmtId="10" fontId="5" fillId="10" borderId="0" xfId="2" applyNumberFormat="1" applyFont="1" applyFill="1" applyBorder="1" applyAlignment="1">
      <alignment horizontal="center"/>
    </xf>
    <xf numFmtId="1" fontId="5" fillId="10" borderId="35" xfId="0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5" fillId="10" borderId="11" xfId="0" applyFont="1" applyFill="1" applyBorder="1" applyAlignment="1">
      <alignment horizontal="center" vertical="distributed"/>
    </xf>
    <xf numFmtId="0" fontId="5" fillId="10" borderId="8" xfId="0" applyFont="1" applyFill="1" applyBorder="1" applyAlignment="1">
      <alignment horizontal="left"/>
    </xf>
    <xf numFmtId="43" fontId="2" fillId="0" borderId="0" xfId="1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6" fillId="0" borderId="19" xfId="0" applyFont="1" applyFill="1" applyBorder="1" applyAlignment="1">
      <alignment horizontal="left" vertical="center" wrapText="1"/>
    </xf>
    <xf numFmtId="0" fontId="50" fillId="0" borderId="3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horizontal="right" vertical="center"/>
    </xf>
    <xf numFmtId="10" fontId="5" fillId="3" borderId="11" xfId="0" applyNumberFormat="1" applyFont="1" applyFill="1" applyBorder="1" applyAlignment="1">
      <alignment horizontal="center" vertical="center"/>
    </xf>
    <xf numFmtId="10" fontId="5" fillId="4" borderId="11" xfId="0" applyNumberFormat="1" applyFont="1" applyFill="1" applyBorder="1" applyAlignment="1">
      <alignment horizontal="center" vertical="center"/>
    </xf>
    <xf numFmtId="10" fontId="5" fillId="5" borderId="11" xfId="0" applyNumberFormat="1" applyFont="1" applyFill="1" applyBorder="1" applyAlignment="1">
      <alignment horizontal="center" vertical="center"/>
    </xf>
    <xf numFmtId="1" fontId="5" fillId="3" borderId="11" xfId="0" applyNumberFormat="1" applyFont="1" applyFill="1" applyBorder="1" applyAlignment="1">
      <alignment horizontal="center" vertical="center"/>
    </xf>
    <xf numFmtId="1" fontId="5" fillId="4" borderId="11" xfId="0" applyNumberFormat="1" applyFont="1" applyFill="1" applyBorder="1" applyAlignment="1">
      <alignment horizontal="center" vertical="center"/>
    </xf>
    <xf numFmtId="1" fontId="5" fillId="5" borderId="11" xfId="0" applyNumberFormat="1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distributed" wrapText="1"/>
    </xf>
    <xf numFmtId="10" fontId="57" fillId="0" borderId="2" xfId="0" applyNumberFormat="1" applyFont="1" applyFill="1" applyBorder="1" applyAlignment="1">
      <alignment horizontal="center" vertical="center"/>
    </xf>
    <xf numFmtId="0" fontId="5" fillId="11" borderId="42" xfId="0" applyFont="1" applyFill="1" applyBorder="1" applyAlignment="1">
      <alignment horizontal="left" vertical="center" wrapText="1"/>
    </xf>
    <xf numFmtId="0" fontId="5" fillId="11" borderId="21" xfId="0" applyFont="1" applyFill="1" applyBorder="1" applyAlignment="1">
      <alignment vertical="center" wrapText="1"/>
    </xf>
    <xf numFmtId="0" fontId="63" fillId="0" borderId="0" xfId="0" applyFont="1"/>
    <xf numFmtId="0" fontId="73" fillId="0" borderId="0" xfId="0" applyFont="1" applyFill="1" applyAlignment="1">
      <alignment vertical="center"/>
    </xf>
    <xf numFmtId="0" fontId="5" fillId="11" borderId="0" xfId="0" applyFont="1" applyFill="1" applyBorder="1" applyAlignment="1">
      <alignment vertical="center" wrapText="1"/>
    </xf>
    <xf numFmtId="0" fontId="5" fillId="0" borderId="31" xfId="0" applyFont="1" applyBorder="1"/>
    <xf numFmtId="0" fontId="5" fillId="0" borderId="40" xfId="0" applyFont="1" applyBorder="1"/>
    <xf numFmtId="49" fontId="5" fillId="11" borderId="38" xfId="0" applyNumberFormat="1" applyFont="1" applyFill="1" applyBorder="1" applyAlignment="1">
      <alignment horizontal="center" vertical="center"/>
    </xf>
    <xf numFmtId="0" fontId="63" fillId="11" borderId="0" xfId="0" applyFont="1" applyFill="1"/>
    <xf numFmtId="0" fontId="64" fillId="11" borderId="0" xfId="0" applyFont="1" applyFill="1" applyBorder="1" applyAlignment="1">
      <alignment vertical="center" wrapText="1"/>
    </xf>
    <xf numFmtId="0" fontId="65" fillId="11" borderId="20" xfId="0" applyFont="1" applyFill="1" applyBorder="1" applyAlignment="1">
      <alignment horizontal="center" vertical="center"/>
    </xf>
    <xf numFmtId="0" fontId="64" fillId="11" borderId="20" xfId="0" applyFont="1" applyFill="1" applyBorder="1" applyAlignment="1">
      <alignment vertical="center"/>
    </xf>
    <xf numFmtId="0" fontId="65" fillId="11" borderId="19" xfId="0" applyFont="1" applyFill="1" applyBorder="1" applyAlignment="1">
      <alignment horizontal="center" vertical="center" wrapText="1"/>
    </xf>
    <xf numFmtId="0" fontId="65" fillId="11" borderId="20" xfId="0" applyFont="1" applyFill="1" applyBorder="1" applyAlignment="1">
      <alignment horizontal="center" vertical="center" wrapText="1"/>
    </xf>
    <xf numFmtId="0" fontId="67" fillId="11" borderId="11" xfId="0" applyFont="1" applyFill="1" applyBorder="1" applyAlignment="1">
      <alignment horizontal="center" vertical="center" wrapText="1"/>
    </xf>
    <xf numFmtId="0" fontId="64" fillId="11" borderId="0" xfId="0" applyFont="1" applyFill="1" applyAlignment="1">
      <alignment vertical="center"/>
    </xf>
    <xf numFmtId="1" fontId="68" fillId="11" borderId="0" xfId="1" applyNumberFormat="1" applyFont="1" applyFill="1" applyAlignment="1">
      <alignment horizontal="center" vertical="center"/>
    </xf>
    <xf numFmtId="0" fontId="63" fillId="11" borderId="11" xfId="0" applyFont="1" applyFill="1" applyBorder="1" applyAlignment="1">
      <alignment horizontal="center" vertical="center"/>
    </xf>
    <xf numFmtId="0" fontId="68" fillId="11" borderId="11" xfId="0" applyFont="1" applyFill="1" applyBorder="1" applyAlignment="1">
      <alignment vertical="center"/>
    </xf>
    <xf numFmtId="1" fontId="68" fillId="11" borderId="11" xfId="1" applyNumberFormat="1" applyFont="1" applyFill="1" applyBorder="1" applyAlignment="1">
      <alignment horizontal="center" vertical="center"/>
    </xf>
    <xf numFmtId="1" fontId="59" fillId="11" borderId="11" xfId="1" applyNumberFormat="1" applyFont="1" applyFill="1" applyBorder="1" applyAlignment="1">
      <alignment horizontal="center" vertical="center"/>
    </xf>
    <xf numFmtId="0" fontId="63" fillId="11" borderId="0" xfId="0" applyFont="1" applyFill="1" applyAlignment="1">
      <alignment horizontal="center" vertical="center"/>
    </xf>
    <xf numFmtId="0" fontId="68" fillId="11" borderId="0" xfId="0" applyFont="1" applyFill="1" applyBorder="1" applyAlignment="1">
      <alignment vertical="center"/>
    </xf>
    <xf numFmtId="1" fontId="59" fillId="11" borderId="0" xfId="1" applyNumberFormat="1" applyFont="1" applyFill="1" applyAlignment="1">
      <alignment horizontal="center" vertical="center"/>
    </xf>
    <xf numFmtId="1" fontId="68" fillId="11" borderId="0" xfId="1" applyNumberFormat="1" applyFont="1" applyFill="1" applyBorder="1" applyAlignment="1">
      <alignment horizontal="center" vertical="center"/>
    </xf>
    <xf numFmtId="1" fontId="59" fillId="11" borderId="0" xfId="1" applyNumberFormat="1" applyFont="1" applyFill="1" applyBorder="1" applyAlignment="1">
      <alignment horizontal="center" vertical="center"/>
    </xf>
    <xf numFmtId="49" fontId="68" fillId="11" borderId="0" xfId="1" applyNumberFormat="1" applyFont="1" applyFill="1" applyBorder="1" applyAlignment="1">
      <alignment horizontal="center" vertical="center"/>
    </xf>
    <xf numFmtId="16" fontId="63" fillId="11" borderId="11" xfId="0" applyNumberFormat="1" applyFont="1" applyFill="1" applyBorder="1" applyAlignment="1">
      <alignment horizontal="center" vertical="center"/>
    </xf>
    <xf numFmtId="16" fontId="63" fillId="11" borderId="0" xfId="0" applyNumberFormat="1" applyFont="1" applyFill="1" applyBorder="1" applyAlignment="1">
      <alignment horizontal="center" vertical="center"/>
    </xf>
    <xf numFmtId="0" fontId="64" fillId="11" borderId="19" xfId="0" applyFont="1" applyFill="1" applyBorder="1" applyAlignment="1">
      <alignment vertical="center"/>
    </xf>
    <xf numFmtId="49" fontId="65" fillId="11" borderId="20" xfId="1" applyNumberFormat="1" applyFont="1" applyFill="1" applyBorder="1" applyAlignment="1">
      <alignment horizontal="center" vertical="center"/>
    </xf>
    <xf numFmtId="49" fontId="64" fillId="11" borderId="0" xfId="1" applyNumberFormat="1" applyFont="1" applyFill="1" applyBorder="1" applyAlignment="1">
      <alignment horizontal="center" vertical="center"/>
    </xf>
    <xf numFmtId="0" fontId="64" fillId="11" borderId="0" xfId="0" applyFont="1" applyFill="1" applyBorder="1" applyAlignment="1">
      <alignment vertical="center"/>
    </xf>
    <xf numFmtId="0" fontId="63" fillId="11" borderId="0" xfId="0" applyFont="1" applyFill="1" applyBorder="1" applyAlignment="1">
      <alignment horizontal="center" vertical="center"/>
    </xf>
    <xf numFmtId="0" fontId="68" fillId="11" borderId="11" xfId="0" applyFont="1" applyFill="1" applyBorder="1" applyAlignment="1">
      <alignment vertical="center" wrapText="1"/>
    </xf>
    <xf numFmtId="0" fontId="70" fillId="11" borderId="42" xfId="0" applyFont="1" applyFill="1" applyBorder="1" applyAlignment="1">
      <alignment vertical="center" wrapText="1"/>
    </xf>
    <xf numFmtId="180" fontId="70" fillId="11" borderId="40" xfId="1" applyNumberFormat="1" applyFont="1" applyFill="1" applyBorder="1" applyAlignment="1">
      <alignment horizontal="center" vertical="center" wrapText="1"/>
    </xf>
    <xf numFmtId="180" fontId="70" fillId="11" borderId="0" xfId="1" applyNumberFormat="1" applyFont="1" applyFill="1" applyBorder="1" applyAlignment="1">
      <alignment horizontal="center" vertical="center"/>
    </xf>
    <xf numFmtId="0" fontId="70" fillId="11" borderId="18" xfId="0" applyFont="1" applyFill="1" applyBorder="1" applyAlignment="1">
      <alignment vertical="center" wrapText="1"/>
    </xf>
    <xf numFmtId="0" fontId="70" fillId="11" borderId="0" xfId="0" applyFont="1" applyFill="1" applyBorder="1" applyAlignment="1">
      <alignment horizontal="center" vertical="center" wrapText="1"/>
    </xf>
    <xf numFmtId="0" fontId="70" fillId="11" borderId="21" xfId="0" applyFont="1" applyFill="1" applyBorder="1" applyAlignment="1">
      <alignment vertical="center" wrapText="1"/>
    </xf>
    <xf numFmtId="0" fontId="64" fillId="11" borderId="19" xfId="0" applyFont="1" applyFill="1" applyBorder="1" applyAlignment="1">
      <alignment horizontal="left" vertical="center"/>
    </xf>
    <xf numFmtId="0" fontId="64" fillId="11" borderId="30" xfId="0" applyFont="1" applyFill="1" applyBorder="1" applyAlignment="1">
      <alignment horizontal="left" vertical="center"/>
    </xf>
    <xf numFmtId="0" fontId="64" fillId="11" borderId="33" xfId="0" applyFont="1" applyFill="1" applyBorder="1" applyAlignment="1">
      <alignment horizontal="left" vertical="center"/>
    </xf>
    <xf numFmtId="0" fontId="75" fillId="0" borderId="0" xfId="0" applyFont="1"/>
    <xf numFmtId="0" fontId="76" fillId="0" borderId="0" xfId="0" applyFont="1"/>
    <xf numFmtId="0" fontId="77" fillId="0" borderId="0" xfId="0" applyFont="1"/>
    <xf numFmtId="10" fontId="5" fillId="11" borderId="32" xfId="0" applyNumberFormat="1" applyFont="1" applyFill="1" applyBorder="1" applyAlignment="1">
      <alignment horizontal="center" vertical="distributed"/>
    </xf>
    <xf numFmtId="1" fontId="51" fillId="0" borderId="46" xfId="1" applyNumberFormat="1" applyFont="1" applyFill="1" applyBorder="1" applyAlignment="1">
      <alignment horizontal="center" vertical="center" wrapText="1"/>
    </xf>
    <xf numFmtId="1" fontId="51" fillId="0" borderId="4" xfId="1" applyNumberFormat="1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left" vertical="center"/>
    </xf>
    <xf numFmtId="0" fontId="55" fillId="0" borderId="30" xfId="0" applyFont="1" applyFill="1" applyBorder="1" applyAlignment="1">
      <alignment horizontal="left" vertical="center"/>
    </xf>
    <xf numFmtId="0" fontId="55" fillId="0" borderId="33" xfId="0" applyFont="1" applyFill="1" applyBorder="1" applyAlignment="1">
      <alignment horizontal="left" vertical="center"/>
    </xf>
    <xf numFmtId="0" fontId="25" fillId="0" borderId="53" xfId="0" applyFont="1" applyFill="1" applyBorder="1" applyAlignment="1">
      <alignment horizontal="left" vertical="center" wrapText="1"/>
    </xf>
    <xf numFmtId="0" fontId="25" fillId="0" borderId="30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distributed"/>
    </xf>
    <xf numFmtId="0" fontId="2" fillId="0" borderId="30" xfId="0" applyFont="1" applyBorder="1" applyAlignment="1">
      <alignment horizontal="center" vertical="distributed"/>
    </xf>
    <xf numFmtId="0" fontId="2" fillId="0" borderId="33" xfId="0" applyFont="1" applyBorder="1" applyAlignment="1">
      <alignment horizontal="center" vertical="distributed"/>
    </xf>
    <xf numFmtId="0" fontId="12" fillId="0" borderId="34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left" vertical="distributed"/>
    </xf>
    <xf numFmtId="0" fontId="48" fillId="0" borderId="30" xfId="0" applyFont="1" applyFill="1" applyBorder="1" applyAlignment="1">
      <alignment horizontal="left" vertical="distributed"/>
    </xf>
    <xf numFmtId="0" fontId="48" fillId="0" borderId="33" xfId="0" applyFont="1" applyFill="1" applyBorder="1" applyAlignment="1">
      <alignment horizontal="left" vertical="distributed"/>
    </xf>
    <xf numFmtId="0" fontId="12" fillId="0" borderId="34" xfId="0" applyFont="1" applyFill="1" applyBorder="1" applyAlignment="1">
      <alignment horizontal="center" vertical="distributed" wrapText="1"/>
    </xf>
    <xf numFmtId="0" fontId="12" fillId="0" borderId="29" xfId="0" applyFont="1" applyFill="1" applyBorder="1" applyAlignment="1">
      <alignment horizontal="center" vertical="distributed" wrapText="1"/>
    </xf>
    <xf numFmtId="0" fontId="5" fillId="11" borderId="10" xfId="0" applyFont="1" applyFill="1" applyBorder="1" applyAlignment="1">
      <alignment horizontal="left" vertical="center" wrapText="1"/>
    </xf>
    <xf numFmtId="0" fontId="5" fillId="11" borderId="25" xfId="0" applyFont="1" applyFill="1" applyBorder="1" applyAlignment="1">
      <alignment horizontal="left" vertical="center" wrapText="1"/>
    </xf>
    <xf numFmtId="0" fontId="5" fillId="11" borderId="12" xfId="0" applyFont="1" applyFill="1" applyBorder="1" applyAlignment="1">
      <alignment horizontal="left" vertical="center" wrapText="1"/>
    </xf>
    <xf numFmtId="0" fontId="74" fillId="11" borderId="5" xfId="0" applyFont="1" applyFill="1" applyBorder="1" applyAlignment="1">
      <alignment horizontal="left" wrapText="1"/>
    </xf>
    <xf numFmtId="0" fontId="74" fillId="11" borderId="28" xfId="0" applyFont="1" applyFill="1" applyBorder="1" applyAlignment="1">
      <alignment horizontal="left" wrapText="1"/>
    </xf>
    <xf numFmtId="0" fontId="74" fillId="11" borderId="7" xfId="0" applyFont="1" applyFill="1" applyBorder="1" applyAlignment="1">
      <alignment horizontal="left" wrapText="1"/>
    </xf>
    <xf numFmtId="0" fontId="74" fillId="11" borderId="27" xfId="0" applyFont="1" applyFill="1" applyBorder="1" applyAlignment="1">
      <alignment horizontal="left" vertical="center" wrapText="1"/>
    </xf>
    <xf numFmtId="0" fontId="74" fillId="11" borderId="0" xfId="0" applyFont="1" applyFill="1" applyBorder="1" applyAlignment="1">
      <alignment horizontal="left" vertical="center" wrapText="1"/>
    </xf>
    <xf numFmtId="0" fontId="74" fillId="11" borderId="35" xfId="0" applyFont="1" applyFill="1" applyBorder="1" applyAlignment="1">
      <alignment horizontal="left" vertical="center" wrapText="1"/>
    </xf>
    <xf numFmtId="0" fontId="74" fillId="11" borderId="8" xfId="0" applyFont="1" applyFill="1" applyBorder="1" applyAlignment="1">
      <alignment horizontal="left" vertical="center" wrapText="1"/>
    </xf>
    <xf numFmtId="0" fontId="74" fillId="11" borderId="26" xfId="0" applyFont="1" applyFill="1" applyBorder="1" applyAlignment="1">
      <alignment horizontal="left" vertical="center" wrapText="1"/>
    </xf>
    <xf numFmtId="0" fontId="74" fillId="11" borderId="9" xfId="0" applyFont="1" applyFill="1" applyBorder="1" applyAlignment="1">
      <alignment horizontal="left" vertical="center" wrapText="1"/>
    </xf>
    <xf numFmtId="0" fontId="64" fillId="11" borderId="19" xfId="0" applyFont="1" applyFill="1" applyBorder="1" applyAlignment="1">
      <alignment horizontal="left" vertical="center"/>
    </xf>
    <xf numFmtId="0" fontId="64" fillId="11" borderId="30" xfId="0" applyFont="1" applyFill="1" applyBorder="1" applyAlignment="1">
      <alignment horizontal="left" vertical="center"/>
    </xf>
    <xf numFmtId="0" fontId="64" fillId="11" borderId="33" xfId="0" applyFont="1" applyFill="1" applyBorder="1" applyAlignment="1">
      <alignment horizontal="left" vertical="center"/>
    </xf>
    <xf numFmtId="0" fontId="70" fillId="11" borderId="6" xfId="0" applyFont="1" applyFill="1" applyBorder="1" applyAlignment="1">
      <alignment horizontal="center" vertical="center" wrapText="1"/>
    </xf>
    <xf numFmtId="0" fontId="70" fillId="11" borderId="50" xfId="0" applyFont="1" applyFill="1" applyBorder="1" applyAlignment="1">
      <alignment horizontal="center" vertical="center" wrapText="1"/>
    </xf>
    <xf numFmtId="0" fontId="70" fillId="11" borderId="48" xfId="0" applyFont="1" applyFill="1" applyBorder="1" applyAlignment="1">
      <alignment horizontal="center" vertical="center" wrapText="1"/>
    </xf>
    <xf numFmtId="0" fontId="70" fillId="11" borderId="51" xfId="0" applyFont="1" applyFill="1" applyBorder="1" applyAlignment="1">
      <alignment horizontal="center" vertical="center" wrapText="1"/>
    </xf>
    <xf numFmtId="0" fontId="5" fillId="11" borderId="8" xfId="0" applyFont="1" applyFill="1" applyBorder="1" applyAlignment="1">
      <alignment horizontal="left" vertical="center" wrapText="1"/>
    </xf>
    <xf numFmtId="0" fontId="5" fillId="11" borderId="26" xfId="0" applyFont="1" applyFill="1" applyBorder="1" applyAlignment="1">
      <alignment horizontal="left" vertical="center" wrapText="1"/>
    </xf>
    <xf numFmtId="0" fontId="5" fillId="11" borderId="9" xfId="0" applyFont="1" applyFill="1" applyBorder="1" applyAlignment="1">
      <alignment horizontal="left" vertical="center" wrapText="1"/>
    </xf>
    <xf numFmtId="1" fontId="68" fillId="11" borderId="10" xfId="1" applyNumberFormat="1" applyFont="1" applyFill="1" applyBorder="1" applyAlignment="1">
      <alignment horizontal="center" vertical="center"/>
    </xf>
    <xf numFmtId="1" fontId="68" fillId="11" borderId="12" xfId="1" applyNumberFormat="1" applyFont="1" applyFill="1" applyBorder="1" applyAlignment="1">
      <alignment horizontal="center" vertical="center"/>
    </xf>
    <xf numFmtId="0" fontId="70" fillId="11" borderId="5" xfId="0" applyFont="1" applyFill="1" applyBorder="1" applyAlignment="1">
      <alignment horizontal="center" vertical="center" wrapText="1"/>
    </xf>
    <xf numFmtId="0" fontId="70" fillId="11" borderId="55" xfId="0" applyFont="1" applyFill="1" applyBorder="1" applyAlignment="1">
      <alignment horizontal="center" vertical="center" wrapText="1"/>
    </xf>
    <xf numFmtId="0" fontId="70" fillId="11" borderId="56" xfId="0" applyFont="1" applyFill="1" applyBorder="1" applyAlignment="1">
      <alignment horizontal="center" vertical="center" wrapText="1"/>
    </xf>
    <xf numFmtId="0" fontId="70" fillId="11" borderId="23" xfId="0" applyFont="1" applyFill="1" applyBorder="1" applyAlignment="1">
      <alignment horizontal="center" vertical="center" wrapText="1"/>
    </xf>
    <xf numFmtId="0" fontId="5" fillId="11" borderId="5" xfId="0" applyFont="1" applyFill="1" applyBorder="1" applyAlignment="1">
      <alignment horizontal="left" vertical="center" wrapText="1"/>
    </xf>
    <xf numFmtId="0" fontId="5" fillId="11" borderId="28" xfId="0" applyFont="1" applyFill="1" applyBorder="1" applyAlignment="1">
      <alignment horizontal="left" vertical="center" wrapText="1"/>
    </xf>
    <xf numFmtId="0" fontId="5" fillId="11" borderId="7" xfId="0" applyFont="1" applyFill="1" applyBorder="1" applyAlignment="1">
      <alignment horizontal="left" vertical="center" wrapText="1"/>
    </xf>
    <xf numFmtId="0" fontId="5" fillId="11" borderId="27" xfId="0" applyFont="1" applyFill="1" applyBorder="1" applyAlignment="1">
      <alignment horizontal="left" vertical="center" wrapText="1"/>
    </xf>
    <xf numFmtId="0" fontId="5" fillId="11" borderId="0" xfId="0" applyFont="1" applyFill="1" applyBorder="1" applyAlignment="1">
      <alignment horizontal="left" vertical="center" wrapText="1"/>
    </xf>
    <xf numFmtId="0" fontId="5" fillId="11" borderId="35" xfId="0" applyFont="1" applyFill="1" applyBorder="1" applyAlignment="1">
      <alignment horizontal="left" vertical="center" wrapText="1"/>
    </xf>
    <xf numFmtId="10" fontId="5" fillId="0" borderId="36" xfId="0" applyNumberFormat="1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distributed"/>
    </xf>
    <xf numFmtId="0" fontId="8" fillId="0" borderId="2" xfId="0" applyFont="1" applyBorder="1" applyAlignment="1">
      <alignment horizontal="left" vertical="distributed"/>
    </xf>
    <xf numFmtId="0" fontId="8" fillId="0" borderId="3" xfId="0" applyFont="1" applyBorder="1" applyAlignment="1">
      <alignment horizontal="left" vertical="distributed"/>
    </xf>
    <xf numFmtId="0" fontId="10" fillId="0" borderId="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11" borderId="37" xfId="0" applyFont="1" applyFill="1" applyBorder="1" applyAlignment="1">
      <alignment horizontal="center" vertical="center" wrapText="1"/>
    </xf>
    <xf numFmtId="0" fontId="2" fillId="11" borderId="43" xfId="0" applyFont="1" applyFill="1" applyBorder="1" applyAlignment="1">
      <alignment horizontal="center" vertical="center" wrapText="1"/>
    </xf>
    <xf numFmtId="0" fontId="2" fillId="11" borderId="44" xfId="0" applyFont="1" applyFill="1" applyBorder="1" applyAlignment="1">
      <alignment horizontal="center" vertical="center" wrapText="1"/>
    </xf>
    <xf numFmtId="0" fontId="2" fillId="11" borderId="45" xfId="0" applyFont="1" applyFill="1" applyBorder="1" applyAlignment="1">
      <alignment horizontal="center" vertical="center" wrapText="1"/>
    </xf>
    <xf numFmtId="0" fontId="2" fillId="11" borderId="39" xfId="0" applyFont="1" applyFill="1" applyBorder="1" applyAlignment="1">
      <alignment horizontal="center" vertical="center" wrapText="1"/>
    </xf>
    <xf numFmtId="0" fontId="2" fillId="11" borderId="46" xfId="0" applyFont="1" applyFill="1" applyBorder="1" applyAlignment="1">
      <alignment horizontal="center" vertical="center" wrapText="1"/>
    </xf>
    <xf numFmtId="0" fontId="2" fillId="11" borderId="47" xfId="0" applyFont="1" applyFill="1" applyBorder="1" applyAlignment="1">
      <alignment horizontal="center" vertical="center" wrapText="1"/>
    </xf>
    <xf numFmtId="0" fontId="2" fillId="11" borderId="34" xfId="0" applyFont="1" applyFill="1" applyBorder="1" applyAlignment="1">
      <alignment horizontal="left" vertical="center" wrapText="1"/>
    </xf>
    <xf numFmtId="0" fontId="2" fillId="11" borderId="29" xfId="0" applyFont="1" applyFill="1" applyBorder="1" applyAlignment="1">
      <alignment horizontal="left" vertical="center" wrapText="1"/>
    </xf>
    <xf numFmtId="0" fontId="32" fillId="11" borderId="19" xfId="0" applyFont="1" applyFill="1" applyBorder="1" applyAlignment="1">
      <alignment horizontal="left" vertical="center" wrapText="1"/>
    </xf>
    <xf numFmtId="0" fontId="32" fillId="11" borderId="30" xfId="0" applyFont="1" applyFill="1" applyBorder="1" applyAlignment="1">
      <alignment horizontal="left" vertical="center" wrapText="1"/>
    </xf>
    <xf numFmtId="0" fontId="32" fillId="11" borderId="33" xfId="0" applyFont="1" applyFill="1" applyBorder="1" applyAlignment="1">
      <alignment horizontal="left" vertical="center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6600"/>
      <color rgb="FF0000FF"/>
      <color rgb="FF993300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C49-4422-B7B6-E2D19CACCDED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C49-4422-B7B6-E2D19CACC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251759"/>
        <c:axId val="1"/>
      </c:lineChart>
      <c:catAx>
        <c:axId val="15452517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2517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B6D-43EE-841D-5B8ABE4536D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B6D-43EE-841D-5B8ABE453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1167"/>
        <c:axId val="1"/>
      </c:lineChart>
      <c:catAx>
        <c:axId val="15450811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11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558-43FE-AA65-5660B4E90F32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558-43FE-AA65-5660B4E90F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1567"/>
        <c:axId val="1"/>
      </c:lineChart>
      <c:catAx>
        <c:axId val="1545091567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1567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D69-4000-9B73-8984150C53D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D69-4000-9B73-8984150C5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911"/>
        <c:axId val="1"/>
      </c:lineChart>
      <c:catAx>
        <c:axId val="15450849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9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5BF-42C5-8FCA-29FD63372021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5BF-42C5-8FCA-29FD63372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5311"/>
        <c:axId val="1"/>
      </c:lineChart>
      <c:catAx>
        <c:axId val="154509531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531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46D-4683-81FB-30099A434FA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46D-4683-81FB-30099A434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5743"/>
        <c:axId val="1"/>
      </c:lineChart>
      <c:catAx>
        <c:axId val="1545085743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574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66A-4375-B686-2D2C601CA676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66A-4375-B686-2D2C601CA6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6159"/>
        <c:axId val="1"/>
      </c:lineChart>
      <c:catAx>
        <c:axId val="154508615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615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65A-446D-9017-3ED622BFFCBC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65A-446D-9017-3ED622BFF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2815"/>
        <c:axId val="1"/>
      </c:lineChart>
      <c:catAx>
        <c:axId val="1545092815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28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3A4-4361-A3F1-6F1AE52FCB1F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3A4-4361-A3F1-6F1AE52FC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93231"/>
        <c:axId val="1"/>
      </c:lineChart>
      <c:catAx>
        <c:axId val="1545093231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9323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773-4465-AC1D-98D6EB6096FE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773-4465-AC1D-98D6EB609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5084079"/>
        <c:axId val="1"/>
      </c:lineChart>
      <c:catAx>
        <c:axId val="1545084079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"/>
        <c:crossesAt val="0"/>
        <c:auto val="0"/>
        <c:lblAlgn val="ctr"/>
        <c:lblOffset val="100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5084079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</c:dTable>
      <c:spPr>
        <a:solidFill>
          <a:srgbClr val="C0C0C0"/>
        </a:solidFill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15B6FA2-56A6-4177-9E2C-193D77F113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D25986E-820C-4F09-8447-C2D4FED59A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5569447-2F25-4D5B-8BB3-DDC9E0E5F2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69E0D9-4F96-40F9-B721-CFCDA2B04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31DE353-32CB-4B30-9CB3-A08F75612F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D26DDB4A-F1DD-477C-A1C8-7FDE91515C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FBF0272C-6F05-4BF8-8B2E-EAE2B476F0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1</xdr:row>
      <xdr:rowOff>0</xdr:rowOff>
    </xdr:from>
    <xdr:to>
      <xdr:col>3</xdr:col>
      <xdr:colOff>704850</xdr:colOff>
      <xdr:row>1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551311C-1644-44B6-90E1-4C9749DCEF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CB04C31C-2881-4311-9BD5-A7659FA3FC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600075</xdr:colOff>
      <xdr:row>1</xdr:row>
      <xdr:rowOff>0</xdr:rowOff>
    </xdr:from>
    <xdr:to>
      <xdr:col>2</xdr:col>
      <xdr:colOff>0</xdr:colOff>
      <xdr:row>1</xdr:row>
      <xdr:rowOff>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1F3C62A6-DEE9-4AE6-914E-6F28A3B9B5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996462</xdr:colOff>
      <xdr:row>14</xdr:row>
      <xdr:rowOff>211665</xdr:rowOff>
    </xdr:from>
    <xdr:to>
      <xdr:col>8</xdr:col>
      <xdr:colOff>116417</xdr:colOff>
      <xdr:row>17</xdr:row>
      <xdr:rowOff>95249</xdr:rowOff>
    </xdr:to>
    <xdr:sp macro="" textlink="">
      <xdr:nvSpPr>
        <xdr:cNvPr id="12" name="Line 57">
          <a:extLst>
            <a:ext uri="{FF2B5EF4-FFF2-40B4-BE49-F238E27FC236}">
              <a16:creationId xmlns:a16="http://schemas.microsoft.com/office/drawing/2014/main" id="{1A00448E-D390-4E88-9B0C-488B3C507BBE}"/>
            </a:ext>
          </a:extLst>
        </xdr:cNvPr>
        <xdr:cNvSpPr>
          <a:spLocks noChangeShapeType="1"/>
        </xdr:cNvSpPr>
      </xdr:nvSpPr>
      <xdr:spPr bwMode="auto">
        <a:xfrm flipV="1">
          <a:off x="2286000" y="5062088"/>
          <a:ext cx="5662898" cy="9533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1176867</xdr:colOff>
      <xdr:row>23</xdr:row>
      <xdr:rowOff>222250</xdr:rowOff>
    </xdr:from>
    <xdr:to>
      <xdr:col>2</xdr:col>
      <xdr:colOff>967317</xdr:colOff>
      <xdr:row>23</xdr:row>
      <xdr:rowOff>222250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BE457E45-B44B-4E78-AE0E-5E54B0E3E3E7}"/>
            </a:ext>
          </a:extLst>
        </xdr:cNvPr>
        <xdr:cNvSpPr>
          <a:spLocks noChangeShapeType="1"/>
        </xdr:cNvSpPr>
      </xdr:nvSpPr>
      <xdr:spPr bwMode="auto">
        <a:xfrm>
          <a:off x="2462742" y="25717500"/>
          <a:ext cx="13811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2</xdr:col>
      <xdr:colOff>439616</xdr:colOff>
      <xdr:row>14</xdr:row>
      <xdr:rowOff>328082</xdr:rowOff>
    </xdr:from>
    <xdr:to>
      <xdr:col>4</xdr:col>
      <xdr:colOff>455083</xdr:colOff>
      <xdr:row>17</xdr:row>
      <xdr:rowOff>102577</xdr:rowOff>
    </xdr:to>
    <xdr:sp macro="" textlink="">
      <xdr:nvSpPr>
        <xdr:cNvPr id="14" name="Line 57">
          <a:extLst>
            <a:ext uri="{FF2B5EF4-FFF2-40B4-BE49-F238E27FC236}">
              <a16:creationId xmlns:a16="http://schemas.microsoft.com/office/drawing/2014/main" id="{568CDE84-5741-4253-8E13-FC9DA2C28A31}"/>
            </a:ext>
          </a:extLst>
        </xdr:cNvPr>
        <xdr:cNvSpPr>
          <a:spLocks noChangeShapeType="1"/>
        </xdr:cNvSpPr>
      </xdr:nvSpPr>
      <xdr:spPr bwMode="auto">
        <a:xfrm flipV="1">
          <a:off x="3472962" y="5178505"/>
          <a:ext cx="1466198" cy="84422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21981</xdr:colOff>
      <xdr:row>14</xdr:row>
      <xdr:rowOff>264582</xdr:rowOff>
    </xdr:from>
    <xdr:to>
      <xdr:col>9</xdr:col>
      <xdr:colOff>222250</xdr:colOff>
      <xdr:row>17</xdr:row>
      <xdr:rowOff>87922</xdr:rowOff>
    </xdr:to>
    <xdr:sp macro="" textlink="">
      <xdr:nvSpPr>
        <xdr:cNvPr id="15" name="Line 57">
          <a:extLst>
            <a:ext uri="{FF2B5EF4-FFF2-40B4-BE49-F238E27FC236}">
              <a16:creationId xmlns:a16="http://schemas.microsoft.com/office/drawing/2014/main" id="{9B338E68-16DE-465E-8486-82DA2AB743A2}"/>
            </a:ext>
          </a:extLst>
        </xdr:cNvPr>
        <xdr:cNvSpPr>
          <a:spLocks noChangeShapeType="1"/>
        </xdr:cNvSpPr>
      </xdr:nvSpPr>
      <xdr:spPr bwMode="auto">
        <a:xfrm flipV="1">
          <a:off x="6110654" y="5115005"/>
          <a:ext cx="2742711" cy="89307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1176867</xdr:colOff>
      <xdr:row>54</xdr:row>
      <xdr:rowOff>222250</xdr:rowOff>
    </xdr:from>
    <xdr:to>
      <xdr:col>2</xdr:col>
      <xdr:colOff>967317</xdr:colOff>
      <xdr:row>54</xdr:row>
      <xdr:rowOff>222250</xdr:rowOff>
    </xdr:to>
    <xdr:sp macro="" textlink="">
      <xdr:nvSpPr>
        <xdr:cNvPr id="45" name="Line 8">
          <a:extLst>
            <a:ext uri="{FF2B5EF4-FFF2-40B4-BE49-F238E27FC236}">
              <a16:creationId xmlns:a16="http://schemas.microsoft.com/office/drawing/2014/main" id="{D01E944D-25A1-4EC5-BFB1-F7790929AAA2}"/>
            </a:ext>
          </a:extLst>
        </xdr:cNvPr>
        <xdr:cNvSpPr>
          <a:spLocks noChangeShapeType="1"/>
        </xdr:cNvSpPr>
      </xdr:nvSpPr>
      <xdr:spPr bwMode="auto">
        <a:xfrm>
          <a:off x="2465543" y="8256868"/>
          <a:ext cx="13861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1176867</xdr:colOff>
      <xdr:row>85</xdr:row>
      <xdr:rowOff>222250</xdr:rowOff>
    </xdr:from>
    <xdr:to>
      <xdr:col>2</xdr:col>
      <xdr:colOff>967317</xdr:colOff>
      <xdr:row>85</xdr:row>
      <xdr:rowOff>222250</xdr:rowOff>
    </xdr:to>
    <xdr:sp macro="" textlink="">
      <xdr:nvSpPr>
        <xdr:cNvPr id="49" name="Line 8">
          <a:extLst>
            <a:ext uri="{FF2B5EF4-FFF2-40B4-BE49-F238E27FC236}">
              <a16:creationId xmlns:a16="http://schemas.microsoft.com/office/drawing/2014/main" id="{60E6EEC5-B0F2-4AAC-8D9D-BF91CB3DC520}"/>
            </a:ext>
          </a:extLst>
        </xdr:cNvPr>
        <xdr:cNvSpPr>
          <a:spLocks noChangeShapeType="1"/>
        </xdr:cNvSpPr>
      </xdr:nvSpPr>
      <xdr:spPr bwMode="auto">
        <a:xfrm>
          <a:off x="2465543" y="19216221"/>
          <a:ext cx="13861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1176867</xdr:colOff>
      <xdr:row>116</xdr:row>
      <xdr:rowOff>222250</xdr:rowOff>
    </xdr:from>
    <xdr:to>
      <xdr:col>2</xdr:col>
      <xdr:colOff>967317</xdr:colOff>
      <xdr:row>116</xdr:row>
      <xdr:rowOff>222250</xdr:rowOff>
    </xdr:to>
    <xdr:sp macro="" textlink="">
      <xdr:nvSpPr>
        <xdr:cNvPr id="57" name="Line 8">
          <a:extLst>
            <a:ext uri="{FF2B5EF4-FFF2-40B4-BE49-F238E27FC236}">
              <a16:creationId xmlns:a16="http://schemas.microsoft.com/office/drawing/2014/main" id="{C3E61E0E-E166-4B76-97FC-B294460A2DA5}"/>
            </a:ext>
          </a:extLst>
        </xdr:cNvPr>
        <xdr:cNvSpPr>
          <a:spLocks noChangeShapeType="1"/>
        </xdr:cNvSpPr>
      </xdr:nvSpPr>
      <xdr:spPr bwMode="auto">
        <a:xfrm>
          <a:off x="2465543" y="30175574"/>
          <a:ext cx="13861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1176867</xdr:colOff>
      <xdr:row>147</xdr:row>
      <xdr:rowOff>222250</xdr:rowOff>
    </xdr:from>
    <xdr:to>
      <xdr:col>2</xdr:col>
      <xdr:colOff>967317</xdr:colOff>
      <xdr:row>147</xdr:row>
      <xdr:rowOff>222250</xdr:rowOff>
    </xdr:to>
    <xdr:sp macro="" textlink="">
      <xdr:nvSpPr>
        <xdr:cNvPr id="73" name="Line 8">
          <a:extLst>
            <a:ext uri="{FF2B5EF4-FFF2-40B4-BE49-F238E27FC236}">
              <a16:creationId xmlns:a16="http://schemas.microsoft.com/office/drawing/2014/main" id="{064689EE-1263-47C1-837A-D4FA9EC87355}"/>
            </a:ext>
          </a:extLst>
        </xdr:cNvPr>
        <xdr:cNvSpPr>
          <a:spLocks noChangeShapeType="1"/>
        </xdr:cNvSpPr>
      </xdr:nvSpPr>
      <xdr:spPr bwMode="auto">
        <a:xfrm>
          <a:off x="2465543" y="41134926"/>
          <a:ext cx="13861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55"/>
  <sheetViews>
    <sheetView tabSelected="1" zoomScale="85" zoomScaleNormal="85" workbookViewId="0"/>
  </sheetViews>
  <sheetFormatPr baseColWidth="10" defaultColWidth="16" defaultRowHeight="28.5" customHeight="1" x14ac:dyDescent="0.2"/>
  <cols>
    <col min="1" max="1" width="19.28515625" style="277" customWidth="1"/>
    <col min="2" max="2" width="26.140625" style="280" customWidth="1"/>
    <col min="3" max="3" width="12.28515625" style="280" customWidth="1"/>
    <col min="4" max="4" width="10.7109375" style="277" customWidth="1"/>
    <col min="5" max="5" width="12.140625" style="277" customWidth="1"/>
    <col min="6" max="6" width="11.85546875" style="277" customWidth="1"/>
    <col min="7" max="7" width="12" style="277" customWidth="1"/>
    <col min="8" max="8" width="14.140625" style="277" customWidth="1"/>
    <col min="9" max="9" width="12" style="277" customWidth="1"/>
    <col min="10" max="10" width="15.140625" style="277" customWidth="1"/>
    <col min="11" max="11" width="16.7109375" style="277" customWidth="1"/>
    <col min="12" max="12" width="20.5703125" style="277" customWidth="1"/>
    <col min="13" max="13" width="23.28515625" style="277" customWidth="1"/>
    <col min="14" max="14" width="22.7109375" style="277" customWidth="1"/>
    <col min="15" max="16" width="16" style="277"/>
    <col min="17" max="17" width="23.140625" style="277" customWidth="1"/>
    <col min="18" max="257" width="16" style="277"/>
    <col min="258" max="258" width="10.42578125" style="277" customWidth="1"/>
    <col min="259" max="259" width="26.140625" style="277" customWidth="1"/>
    <col min="260" max="260" width="12.28515625" style="277" customWidth="1"/>
    <col min="261" max="261" width="9.42578125" style="277" customWidth="1"/>
    <col min="262" max="262" width="18.28515625" style="277" customWidth="1"/>
    <col min="263" max="263" width="10.5703125" style="277" customWidth="1"/>
    <col min="264" max="264" width="18.42578125" style="277" customWidth="1"/>
    <col min="265" max="265" width="10.7109375" style="277" customWidth="1"/>
    <col min="266" max="266" width="12" style="277" customWidth="1"/>
    <col min="267" max="267" width="18.85546875" style="277" customWidth="1"/>
    <col min="268" max="268" width="17.85546875" style="277" customWidth="1"/>
    <col min="269" max="269" width="20.28515625" style="277" customWidth="1"/>
    <col min="270" max="270" width="15.5703125" style="277" customWidth="1"/>
    <col min="271" max="272" width="16" style="277"/>
    <col min="273" max="273" width="23.140625" style="277" customWidth="1"/>
    <col min="274" max="513" width="16" style="277"/>
    <col min="514" max="514" width="10.42578125" style="277" customWidth="1"/>
    <col min="515" max="515" width="26.140625" style="277" customWidth="1"/>
    <col min="516" max="516" width="12.28515625" style="277" customWidth="1"/>
    <col min="517" max="517" width="9.42578125" style="277" customWidth="1"/>
    <col min="518" max="518" width="18.28515625" style="277" customWidth="1"/>
    <col min="519" max="519" width="10.5703125" style="277" customWidth="1"/>
    <col min="520" max="520" width="18.42578125" style="277" customWidth="1"/>
    <col min="521" max="521" width="10.7109375" style="277" customWidth="1"/>
    <col min="522" max="522" width="12" style="277" customWidth="1"/>
    <col min="523" max="523" width="18.85546875" style="277" customWidth="1"/>
    <col min="524" max="524" width="17.85546875" style="277" customWidth="1"/>
    <col min="525" max="525" width="20.28515625" style="277" customWidth="1"/>
    <col min="526" max="526" width="15.5703125" style="277" customWidth="1"/>
    <col min="527" max="528" width="16" style="277"/>
    <col min="529" max="529" width="23.140625" style="277" customWidth="1"/>
    <col min="530" max="769" width="16" style="277"/>
    <col min="770" max="770" width="10.42578125" style="277" customWidth="1"/>
    <col min="771" max="771" width="26.140625" style="277" customWidth="1"/>
    <col min="772" max="772" width="12.28515625" style="277" customWidth="1"/>
    <col min="773" max="773" width="9.42578125" style="277" customWidth="1"/>
    <col min="774" max="774" width="18.28515625" style="277" customWidth="1"/>
    <col min="775" max="775" width="10.5703125" style="277" customWidth="1"/>
    <col min="776" max="776" width="18.42578125" style="277" customWidth="1"/>
    <col min="777" max="777" width="10.7109375" style="277" customWidth="1"/>
    <col min="778" max="778" width="12" style="277" customWidth="1"/>
    <col min="779" max="779" width="18.85546875" style="277" customWidth="1"/>
    <col min="780" max="780" width="17.85546875" style="277" customWidth="1"/>
    <col min="781" max="781" width="20.28515625" style="277" customWidth="1"/>
    <col min="782" max="782" width="15.5703125" style="277" customWidth="1"/>
    <col min="783" max="784" width="16" style="277"/>
    <col min="785" max="785" width="23.140625" style="277" customWidth="1"/>
    <col min="786" max="1025" width="16" style="277"/>
    <col min="1026" max="1026" width="10.42578125" style="277" customWidth="1"/>
    <col min="1027" max="1027" width="26.140625" style="277" customWidth="1"/>
    <col min="1028" max="1028" width="12.28515625" style="277" customWidth="1"/>
    <col min="1029" max="1029" width="9.42578125" style="277" customWidth="1"/>
    <col min="1030" max="1030" width="18.28515625" style="277" customWidth="1"/>
    <col min="1031" max="1031" width="10.5703125" style="277" customWidth="1"/>
    <col min="1032" max="1032" width="18.42578125" style="277" customWidth="1"/>
    <col min="1033" max="1033" width="10.7109375" style="277" customWidth="1"/>
    <col min="1034" max="1034" width="12" style="277" customWidth="1"/>
    <col min="1035" max="1035" width="18.85546875" style="277" customWidth="1"/>
    <col min="1036" max="1036" width="17.85546875" style="277" customWidth="1"/>
    <col min="1037" max="1037" width="20.28515625" style="277" customWidth="1"/>
    <col min="1038" max="1038" width="15.5703125" style="277" customWidth="1"/>
    <col min="1039" max="1040" width="16" style="277"/>
    <col min="1041" max="1041" width="23.140625" style="277" customWidth="1"/>
    <col min="1042" max="1281" width="16" style="277"/>
    <col min="1282" max="1282" width="10.42578125" style="277" customWidth="1"/>
    <col min="1283" max="1283" width="26.140625" style="277" customWidth="1"/>
    <col min="1284" max="1284" width="12.28515625" style="277" customWidth="1"/>
    <col min="1285" max="1285" width="9.42578125" style="277" customWidth="1"/>
    <col min="1286" max="1286" width="18.28515625" style="277" customWidth="1"/>
    <col min="1287" max="1287" width="10.5703125" style="277" customWidth="1"/>
    <col min="1288" max="1288" width="18.42578125" style="277" customWidth="1"/>
    <col min="1289" max="1289" width="10.7109375" style="277" customWidth="1"/>
    <col min="1290" max="1290" width="12" style="277" customWidth="1"/>
    <col min="1291" max="1291" width="18.85546875" style="277" customWidth="1"/>
    <col min="1292" max="1292" width="17.85546875" style="277" customWidth="1"/>
    <col min="1293" max="1293" width="20.28515625" style="277" customWidth="1"/>
    <col min="1294" max="1294" width="15.5703125" style="277" customWidth="1"/>
    <col min="1295" max="1296" width="16" style="277"/>
    <col min="1297" max="1297" width="23.140625" style="277" customWidth="1"/>
    <col min="1298" max="1537" width="16" style="277"/>
    <col min="1538" max="1538" width="10.42578125" style="277" customWidth="1"/>
    <col min="1539" max="1539" width="26.140625" style="277" customWidth="1"/>
    <col min="1540" max="1540" width="12.28515625" style="277" customWidth="1"/>
    <col min="1541" max="1541" width="9.42578125" style="277" customWidth="1"/>
    <col min="1542" max="1542" width="18.28515625" style="277" customWidth="1"/>
    <col min="1543" max="1543" width="10.5703125" style="277" customWidth="1"/>
    <col min="1544" max="1544" width="18.42578125" style="277" customWidth="1"/>
    <col min="1545" max="1545" width="10.7109375" style="277" customWidth="1"/>
    <col min="1546" max="1546" width="12" style="277" customWidth="1"/>
    <col min="1547" max="1547" width="18.85546875" style="277" customWidth="1"/>
    <col min="1548" max="1548" width="17.85546875" style="277" customWidth="1"/>
    <col min="1549" max="1549" width="20.28515625" style="277" customWidth="1"/>
    <col min="1550" max="1550" width="15.5703125" style="277" customWidth="1"/>
    <col min="1551" max="1552" width="16" style="277"/>
    <col min="1553" max="1553" width="23.140625" style="277" customWidth="1"/>
    <col min="1554" max="1793" width="16" style="277"/>
    <col min="1794" max="1794" width="10.42578125" style="277" customWidth="1"/>
    <col min="1795" max="1795" width="26.140625" style="277" customWidth="1"/>
    <col min="1796" max="1796" width="12.28515625" style="277" customWidth="1"/>
    <col min="1797" max="1797" width="9.42578125" style="277" customWidth="1"/>
    <col min="1798" max="1798" width="18.28515625" style="277" customWidth="1"/>
    <col min="1799" max="1799" width="10.5703125" style="277" customWidth="1"/>
    <col min="1800" max="1800" width="18.42578125" style="277" customWidth="1"/>
    <col min="1801" max="1801" width="10.7109375" style="277" customWidth="1"/>
    <col min="1802" max="1802" width="12" style="277" customWidth="1"/>
    <col min="1803" max="1803" width="18.85546875" style="277" customWidth="1"/>
    <col min="1804" max="1804" width="17.85546875" style="277" customWidth="1"/>
    <col min="1805" max="1805" width="20.28515625" style="277" customWidth="1"/>
    <col min="1806" max="1806" width="15.5703125" style="277" customWidth="1"/>
    <col min="1807" max="1808" width="16" style="277"/>
    <col min="1809" max="1809" width="23.140625" style="277" customWidth="1"/>
    <col min="1810" max="2049" width="16" style="277"/>
    <col min="2050" max="2050" width="10.42578125" style="277" customWidth="1"/>
    <col min="2051" max="2051" width="26.140625" style="277" customWidth="1"/>
    <col min="2052" max="2052" width="12.28515625" style="277" customWidth="1"/>
    <col min="2053" max="2053" width="9.42578125" style="277" customWidth="1"/>
    <col min="2054" max="2054" width="18.28515625" style="277" customWidth="1"/>
    <col min="2055" max="2055" width="10.5703125" style="277" customWidth="1"/>
    <col min="2056" max="2056" width="18.42578125" style="277" customWidth="1"/>
    <col min="2057" max="2057" width="10.7109375" style="277" customWidth="1"/>
    <col min="2058" max="2058" width="12" style="277" customWidth="1"/>
    <col min="2059" max="2059" width="18.85546875" style="277" customWidth="1"/>
    <col min="2060" max="2060" width="17.85546875" style="277" customWidth="1"/>
    <col min="2061" max="2061" width="20.28515625" style="277" customWidth="1"/>
    <col min="2062" max="2062" width="15.5703125" style="277" customWidth="1"/>
    <col min="2063" max="2064" width="16" style="277"/>
    <col min="2065" max="2065" width="23.140625" style="277" customWidth="1"/>
    <col min="2066" max="2305" width="16" style="277"/>
    <col min="2306" max="2306" width="10.42578125" style="277" customWidth="1"/>
    <col min="2307" max="2307" width="26.140625" style="277" customWidth="1"/>
    <col min="2308" max="2308" width="12.28515625" style="277" customWidth="1"/>
    <col min="2309" max="2309" width="9.42578125" style="277" customWidth="1"/>
    <col min="2310" max="2310" width="18.28515625" style="277" customWidth="1"/>
    <col min="2311" max="2311" width="10.5703125" style="277" customWidth="1"/>
    <col min="2312" max="2312" width="18.42578125" style="277" customWidth="1"/>
    <col min="2313" max="2313" width="10.7109375" style="277" customWidth="1"/>
    <col min="2314" max="2314" width="12" style="277" customWidth="1"/>
    <col min="2315" max="2315" width="18.85546875" style="277" customWidth="1"/>
    <col min="2316" max="2316" width="17.85546875" style="277" customWidth="1"/>
    <col min="2317" max="2317" width="20.28515625" style="277" customWidth="1"/>
    <col min="2318" max="2318" width="15.5703125" style="277" customWidth="1"/>
    <col min="2319" max="2320" width="16" style="277"/>
    <col min="2321" max="2321" width="23.140625" style="277" customWidth="1"/>
    <col min="2322" max="2561" width="16" style="277"/>
    <col min="2562" max="2562" width="10.42578125" style="277" customWidth="1"/>
    <col min="2563" max="2563" width="26.140625" style="277" customWidth="1"/>
    <col min="2564" max="2564" width="12.28515625" style="277" customWidth="1"/>
    <col min="2565" max="2565" width="9.42578125" style="277" customWidth="1"/>
    <col min="2566" max="2566" width="18.28515625" style="277" customWidth="1"/>
    <col min="2567" max="2567" width="10.5703125" style="277" customWidth="1"/>
    <col min="2568" max="2568" width="18.42578125" style="277" customWidth="1"/>
    <col min="2569" max="2569" width="10.7109375" style="277" customWidth="1"/>
    <col min="2570" max="2570" width="12" style="277" customWidth="1"/>
    <col min="2571" max="2571" width="18.85546875" style="277" customWidth="1"/>
    <col min="2572" max="2572" width="17.85546875" style="277" customWidth="1"/>
    <col min="2573" max="2573" width="20.28515625" style="277" customWidth="1"/>
    <col min="2574" max="2574" width="15.5703125" style="277" customWidth="1"/>
    <col min="2575" max="2576" width="16" style="277"/>
    <col min="2577" max="2577" width="23.140625" style="277" customWidth="1"/>
    <col min="2578" max="2817" width="16" style="277"/>
    <col min="2818" max="2818" width="10.42578125" style="277" customWidth="1"/>
    <col min="2819" max="2819" width="26.140625" style="277" customWidth="1"/>
    <col min="2820" max="2820" width="12.28515625" style="277" customWidth="1"/>
    <col min="2821" max="2821" width="9.42578125" style="277" customWidth="1"/>
    <col min="2822" max="2822" width="18.28515625" style="277" customWidth="1"/>
    <col min="2823" max="2823" width="10.5703125" style="277" customWidth="1"/>
    <col min="2824" max="2824" width="18.42578125" style="277" customWidth="1"/>
    <col min="2825" max="2825" width="10.7109375" style="277" customWidth="1"/>
    <col min="2826" max="2826" width="12" style="277" customWidth="1"/>
    <col min="2827" max="2827" width="18.85546875" style="277" customWidth="1"/>
    <col min="2828" max="2828" width="17.85546875" style="277" customWidth="1"/>
    <col min="2829" max="2829" width="20.28515625" style="277" customWidth="1"/>
    <col min="2830" max="2830" width="15.5703125" style="277" customWidth="1"/>
    <col min="2831" max="2832" width="16" style="277"/>
    <col min="2833" max="2833" width="23.140625" style="277" customWidth="1"/>
    <col min="2834" max="3073" width="16" style="277"/>
    <col min="3074" max="3074" width="10.42578125" style="277" customWidth="1"/>
    <col min="3075" max="3075" width="26.140625" style="277" customWidth="1"/>
    <col min="3076" max="3076" width="12.28515625" style="277" customWidth="1"/>
    <col min="3077" max="3077" width="9.42578125" style="277" customWidth="1"/>
    <col min="3078" max="3078" width="18.28515625" style="277" customWidth="1"/>
    <col min="3079" max="3079" width="10.5703125" style="277" customWidth="1"/>
    <col min="3080" max="3080" width="18.42578125" style="277" customWidth="1"/>
    <col min="3081" max="3081" width="10.7109375" style="277" customWidth="1"/>
    <col min="3082" max="3082" width="12" style="277" customWidth="1"/>
    <col min="3083" max="3083" width="18.85546875" style="277" customWidth="1"/>
    <col min="3084" max="3084" width="17.85546875" style="277" customWidth="1"/>
    <col min="3085" max="3085" width="20.28515625" style="277" customWidth="1"/>
    <col min="3086" max="3086" width="15.5703125" style="277" customWidth="1"/>
    <col min="3087" max="3088" width="16" style="277"/>
    <col min="3089" max="3089" width="23.140625" style="277" customWidth="1"/>
    <col min="3090" max="3329" width="16" style="277"/>
    <col min="3330" max="3330" width="10.42578125" style="277" customWidth="1"/>
    <col min="3331" max="3331" width="26.140625" style="277" customWidth="1"/>
    <col min="3332" max="3332" width="12.28515625" style="277" customWidth="1"/>
    <col min="3333" max="3333" width="9.42578125" style="277" customWidth="1"/>
    <col min="3334" max="3334" width="18.28515625" style="277" customWidth="1"/>
    <col min="3335" max="3335" width="10.5703125" style="277" customWidth="1"/>
    <col min="3336" max="3336" width="18.42578125" style="277" customWidth="1"/>
    <col min="3337" max="3337" width="10.7109375" style="277" customWidth="1"/>
    <col min="3338" max="3338" width="12" style="277" customWidth="1"/>
    <col min="3339" max="3339" width="18.85546875" style="277" customWidth="1"/>
    <col min="3340" max="3340" width="17.85546875" style="277" customWidth="1"/>
    <col min="3341" max="3341" width="20.28515625" style="277" customWidth="1"/>
    <col min="3342" max="3342" width="15.5703125" style="277" customWidth="1"/>
    <col min="3343" max="3344" width="16" style="277"/>
    <col min="3345" max="3345" width="23.140625" style="277" customWidth="1"/>
    <col min="3346" max="3585" width="16" style="277"/>
    <col min="3586" max="3586" width="10.42578125" style="277" customWidth="1"/>
    <col min="3587" max="3587" width="26.140625" style="277" customWidth="1"/>
    <col min="3588" max="3588" width="12.28515625" style="277" customWidth="1"/>
    <col min="3589" max="3589" width="9.42578125" style="277" customWidth="1"/>
    <col min="3590" max="3590" width="18.28515625" style="277" customWidth="1"/>
    <col min="3591" max="3591" width="10.5703125" style="277" customWidth="1"/>
    <col min="3592" max="3592" width="18.42578125" style="277" customWidth="1"/>
    <col min="3593" max="3593" width="10.7109375" style="277" customWidth="1"/>
    <col min="3594" max="3594" width="12" style="277" customWidth="1"/>
    <col min="3595" max="3595" width="18.85546875" style="277" customWidth="1"/>
    <col min="3596" max="3596" width="17.85546875" style="277" customWidth="1"/>
    <col min="3597" max="3597" width="20.28515625" style="277" customWidth="1"/>
    <col min="3598" max="3598" width="15.5703125" style="277" customWidth="1"/>
    <col min="3599" max="3600" width="16" style="277"/>
    <col min="3601" max="3601" width="23.140625" style="277" customWidth="1"/>
    <col min="3602" max="3841" width="16" style="277"/>
    <col min="3842" max="3842" width="10.42578125" style="277" customWidth="1"/>
    <col min="3843" max="3843" width="26.140625" style="277" customWidth="1"/>
    <col min="3844" max="3844" width="12.28515625" style="277" customWidth="1"/>
    <col min="3845" max="3845" width="9.42578125" style="277" customWidth="1"/>
    <col min="3846" max="3846" width="18.28515625" style="277" customWidth="1"/>
    <col min="3847" max="3847" width="10.5703125" style="277" customWidth="1"/>
    <col min="3848" max="3848" width="18.42578125" style="277" customWidth="1"/>
    <col min="3849" max="3849" width="10.7109375" style="277" customWidth="1"/>
    <col min="3850" max="3850" width="12" style="277" customWidth="1"/>
    <col min="3851" max="3851" width="18.85546875" style="277" customWidth="1"/>
    <col min="3852" max="3852" width="17.85546875" style="277" customWidth="1"/>
    <col min="3853" max="3853" width="20.28515625" style="277" customWidth="1"/>
    <col min="3854" max="3854" width="15.5703125" style="277" customWidth="1"/>
    <col min="3855" max="3856" width="16" style="277"/>
    <col min="3857" max="3857" width="23.140625" style="277" customWidth="1"/>
    <col min="3858" max="4097" width="16" style="277"/>
    <col min="4098" max="4098" width="10.42578125" style="277" customWidth="1"/>
    <col min="4099" max="4099" width="26.140625" style="277" customWidth="1"/>
    <col min="4100" max="4100" width="12.28515625" style="277" customWidth="1"/>
    <col min="4101" max="4101" width="9.42578125" style="277" customWidth="1"/>
    <col min="4102" max="4102" width="18.28515625" style="277" customWidth="1"/>
    <col min="4103" max="4103" width="10.5703125" style="277" customWidth="1"/>
    <col min="4104" max="4104" width="18.42578125" style="277" customWidth="1"/>
    <col min="4105" max="4105" width="10.7109375" style="277" customWidth="1"/>
    <col min="4106" max="4106" width="12" style="277" customWidth="1"/>
    <col min="4107" max="4107" width="18.85546875" style="277" customWidth="1"/>
    <col min="4108" max="4108" width="17.85546875" style="277" customWidth="1"/>
    <col min="4109" max="4109" width="20.28515625" style="277" customWidth="1"/>
    <col min="4110" max="4110" width="15.5703125" style="277" customWidth="1"/>
    <col min="4111" max="4112" width="16" style="277"/>
    <col min="4113" max="4113" width="23.140625" style="277" customWidth="1"/>
    <col min="4114" max="4353" width="16" style="277"/>
    <col min="4354" max="4354" width="10.42578125" style="277" customWidth="1"/>
    <col min="4355" max="4355" width="26.140625" style="277" customWidth="1"/>
    <col min="4356" max="4356" width="12.28515625" style="277" customWidth="1"/>
    <col min="4357" max="4357" width="9.42578125" style="277" customWidth="1"/>
    <col min="4358" max="4358" width="18.28515625" style="277" customWidth="1"/>
    <col min="4359" max="4359" width="10.5703125" style="277" customWidth="1"/>
    <col min="4360" max="4360" width="18.42578125" style="277" customWidth="1"/>
    <col min="4361" max="4361" width="10.7109375" style="277" customWidth="1"/>
    <col min="4362" max="4362" width="12" style="277" customWidth="1"/>
    <col min="4363" max="4363" width="18.85546875" style="277" customWidth="1"/>
    <col min="4364" max="4364" width="17.85546875" style="277" customWidth="1"/>
    <col min="4365" max="4365" width="20.28515625" style="277" customWidth="1"/>
    <col min="4366" max="4366" width="15.5703125" style="277" customWidth="1"/>
    <col min="4367" max="4368" width="16" style="277"/>
    <col min="4369" max="4369" width="23.140625" style="277" customWidth="1"/>
    <col min="4370" max="4609" width="16" style="277"/>
    <col min="4610" max="4610" width="10.42578125" style="277" customWidth="1"/>
    <col min="4611" max="4611" width="26.140625" style="277" customWidth="1"/>
    <col min="4612" max="4612" width="12.28515625" style="277" customWidth="1"/>
    <col min="4613" max="4613" width="9.42578125" style="277" customWidth="1"/>
    <col min="4614" max="4614" width="18.28515625" style="277" customWidth="1"/>
    <col min="4615" max="4615" width="10.5703125" style="277" customWidth="1"/>
    <col min="4616" max="4616" width="18.42578125" style="277" customWidth="1"/>
    <col min="4617" max="4617" width="10.7109375" style="277" customWidth="1"/>
    <col min="4618" max="4618" width="12" style="277" customWidth="1"/>
    <col min="4619" max="4619" width="18.85546875" style="277" customWidth="1"/>
    <col min="4620" max="4620" width="17.85546875" style="277" customWidth="1"/>
    <col min="4621" max="4621" width="20.28515625" style="277" customWidth="1"/>
    <col min="4622" max="4622" width="15.5703125" style="277" customWidth="1"/>
    <col min="4623" max="4624" width="16" style="277"/>
    <col min="4625" max="4625" width="23.140625" style="277" customWidth="1"/>
    <col min="4626" max="4865" width="16" style="277"/>
    <col min="4866" max="4866" width="10.42578125" style="277" customWidth="1"/>
    <col min="4867" max="4867" width="26.140625" style="277" customWidth="1"/>
    <col min="4868" max="4868" width="12.28515625" style="277" customWidth="1"/>
    <col min="4869" max="4869" width="9.42578125" style="277" customWidth="1"/>
    <col min="4870" max="4870" width="18.28515625" style="277" customWidth="1"/>
    <col min="4871" max="4871" width="10.5703125" style="277" customWidth="1"/>
    <col min="4872" max="4872" width="18.42578125" style="277" customWidth="1"/>
    <col min="4873" max="4873" width="10.7109375" style="277" customWidth="1"/>
    <col min="4874" max="4874" width="12" style="277" customWidth="1"/>
    <col min="4875" max="4875" width="18.85546875" style="277" customWidth="1"/>
    <col min="4876" max="4876" width="17.85546875" style="277" customWidth="1"/>
    <col min="4877" max="4877" width="20.28515625" style="277" customWidth="1"/>
    <col min="4878" max="4878" width="15.5703125" style="277" customWidth="1"/>
    <col min="4879" max="4880" width="16" style="277"/>
    <col min="4881" max="4881" width="23.140625" style="277" customWidth="1"/>
    <col min="4882" max="5121" width="16" style="277"/>
    <col min="5122" max="5122" width="10.42578125" style="277" customWidth="1"/>
    <col min="5123" max="5123" width="26.140625" style="277" customWidth="1"/>
    <col min="5124" max="5124" width="12.28515625" style="277" customWidth="1"/>
    <col min="5125" max="5125" width="9.42578125" style="277" customWidth="1"/>
    <col min="5126" max="5126" width="18.28515625" style="277" customWidth="1"/>
    <col min="5127" max="5127" width="10.5703125" style="277" customWidth="1"/>
    <col min="5128" max="5128" width="18.42578125" style="277" customWidth="1"/>
    <col min="5129" max="5129" width="10.7109375" style="277" customWidth="1"/>
    <col min="5130" max="5130" width="12" style="277" customWidth="1"/>
    <col min="5131" max="5131" width="18.85546875" style="277" customWidth="1"/>
    <col min="5132" max="5132" width="17.85546875" style="277" customWidth="1"/>
    <col min="5133" max="5133" width="20.28515625" style="277" customWidth="1"/>
    <col min="5134" max="5134" width="15.5703125" style="277" customWidth="1"/>
    <col min="5135" max="5136" width="16" style="277"/>
    <col min="5137" max="5137" width="23.140625" style="277" customWidth="1"/>
    <col min="5138" max="5377" width="16" style="277"/>
    <col min="5378" max="5378" width="10.42578125" style="277" customWidth="1"/>
    <col min="5379" max="5379" width="26.140625" style="277" customWidth="1"/>
    <col min="5380" max="5380" width="12.28515625" style="277" customWidth="1"/>
    <col min="5381" max="5381" width="9.42578125" style="277" customWidth="1"/>
    <col min="5382" max="5382" width="18.28515625" style="277" customWidth="1"/>
    <col min="5383" max="5383" width="10.5703125" style="277" customWidth="1"/>
    <col min="5384" max="5384" width="18.42578125" style="277" customWidth="1"/>
    <col min="5385" max="5385" width="10.7109375" style="277" customWidth="1"/>
    <col min="5386" max="5386" width="12" style="277" customWidth="1"/>
    <col min="5387" max="5387" width="18.85546875" style="277" customWidth="1"/>
    <col min="5388" max="5388" width="17.85546875" style="277" customWidth="1"/>
    <col min="5389" max="5389" width="20.28515625" style="277" customWidth="1"/>
    <col min="5390" max="5390" width="15.5703125" style="277" customWidth="1"/>
    <col min="5391" max="5392" width="16" style="277"/>
    <col min="5393" max="5393" width="23.140625" style="277" customWidth="1"/>
    <col min="5394" max="5633" width="16" style="277"/>
    <col min="5634" max="5634" width="10.42578125" style="277" customWidth="1"/>
    <col min="5635" max="5635" width="26.140625" style="277" customWidth="1"/>
    <col min="5636" max="5636" width="12.28515625" style="277" customWidth="1"/>
    <col min="5637" max="5637" width="9.42578125" style="277" customWidth="1"/>
    <col min="5638" max="5638" width="18.28515625" style="277" customWidth="1"/>
    <col min="5639" max="5639" width="10.5703125" style="277" customWidth="1"/>
    <col min="5640" max="5640" width="18.42578125" style="277" customWidth="1"/>
    <col min="5641" max="5641" width="10.7109375" style="277" customWidth="1"/>
    <col min="5642" max="5642" width="12" style="277" customWidth="1"/>
    <col min="5643" max="5643" width="18.85546875" style="277" customWidth="1"/>
    <col min="5644" max="5644" width="17.85546875" style="277" customWidth="1"/>
    <col min="5645" max="5645" width="20.28515625" style="277" customWidth="1"/>
    <col min="5646" max="5646" width="15.5703125" style="277" customWidth="1"/>
    <col min="5647" max="5648" width="16" style="277"/>
    <col min="5649" max="5649" width="23.140625" style="277" customWidth="1"/>
    <col min="5650" max="5889" width="16" style="277"/>
    <col min="5890" max="5890" width="10.42578125" style="277" customWidth="1"/>
    <col min="5891" max="5891" width="26.140625" style="277" customWidth="1"/>
    <col min="5892" max="5892" width="12.28515625" style="277" customWidth="1"/>
    <col min="5893" max="5893" width="9.42578125" style="277" customWidth="1"/>
    <col min="5894" max="5894" width="18.28515625" style="277" customWidth="1"/>
    <col min="5895" max="5895" width="10.5703125" style="277" customWidth="1"/>
    <col min="5896" max="5896" width="18.42578125" style="277" customWidth="1"/>
    <col min="5897" max="5897" width="10.7109375" style="277" customWidth="1"/>
    <col min="5898" max="5898" width="12" style="277" customWidth="1"/>
    <col min="5899" max="5899" width="18.85546875" style="277" customWidth="1"/>
    <col min="5900" max="5900" width="17.85546875" style="277" customWidth="1"/>
    <col min="5901" max="5901" width="20.28515625" style="277" customWidth="1"/>
    <col min="5902" max="5902" width="15.5703125" style="277" customWidth="1"/>
    <col min="5903" max="5904" width="16" style="277"/>
    <col min="5905" max="5905" width="23.140625" style="277" customWidth="1"/>
    <col min="5906" max="6145" width="16" style="277"/>
    <col min="6146" max="6146" width="10.42578125" style="277" customWidth="1"/>
    <col min="6147" max="6147" width="26.140625" style="277" customWidth="1"/>
    <col min="6148" max="6148" width="12.28515625" style="277" customWidth="1"/>
    <col min="6149" max="6149" width="9.42578125" style="277" customWidth="1"/>
    <col min="6150" max="6150" width="18.28515625" style="277" customWidth="1"/>
    <col min="6151" max="6151" width="10.5703125" style="277" customWidth="1"/>
    <col min="6152" max="6152" width="18.42578125" style="277" customWidth="1"/>
    <col min="6153" max="6153" width="10.7109375" style="277" customWidth="1"/>
    <col min="6154" max="6154" width="12" style="277" customWidth="1"/>
    <col min="6155" max="6155" width="18.85546875" style="277" customWidth="1"/>
    <col min="6156" max="6156" width="17.85546875" style="277" customWidth="1"/>
    <col min="6157" max="6157" width="20.28515625" style="277" customWidth="1"/>
    <col min="6158" max="6158" width="15.5703125" style="277" customWidth="1"/>
    <col min="6159" max="6160" width="16" style="277"/>
    <col min="6161" max="6161" width="23.140625" style="277" customWidth="1"/>
    <col min="6162" max="6401" width="16" style="277"/>
    <col min="6402" max="6402" width="10.42578125" style="277" customWidth="1"/>
    <col min="6403" max="6403" width="26.140625" style="277" customWidth="1"/>
    <col min="6404" max="6404" width="12.28515625" style="277" customWidth="1"/>
    <col min="6405" max="6405" width="9.42578125" style="277" customWidth="1"/>
    <col min="6406" max="6406" width="18.28515625" style="277" customWidth="1"/>
    <col min="6407" max="6407" width="10.5703125" style="277" customWidth="1"/>
    <col min="6408" max="6408" width="18.42578125" style="277" customWidth="1"/>
    <col min="6409" max="6409" width="10.7109375" style="277" customWidth="1"/>
    <col min="6410" max="6410" width="12" style="277" customWidth="1"/>
    <col min="6411" max="6411" width="18.85546875" style="277" customWidth="1"/>
    <col min="6412" max="6412" width="17.85546875" style="277" customWidth="1"/>
    <col min="6413" max="6413" width="20.28515625" style="277" customWidth="1"/>
    <col min="6414" max="6414" width="15.5703125" style="277" customWidth="1"/>
    <col min="6415" max="6416" width="16" style="277"/>
    <col min="6417" max="6417" width="23.140625" style="277" customWidth="1"/>
    <col min="6418" max="6657" width="16" style="277"/>
    <col min="6658" max="6658" width="10.42578125" style="277" customWidth="1"/>
    <col min="6659" max="6659" width="26.140625" style="277" customWidth="1"/>
    <col min="6660" max="6660" width="12.28515625" style="277" customWidth="1"/>
    <col min="6661" max="6661" width="9.42578125" style="277" customWidth="1"/>
    <col min="6662" max="6662" width="18.28515625" style="277" customWidth="1"/>
    <col min="6663" max="6663" width="10.5703125" style="277" customWidth="1"/>
    <col min="6664" max="6664" width="18.42578125" style="277" customWidth="1"/>
    <col min="6665" max="6665" width="10.7109375" style="277" customWidth="1"/>
    <col min="6666" max="6666" width="12" style="277" customWidth="1"/>
    <col min="6667" max="6667" width="18.85546875" style="277" customWidth="1"/>
    <col min="6668" max="6668" width="17.85546875" style="277" customWidth="1"/>
    <col min="6669" max="6669" width="20.28515625" style="277" customWidth="1"/>
    <col min="6670" max="6670" width="15.5703125" style="277" customWidth="1"/>
    <col min="6671" max="6672" width="16" style="277"/>
    <col min="6673" max="6673" width="23.140625" style="277" customWidth="1"/>
    <col min="6674" max="6913" width="16" style="277"/>
    <col min="6914" max="6914" width="10.42578125" style="277" customWidth="1"/>
    <col min="6915" max="6915" width="26.140625" style="277" customWidth="1"/>
    <col min="6916" max="6916" width="12.28515625" style="277" customWidth="1"/>
    <col min="6917" max="6917" width="9.42578125" style="277" customWidth="1"/>
    <col min="6918" max="6918" width="18.28515625" style="277" customWidth="1"/>
    <col min="6919" max="6919" width="10.5703125" style="277" customWidth="1"/>
    <col min="6920" max="6920" width="18.42578125" style="277" customWidth="1"/>
    <col min="6921" max="6921" width="10.7109375" style="277" customWidth="1"/>
    <col min="6922" max="6922" width="12" style="277" customWidth="1"/>
    <col min="6923" max="6923" width="18.85546875" style="277" customWidth="1"/>
    <col min="6924" max="6924" width="17.85546875" style="277" customWidth="1"/>
    <col min="6925" max="6925" width="20.28515625" style="277" customWidth="1"/>
    <col min="6926" max="6926" width="15.5703125" style="277" customWidth="1"/>
    <col min="6927" max="6928" width="16" style="277"/>
    <col min="6929" max="6929" width="23.140625" style="277" customWidth="1"/>
    <col min="6930" max="7169" width="16" style="277"/>
    <col min="7170" max="7170" width="10.42578125" style="277" customWidth="1"/>
    <col min="7171" max="7171" width="26.140625" style="277" customWidth="1"/>
    <col min="7172" max="7172" width="12.28515625" style="277" customWidth="1"/>
    <col min="7173" max="7173" width="9.42578125" style="277" customWidth="1"/>
    <col min="7174" max="7174" width="18.28515625" style="277" customWidth="1"/>
    <col min="7175" max="7175" width="10.5703125" style="277" customWidth="1"/>
    <col min="7176" max="7176" width="18.42578125" style="277" customWidth="1"/>
    <col min="7177" max="7177" width="10.7109375" style="277" customWidth="1"/>
    <col min="7178" max="7178" width="12" style="277" customWidth="1"/>
    <col min="7179" max="7179" width="18.85546875" style="277" customWidth="1"/>
    <col min="7180" max="7180" width="17.85546875" style="277" customWidth="1"/>
    <col min="7181" max="7181" width="20.28515625" style="277" customWidth="1"/>
    <col min="7182" max="7182" width="15.5703125" style="277" customWidth="1"/>
    <col min="7183" max="7184" width="16" style="277"/>
    <col min="7185" max="7185" width="23.140625" style="277" customWidth="1"/>
    <col min="7186" max="7425" width="16" style="277"/>
    <col min="7426" max="7426" width="10.42578125" style="277" customWidth="1"/>
    <col min="7427" max="7427" width="26.140625" style="277" customWidth="1"/>
    <col min="7428" max="7428" width="12.28515625" style="277" customWidth="1"/>
    <col min="7429" max="7429" width="9.42578125" style="277" customWidth="1"/>
    <col min="7430" max="7430" width="18.28515625" style="277" customWidth="1"/>
    <col min="7431" max="7431" width="10.5703125" style="277" customWidth="1"/>
    <col min="7432" max="7432" width="18.42578125" style="277" customWidth="1"/>
    <col min="7433" max="7433" width="10.7109375" style="277" customWidth="1"/>
    <col min="7434" max="7434" width="12" style="277" customWidth="1"/>
    <col min="7435" max="7435" width="18.85546875" style="277" customWidth="1"/>
    <col min="7436" max="7436" width="17.85546875" style="277" customWidth="1"/>
    <col min="7437" max="7437" width="20.28515625" style="277" customWidth="1"/>
    <col min="7438" max="7438" width="15.5703125" style="277" customWidth="1"/>
    <col min="7439" max="7440" width="16" style="277"/>
    <col min="7441" max="7441" width="23.140625" style="277" customWidth="1"/>
    <col min="7442" max="7681" width="16" style="277"/>
    <col min="7682" max="7682" width="10.42578125" style="277" customWidth="1"/>
    <col min="7683" max="7683" width="26.140625" style="277" customWidth="1"/>
    <col min="7684" max="7684" width="12.28515625" style="277" customWidth="1"/>
    <col min="7685" max="7685" width="9.42578125" style="277" customWidth="1"/>
    <col min="7686" max="7686" width="18.28515625" style="277" customWidth="1"/>
    <col min="7687" max="7687" width="10.5703125" style="277" customWidth="1"/>
    <col min="7688" max="7688" width="18.42578125" style="277" customWidth="1"/>
    <col min="7689" max="7689" width="10.7109375" style="277" customWidth="1"/>
    <col min="7690" max="7690" width="12" style="277" customWidth="1"/>
    <col min="7691" max="7691" width="18.85546875" style="277" customWidth="1"/>
    <col min="7692" max="7692" width="17.85546875" style="277" customWidth="1"/>
    <col min="7693" max="7693" width="20.28515625" style="277" customWidth="1"/>
    <col min="7694" max="7694" width="15.5703125" style="277" customWidth="1"/>
    <col min="7695" max="7696" width="16" style="277"/>
    <col min="7697" max="7697" width="23.140625" style="277" customWidth="1"/>
    <col min="7698" max="7937" width="16" style="277"/>
    <col min="7938" max="7938" width="10.42578125" style="277" customWidth="1"/>
    <col min="7939" max="7939" width="26.140625" style="277" customWidth="1"/>
    <col min="7940" max="7940" width="12.28515625" style="277" customWidth="1"/>
    <col min="7941" max="7941" width="9.42578125" style="277" customWidth="1"/>
    <col min="7942" max="7942" width="18.28515625" style="277" customWidth="1"/>
    <col min="7943" max="7943" width="10.5703125" style="277" customWidth="1"/>
    <col min="7944" max="7944" width="18.42578125" style="277" customWidth="1"/>
    <col min="7945" max="7945" width="10.7109375" style="277" customWidth="1"/>
    <col min="7946" max="7946" width="12" style="277" customWidth="1"/>
    <col min="7947" max="7947" width="18.85546875" style="277" customWidth="1"/>
    <col min="7948" max="7948" width="17.85546875" style="277" customWidth="1"/>
    <col min="7949" max="7949" width="20.28515625" style="277" customWidth="1"/>
    <col min="7950" max="7950" width="15.5703125" style="277" customWidth="1"/>
    <col min="7951" max="7952" width="16" style="277"/>
    <col min="7953" max="7953" width="23.140625" style="277" customWidth="1"/>
    <col min="7954" max="8193" width="16" style="277"/>
    <col min="8194" max="8194" width="10.42578125" style="277" customWidth="1"/>
    <col min="8195" max="8195" width="26.140625" style="277" customWidth="1"/>
    <col min="8196" max="8196" width="12.28515625" style="277" customWidth="1"/>
    <col min="8197" max="8197" width="9.42578125" style="277" customWidth="1"/>
    <col min="8198" max="8198" width="18.28515625" style="277" customWidth="1"/>
    <col min="8199" max="8199" width="10.5703125" style="277" customWidth="1"/>
    <col min="8200" max="8200" width="18.42578125" style="277" customWidth="1"/>
    <col min="8201" max="8201" width="10.7109375" style="277" customWidth="1"/>
    <col min="8202" max="8202" width="12" style="277" customWidth="1"/>
    <col min="8203" max="8203" width="18.85546875" style="277" customWidth="1"/>
    <col min="8204" max="8204" width="17.85546875" style="277" customWidth="1"/>
    <col min="8205" max="8205" width="20.28515625" style="277" customWidth="1"/>
    <col min="8206" max="8206" width="15.5703125" style="277" customWidth="1"/>
    <col min="8207" max="8208" width="16" style="277"/>
    <col min="8209" max="8209" width="23.140625" style="277" customWidth="1"/>
    <col min="8210" max="8449" width="16" style="277"/>
    <col min="8450" max="8450" width="10.42578125" style="277" customWidth="1"/>
    <col min="8451" max="8451" width="26.140625" style="277" customWidth="1"/>
    <col min="8452" max="8452" width="12.28515625" style="277" customWidth="1"/>
    <col min="8453" max="8453" width="9.42578125" style="277" customWidth="1"/>
    <col min="8454" max="8454" width="18.28515625" style="277" customWidth="1"/>
    <col min="8455" max="8455" width="10.5703125" style="277" customWidth="1"/>
    <col min="8456" max="8456" width="18.42578125" style="277" customWidth="1"/>
    <col min="8457" max="8457" width="10.7109375" style="277" customWidth="1"/>
    <col min="8458" max="8458" width="12" style="277" customWidth="1"/>
    <col min="8459" max="8459" width="18.85546875" style="277" customWidth="1"/>
    <col min="8460" max="8460" width="17.85546875" style="277" customWidth="1"/>
    <col min="8461" max="8461" width="20.28515625" style="277" customWidth="1"/>
    <col min="8462" max="8462" width="15.5703125" style="277" customWidth="1"/>
    <col min="8463" max="8464" width="16" style="277"/>
    <col min="8465" max="8465" width="23.140625" style="277" customWidth="1"/>
    <col min="8466" max="8705" width="16" style="277"/>
    <col min="8706" max="8706" width="10.42578125" style="277" customWidth="1"/>
    <col min="8707" max="8707" width="26.140625" style="277" customWidth="1"/>
    <col min="8708" max="8708" width="12.28515625" style="277" customWidth="1"/>
    <col min="8709" max="8709" width="9.42578125" style="277" customWidth="1"/>
    <col min="8710" max="8710" width="18.28515625" style="277" customWidth="1"/>
    <col min="8711" max="8711" width="10.5703125" style="277" customWidth="1"/>
    <col min="8712" max="8712" width="18.42578125" style="277" customWidth="1"/>
    <col min="8713" max="8713" width="10.7109375" style="277" customWidth="1"/>
    <col min="8714" max="8714" width="12" style="277" customWidth="1"/>
    <col min="8715" max="8715" width="18.85546875" style="277" customWidth="1"/>
    <col min="8716" max="8716" width="17.85546875" style="277" customWidth="1"/>
    <col min="8717" max="8717" width="20.28515625" style="277" customWidth="1"/>
    <col min="8718" max="8718" width="15.5703125" style="277" customWidth="1"/>
    <col min="8719" max="8720" width="16" style="277"/>
    <col min="8721" max="8721" width="23.140625" style="277" customWidth="1"/>
    <col min="8722" max="8961" width="16" style="277"/>
    <col min="8962" max="8962" width="10.42578125" style="277" customWidth="1"/>
    <col min="8963" max="8963" width="26.140625" style="277" customWidth="1"/>
    <col min="8964" max="8964" width="12.28515625" style="277" customWidth="1"/>
    <col min="8965" max="8965" width="9.42578125" style="277" customWidth="1"/>
    <col min="8966" max="8966" width="18.28515625" style="277" customWidth="1"/>
    <col min="8967" max="8967" width="10.5703125" style="277" customWidth="1"/>
    <col min="8968" max="8968" width="18.42578125" style="277" customWidth="1"/>
    <col min="8969" max="8969" width="10.7109375" style="277" customWidth="1"/>
    <col min="8970" max="8970" width="12" style="277" customWidth="1"/>
    <col min="8971" max="8971" width="18.85546875" style="277" customWidth="1"/>
    <col min="8972" max="8972" width="17.85546875" style="277" customWidth="1"/>
    <col min="8973" max="8973" width="20.28515625" style="277" customWidth="1"/>
    <col min="8974" max="8974" width="15.5703125" style="277" customWidth="1"/>
    <col min="8975" max="8976" width="16" style="277"/>
    <col min="8977" max="8977" width="23.140625" style="277" customWidth="1"/>
    <col min="8978" max="9217" width="16" style="277"/>
    <col min="9218" max="9218" width="10.42578125" style="277" customWidth="1"/>
    <col min="9219" max="9219" width="26.140625" style="277" customWidth="1"/>
    <col min="9220" max="9220" width="12.28515625" style="277" customWidth="1"/>
    <col min="9221" max="9221" width="9.42578125" style="277" customWidth="1"/>
    <col min="9222" max="9222" width="18.28515625" style="277" customWidth="1"/>
    <col min="9223" max="9223" width="10.5703125" style="277" customWidth="1"/>
    <col min="9224" max="9224" width="18.42578125" style="277" customWidth="1"/>
    <col min="9225" max="9225" width="10.7109375" style="277" customWidth="1"/>
    <col min="9226" max="9226" width="12" style="277" customWidth="1"/>
    <col min="9227" max="9227" width="18.85546875" style="277" customWidth="1"/>
    <col min="9228" max="9228" width="17.85546875" style="277" customWidth="1"/>
    <col min="9229" max="9229" width="20.28515625" style="277" customWidth="1"/>
    <col min="9230" max="9230" width="15.5703125" style="277" customWidth="1"/>
    <col min="9231" max="9232" width="16" style="277"/>
    <col min="9233" max="9233" width="23.140625" style="277" customWidth="1"/>
    <col min="9234" max="9473" width="16" style="277"/>
    <col min="9474" max="9474" width="10.42578125" style="277" customWidth="1"/>
    <col min="9475" max="9475" width="26.140625" style="277" customWidth="1"/>
    <col min="9476" max="9476" width="12.28515625" style="277" customWidth="1"/>
    <col min="9477" max="9477" width="9.42578125" style="277" customWidth="1"/>
    <col min="9478" max="9478" width="18.28515625" style="277" customWidth="1"/>
    <col min="9479" max="9479" width="10.5703125" style="277" customWidth="1"/>
    <col min="9480" max="9480" width="18.42578125" style="277" customWidth="1"/>
    <col min="9481" max="9481" width="10.7109375" style="277" customWidth="1"/>
    <col min="9482" max="9482" width="12" style="277" customWidth="1"/>
    <col min="9483" max="9483" width="18.85546875" style="277" customWidth="1"/>
    <col min="9484" max="9484" width="17.85546875" style="277" customWidth="1"/>
    <col min="9485" max="9485" width="20.28515625" style="277" customWidth="1"/>
    <col min="9486" max="9486" width="15.5703125" style="277" customWidth="1"/>
    <col min="9487" max="9488" width="16" style="277"/>
    <col min="9489" max="9489" width="23.140625" style="277" customWidth="1"/>
    <col min="9490" max="9729" width="16" style="277"/>
    <col min="9730" max="9730" width="10.42578125" style="277" customWidth="1"/>
    <col min="9731" max="9731" width="26.140625" style="277" customWidth="1"/>
    <col min="9732" max="9732" width="12.28515625" style="277" customWidth="1"/>
    <col min="9733" max="9733" width="9.42578125" style="277" customWidth="1"/>
    <col min="9734" max="9734" width="18.28515625" style="277" customWidth="1"/>
    <col min="9735" max="9735" width="10.5703125" style="277" customWidth="1"/>
    <col min="9736" max="9736" width="18.42578125" style="277" customWidth="1"/>
    <col min="9737" max="9737" width="10.7109375" style="277" customWidth="1"/>
    <col min="9738" max="9738" width="12" style="277" customWidth="1"/>
    <col min="9739" max="9739" width="18.85546875" style="277" customWidth="1"/>
    <col min="9740" max="9740" width="17.85546875" style="277" customWidth="1"/>
    <col min="9741" max="9741" width="20.28515625" style="277" customWidth="1"/>
    <col min="9742" max="9742" width="15.5703125" style="277" customWidth="1"/>
    <col min="9743" max="9744" width="16" style="277"/>
    <col min="9745" max="9745" width="23.140625" style="277" customWidth="1"/>
    <col min="9746" max="9985" width="16" style="277"/>
    <col min="9986" max="9986" width="10.42578125" style="277" customWidth="1"/>
    <col min="9987" max="9987" width="26.140625" style="277" customWidth="1"/>
    <col min="9988" max="9988" width="12.28515625" style="277" customWidth="1"/>
    <col min="9989" max="9989" width="9.42578125" style="277" customWidth="1"/>
    <col min="9990" max="9990" width="18.28515625" style="277" customWidth="1"/>
    <col min="9991" max="9991" width="10.5703125" style="277" customWidth="1"/>
    <col min="9992" max="9992" width="18.42578125" style="277" customWidth="1"/>
    <col min="9993" max="9993" width="10.7109375" style="277" customWidth="1"/>
    <col min="9994" max="9994" width="12" style="277" customWidth="1"/>
    <col min="9995" max="9995" width="18.85546875" style="277" customWidth="1"/>
    <col min="9996" max="9996" width="17.85546875" style="277" customWidth="1"/>
    <col min="9997" max="9997" width="20.28515625" style="277" customWidth="1"/>
    <col min="9998" max="9998" width="15.5703125" style="277" customWidth="1"/>
    <col min="9999" max="10000" width="16" style="277"/>
    <col min="10001" max="10001" width="23.140625" style="277" customWidth="1"/>
    <col min="10002" max="10241" width="16" style="277"/>
    <col min="10242" max="10242" width="10.42578125" style="277" customWidth="1"/>
    <col min="10243" max="10243" width="26.140625" style="277" customWidth="1"/>
    <col min="10244" max="10244" width="12.28515625" style="277" customWidth="1"/>
    <col min="10245" max="10245" width="9.42578125" style="277" customWidth="1"/>
    <col min="10246" max="10246" width="18.28515625" style="277" customWidth="1"/>
    <col min="10247" max="10247" width="10.5703125" style="277" customWidth="1"/>
    <col min="10248" max="10248" width="18.42578125" style="277" customWidth="1"/>
    <col min="10249" max="10249" width="10.7109375" style="277" customWidth="1"/>
    <col min="10250" max="10250" width="12" style="277" customWidth="1"/>
    <col min="10251" max="10251" width="18.85546875" style="277" customWidth="1"/>
    <col min="10252" max="10252" width="17.85546875" style="277" customWidth="1"/>
    <col min="10253" max="10253" width="20.28515625" style="277" customWidth="1"/>
    <col min="10254" max="10254" width="15.5703125" style="277" customWidth="1"/>
    <col min="10255" max="10256" width="16" style="277"/>
    <col min="10257" max="10257" width="23.140625" style="277" customWidth="1"/>
    <col min="10258" max="10497" width="16" style="277"/>
    <col min="10498" max="10498" width="10.42578125" style="277" customWidth="1"/>
    <col min="10499" max="10499" width="26.140625" style="277" customWidth="1"/>
    <col min="10500" max="10500" width="12.28515625" style="277" customWidth="1"/>
    <col min="10501" max="10501" width="9.42578125" style="277" customWidth="1"/>
    <col min="10502" max="10502" width="18.28515625" style="277" customWidth="1"/>
    <col min="10503" max="10503" width="10.5703125" style="277" customWidth="1"/>
    <col min="10504" max="10504" width="18.42578125" style="277" customWidth="1"/>
    <col min="10505" max="10505" width="10.7109375" style="277" customWidth="1"/>
    <col min="10506" max="10506" width="12" style="277" customWidth="1"/>
    <col min="10507" max="10507" width="18.85546875" style="277" customWidth="1"/>
    <col min="10508" max="10508" width="17.85546875" style="277" customWidth="1"/>
    <col min="10509" max="10509" width="20.28515625" style="277" customWidth="1"/>
    <col min="10510" max="10510" width="15.5703125" style="277" customWidth="1"/>
    <col min="10511" max="10512" width="16" style="277"/>
    <col min="10513" max="10513" width="23.140625" style="277" customWidth="1"/>
    <col min="10514" max="10753" width="16" style="277"/>
    <col min="10754" max="10754" width="10.42578125" style="277" customWidth="1"/>
    <col min="10755" max="10755" width="26.140625" style="277" customWidth="1"/>
    <col min="10756" max="10756" width="12.28515625" style="277" customWidth="1"/>
    <col min="10757" max="10757" width="9.42578125" style="277" customWidth="1"/>
    <col min="10758" max="10758" width="18.28515625" style="277" customWidth="1"/>
    <col min="10759" max="10759" width="10.5703125" style="277" customWidth="1"/>
    <col min="10760" max="10760" width="18.42578125" style="277" customWidth="1"/>
    <col min="10761" max="10761" width="10.7109375" style="277" customWidth="1"/>
    <col min="10762" max="10762" width="12" style="277" customWidth="1"/>
    <col min="10763" max="10763" width="18.85546875" style="277" customWidth="1"/>
    <col min="10764" max="10764" width="17.85546875" style="277" customWidth="1"/>
    <col min="10765" max="10765" width="20.28515625" style="277" customWidth="1"/>
    <col min="10766" max="10766" width="15.5703125" style="277" customWidth="1"/>
    <col min="10767" max="10768" width="16" style="277"/>
    <col min="10769" max="10769" width="23.140625" style="277" customWidth="1"/>
    <col min="10770" max="11009" width="16" style="277"/>
    <col min="11010" max="11010" width="10.42578125" style="277" customWidth="1"/>
    <col min="11011" max="11011" width="26.140625" style="277" customWidth="1"/>
    <col min="11012" max="11012" width="12.28515625" style="277" customWidth="1"/>
    <col min="11013" max="11013" width="9.42578125" style="277" customWidth="1"/>
    <col min="11014" max="11014" width="18.28515625" style="277" customWidth="1"/>
    <col min="11015" max="11015" width="10.5703125" style="277" customWidth="1"/>
    <col min="11016" max="11016" width="18.42578125" style="277" customWidth="1"/>
    <col min="11017" max="11017" width="10.7109375" style="277" customWidth="1"/>
    <col min="11018" max="11018" width="12" style="277" customWidth="1"/>
    <col min="11019" max="11019" width="18.85546875" style="277" customWidth="1"/>
    <col min="11020" max="11020" width="17.85546875" style="277" customWidth="1"/>
    <col min="11021" max="11021" width="20.28515625" style="277" customWidth="1"/>
    <col min="11022" max="11022" width="15.5703125" style="277" customWidth="1"/>
    <col min="11023" max="11024" width="16" style="277"/>
    <col min="11025" max="11025" width="23.140625" style="277" customWidth="1"/>
    <col min="11026" max="11265" width="16" style="277"/>
    <col min="11266" max="11266" width="10.42578125" style="277" customWidth="1"/>
    <col min="11267" max="11267" width="26.140625" style="277" customWidth="1"/>
    <col min="11268" max="11268" width="12.28515625" style="277" customWidth="1"/>
    <col min="11269" max="11269" width="9.42578125" style="277" customWidth="1"/>
    <col min="11270" max="11270" width="18.28515625" style="277" customWidth="1"/>
    <col min="11271" max="11271" width="10.5703125" style="277" customWidth="1"/>
    <col min="11272" max="11272" width="18.42578125" style="277" customWidth="1"/>
    <col min="11273" max="11273" width="10.7109375" style="277" customWidth="1"/>
    <col min="11274" max="11274" width="12" style="277" customWidth="1"/>
    <col min="11275" max="11275" width="18.85546875" style="277" customWidth="1"/>
    <col min="11276" max="11276" width="17.85546875" style="277" customWidth="1"/>
    <col min="11277" max="11277" width="20.28515625" style="277" customWidth="1"/>
    <col min="11278" max="11278" width="15.5703125" style="277" customWidth="1"/>
    <col min="11279" max="11280" width="16" style="277"/>
    <col min="11281" max="11281" width="23.140625" style="277" customWidth="1"/>
    <col min="11282" max="11521" width="16" style="277"/>
    <col min="11522" max="11522" width="10.42578125" style="277" customWidth="1"/>
    <col min="11523" max="11523" width="26.140625" style="277" customWidth="1"/>
    <col min="11524" max="11524" width="12.28515625" style="277" customWidth="1"/>
    <col min="11525" max="11525" width="9.42578125" style="277" customWidth="1"/>
    <col min="11526" max="11526" width="18.28515625" style="277" customWidth="1"/>
    <col min="11527" max="11527" width="10.5703125" style="277" customWidth="1"/>
    <col min="11528" max="11528" width="18.42578125" style="277" customWidth="1"/>
    <col min="11529" max="11529" width="10.7109375" style="277" customWidth="1"/>
    <col min="11530" max="11530" width="12" style="277" customWidth="1"/>
    <col min="11531" max="11531" width="18.85546875" style="277" customWidth="1"/>
    <col min="11532" max="11532" width="17.85546875" style="277" customWidth="1"/>
    <col min="11533" max="11533" width="20.28515625" style="277" customWidth="1"/>
    <col min="11534" max="11534" width="15.5703125" style="277" customWidth="1"/>
    <col min="11535" max="11536" width="16" style="277"/>
    <col min="11537" max="11537" width="23.140625" style="277" customWidth="1"/>
    <col min="11538" max="11777" width="16" style="277"/>
    <col min="11778" max="11778" width="10.42578125" style="277" customWidth="1"/>
    <col min="11779" max="11779" width="26.140625" style="277" customWidth="1"/>
    <col min="11780" max="11780" width="12.28515625" style="277" customWidth="1"/>
    <col min="11781" max="11781" width="9.42578125" style="277" customWidth="1"/>
    <col min="11782" max="11782" width="18.28515625" style="277" customWidth="1"/>
    <col min="11783" max="11783" width="10.5703125" style="277" customWidth="1"/>
    <col min="11784" max="11784" width="18.42578125" style="277" customWidth="1"/>
    <col min="11785" max="11785" width="10.7109375" style="277" customWidth="1"/>
    <col min="11786" max="11786" width="12" style="277" customWidth="1"/>
    <col min="11787" max="11787" width="18.85546875" style="277" customWidth="1"/>
    <col min="11788" max="11788" width="17.85546875" style="277" customWidth="1"/>
    <col min="11789" max="11789" width="20.28515625" style="277" customWidth="1"/>
    <col min="11790" max="11790" width="15.5703125" style="277" customWidth="1"/>
    <col min="11791" max="11792" width="16" style="277"/>
    <col min="11793" max="11793" width="23.140625" style="277" customWidth="1"/>
    <col min="11794" max="12033" width="16" style="277"/>
    <col min="12034" max="12034" width="10.42578125" style="277" customWidth="1"/>
    <col min="12035" max="12035" width="26.140625" style="277" customWidth="1"/>
    <col min="12036" max="12036" width="12.28515625" style="277" customWidth="1"/>
    <col min="12037" max="12037" width="9.42578125" style="277" customWidth="1"/>
    <col min="12038" max="12038" width="18.28515625" style="277" customWidth="1"/>
    <col min="12039" max="12039" width="10.5703125" style="277" customWidth="1"/>
    <col min="12040" max="12040" width="18.42578125" style="277" customWidth="1"/>
    <col min="12041" max="12041" width="10.7109375" style="277" customWidth="1"/>
    <col min="12042" max="12042" width="12" style="277" customWidth="1"/>
    <col min="12043" max="12043" width="18.85546875" style="277" customWidth="1"/>
    <col min="12044" max="12044" width="17.85546875" style="277" customWidth="1"/>
    <col min="12045" max="12045" width="20.28515625" style="277" customWidth="1"/>
    <col min="12046" max="12046" width="15.5703125" style="277" customWidth="1"/>
    <col min="12047" max="12048" width="16" style="277"/>
    <col min="12049" max="12049" width="23.140625" style="277" customWidth="1"/>
    <col min="12050" max="12289" width="16" style="277"/>
    <col min="12290" max="12290" width="10.42578125" style="277" customWidth="1"/>
    <col min="12291" max="12291" width="26.140625" style="277" customWidth="1"/>
    <col min="12292" max="12292" width="12.28515625" style="277" customWidth="1"/>
    <col min="12293" max="12293" width="9.42578125" style="277" customWidth="1"/>
    <col min="12294" max="12294" width="18.28515625" style="277" customWidth="1"/>
    <col min="12295" max="12295" width="10.5703125" style="277" customWidth="1"/>
    <col min="12296" max="12296" width="18.42578125" style="277" customWidth="1"/>
    <col min="12297" max="12297" width="10.7109375" style="277" customWidth="1"/>
    <col min="12298" max="12298" width="12" style="277" customWidth="1"/>
    <col min="12299" max="12299" width="18.85546875" style="277" customWidth="1"/>
    <col min="12300" max="12300" width="17.85546875" style="277" customWidth="1"/>
    <col min="12301" max="12301" width="20.28515625" style="277" customWidth="1"/>
    <col min="12302" max="12302" width="15.5703125" style="277" customWidth="1"/>
    <col min="12303" max="12304" width="16" style="277"/>
    <col min="12305" max="12305" width="23.140625" style="277" customWidth="1"/>
    <col min="12306" max="12545" width="16" style="277"/>
    <col min="12546" max="12546" width="10.42578125" style="277" customWidth="1"/>
    <col min="12547" max="12547" width="26.140625" style="277" customWidth="1"/>
    <col min="12548" max="12548" width="12.28515625" style="277" customWidth="1"/>
    <col min="12549" max="12549" width="9.42578125" style="277" customWidth="1"/>
    <col min="12550" max="12550" width="18.28515625" style="277" customWidth="1"/>
    <col min="12551" max="12551" width="10.5703125" style="277" customWidth="1"/>
    <col min="12552" max="12552" width="18.42578125" style="277" customWidth="1"/>
    <col min="12553" max="12553" width="10.7109375" style="277" customWidth="1"/>
    <col min="12554" max="12554" width="12" style="277" customWidth="1"/>
    <col min="12555" max="12555" width="18.85546875" style="277" customWidth="1"/>
    <col min="12556" max="12556" width="17.85546875" style="277" customWidth="1"/>
    <col min="12557" max="12557" width="20.28515625" style="277" customWidth="1"/>
    <col min="12558" max="12558" width="15.5703125" style="277" customWidth="1"/>
    <col min="12559" max="12560" width="16" style="277"/>
    <col min="12561" max="12561" width="23.140625" style="277" customWidth="1"/>
    <col min="12562" max="12801" width="16" style="277"/>
    <col min="12802" max="12802" width="10.42578125" style="277" customWidth="1"/>
    <col min="12803" max="12803" width="26.140625" style="277" customWidth="1"/>
    <col min="12804" max="12804" width="12.28515625" style="277" customWidth="1"/>
    <col min="12805" max="12805" width="9.42578125" style="277" customWidth="1"/>
    <col min="12806" max="12806" width="18.28515625" style="277" customWidth="1"/>
    <col min="12807" max="12807" width="10.5703125" style="277" customWidth="1"/>
    <col min="12808" max="12808" width="18.42578125" style="277" customWidth="1"/>
    <col min="12809" max="12809" width="10.7109375" style="277" customWidth="1"/>
    <col min="12810" max="12810" width="12" style="277" customWidth="1"/>
    <col min="12811" max="12811" width="18.85546875" style="277" customWidth="1"/>
    <col min="12812" max="12812" width="17.85546875" style="277" customWidth="1"/>
    <col min="12813" max="12813" width="20.28515625" style="277" customWidth="1"/>
    <col min="12814" max="12814" width="15.5703125" style="277" customWidth="1"/>
    <col min="12815" max="12816" width="16" style="277"/>
    <col min="12817" max="12817" width="23.140625" style="277" customWidth="1"/>
    <col min="12818" max="13057" width="16" style="277"/>
    <col min="13058" max="13058" width="10.42578125" style="277" customWidth="1"/>
    <col min="13059" max="13059" width="26.140625" style="277" customWidth="1"/>
    <col min="13060" max="13060" width="12.28515625" style="277" customWidth="1"/>
    <col min="13061" max="13061" width="9.42578125" style="277" customWidth="1"/>
    <col min="13062" max="13062" width="18.28515625" style="277" customWidth="1"/>
    <col min="13063" max="13063" width="10.5703125" style="277" customWidth="1"/>
    <col min="13064" max="13064" width="18.42578125" style="277" customWidth="1"/>
    <col min="13065" max="13065" width="10.7109375" style="277" customWidth="1"/>
    <col min="13066" max="13066" width="12" style="277" customWidth="1"/>
    <col min="13067" max="13067" width="18.85546875" style="277" customWidth="1"/>
    <col min="13068" max="13068" width="17.85546875" style="277" customWidth="1"/>
    <col min="13069" max="13069" width="20.28515625" style="277" customWidth="1"/>
    <col min="13070" max="13070" width="15.5703125" style="277" customWidth="1"/>
    <col min="13071" max="13072" width="16" style="277"/>
    <col min="13073" max="13073" width="23.140625" style="277" customWidth="1"/>
    <col min="13074" max="13313" width="16" style="277"/>
    <col min="13314" max="13314" width="10.42578125" style="277" customWidth="1"/>
    <col min="13315" max="13315" width="26.140625" style="277" customWidth="1"/>
    <col min="13316" max="13316" width="12.28515625" style="277" customWidth="1"/>
    <col min="13317" max="13317" width="9.42578125" style="277" customWidth="1"/>
    <col min="13318" max="13318" width="18.28515625" style="277" customWidth="1"/>
    <col min="13319" max="13319" width="10.5703125" style="277" customWidth="1"/>
    <col min="13320" max="13320" width="18.42578125" style="277" customWidth="1"/>
    <col min="13321" max="13321" width="10.7109375" style="277" customWidth="1"/>
    <col min="13322" max="13322" width="12" style="277" customWidth="1"/>
    <col min="13323" max="13323" width="18.85546875" style="277" customWidth="1"/>
    <col min="13324" max="13324" width="17.85546875" style="277" customWidth="1"/>
    <col min="13325" max="13325" width="20.28515625" style="277" customWidth="1"/>
    <col min="13326" max="13326" width="15.5703125" style="277" customWidth="1"/>
    <col min="13327" max="13328" width="16" style="277"/>
    <col min="13329" max="13329" width="23.140625" style="277" customWidth="1"/>
    <col min="13330" max="13569" width="16" style="277"/>
    <col min="13570" max="13570" width="10.42578125" style="277" customWidth="1"/>
    <col min="13571" max="13571" width="26.140625" style="277" customWidth="1"/>
    <col min="13572" max="13572" width="12.28515625" style="277" customWidth="1"/>
    <col min="13573" max="13573" width="9.42578125" style="277" customWidth="1"/>
    <col min="13574" max="13574" width="18.28515625" style="277" customWidth="1"/>
    <col min="13575" max="13575" width="10.5703125" style="277" customWidth="1"/>
    <col min="13576" max="13576" width="18.42578125" style="277" customWidth="1"/>
    <col min="13577" max="13577" width="10.7109375" style="277" customWidth="1"/>
    <col min="13578" max="13578" width="12" style="277" customWidth="1"/>
    <col min="13579" max="13579" width="18.85546875" style="277" customWidth="1"/>
    <col min="13580" max="13580" width="17.85546875" style="277" customWidth="1"/>
    <col min="13581" max="13581" width="20.28515625" style="277" customWidth="1"/>
    <col min="13582" max="13582" width="15.5703125" style="277" customWidth="1"/>
    <col min="13583" max="13584" width="16" style="277"/>
    <col min="13585" max="13585" width="23.140625" style="277" customWidth="1"/>
    <col min="13586" max="13825" width="16" style="277"/>
    <col min="13826" max="13826" width="10.42578125" style="277" customWidth="1"/>
    <col min="13827" max="13827" width="26.140625" style="277" customWidth="1"/>
    <col min="13828" max="13828" width="12.28515625" style="277" customWidth="1"/>
    <col min="13829" max="13829" width="9.42578125" style="277" customWidth="1"/>
    <col min="13830" max="13830" width="18.28515625" style="277" customWidth="1"/>
    <col min="13831" max="13831" width="10.5703125" style="277" customWidth="1"/>
    <col min="13832" max="13832" width="18.42578125" style="277" customWidth="1"/>
    <col min="13833" max="13833" width="10.7109375" style="277" customWidth="1"/>
    <col min="13834" max="13834" width="12" style="277" customWidth="1"/>
    <col min="13835" max="13835" width="18.85546875" style="277" customWidth="1"/>
    <col min="13836" max="13836" width="17.85546875" style="277" customWidth="1"/>
    <col min="13837" max="13837" width="20.28515625" style="277" customWidth="1"/>
    <col min="13838" max="13838" width="15.5703125" style="277" customWidth="1"/>
    <col min="13839" max="13840" width="16" style="277"/>
    <col min="13841" max="13841" width="23.140625" style="277" customWidth="1"/>
    <col min="13842" max="14081" width="16" style="277"/>
    <col min="14082" max="14082" width="10.42578125" style="277" customWidth="1"/>
    <col min="14083" max="14083" width="26.140625" style="277" customWidth="1"/>
    <col min="14084" max="14084" width="12.28515625" style="277" customWidth="1"/>
    <col min="14085" max="14085" width="9.42578125" style="277" customWidth="1"/>
    <col min="14086" max="14086" width="18.28515625" style="277" customWidth="1"/>
    <col min="14087" max="14087" width="10.5703125" style="277" customWidth="1"/>
    <col min="14088" max="14088" width="18.42578125" style="277" customWidth="1"/>
    <col min="14089" max="14089" width="10.7109375" style="277" customWidth="1"/>
    <col min="14090" max="14090" width="12" style="277" customWidth="1"/>
    <col min="14091" max="14091" width="18.85546875" style="277" customWidth="1"/>
    <col min="14092" max="14092" width="17.85546875" style="277" customWidth="1"/>
    <col min="14093" max="14093" width="20.28515625" style="277" customWidth="1"/>
    <col min="14094" max="14094" width="15.5703125" style="277" customWidth="1"/>
    <col min="14095" max="14096" width="16" style="277"/>
    <col min="14097" max="14097" width="23.140625" style="277" customWidth="1"/>
    <col min="14098" max="14337" width="16" style="277"/>
    <col min="14338" max="14338" width="10.42578125" style="277" customWidth="1"/>
    <col min="14339" max="14339" width="26.140625" style="277" customWidth="1"/>
    <col min="14340" max="14340" width="12.28515625" style="277" customWidth="1"/>
    <col min="14341" max="14341" width="9.42578125" style="277" customWidth="1"/>
    <col min="14342" max="14342" width="18.28515625" style="277" customWidth="1"/>
    <col min="14343" max="14343" width="10.5703125" style="277" customWidth="1"/>
    <col min="14344" max="14344" width="18.42578125" style="277" customWidth="1"/>
    <col min="14345" max="14345" width="10.7109375" style="277" customWidth="1"/>
    <col min="14346" max="14346" width="12" style="277" customWidth="1"/>
    <col min="14347" max="14347" width="18.85546875" style="277" customWidth="1"/>
    <col min="14348" max="14348" width="17.85546875" style="277" customWidth="1"/>
    <col min="14349" max="14349" width="20.28515625" style="277" customWidth="1"/>
    <col min="14350" max="14350" width="15.5703125" style="277" customWidth="1"/>
    <col min="14351" max="14352" width="16" style="277"/>
    <col min="14353" max="14353" width="23.140625" style="277" customWidth="1"/>
    <col min="14354" max="14593" width="16" style="277"/>
    <col min="14594" max="14594" width="10.42578125" style="277" customWidth="1"/>
    <col min="14595" max="14595" width="26.140625" style="277" customWidth="1"/>
    <col min="14596" max="14596" width="12.28515625" style="277" customWidth="1"/>
    <col min="14597" max="14597" width="9.42578125" style="277" customWidth="1"/>
    <col min="14598" max="14598" width="18.28515625" style="277" customWidth="1"/>
    <col min="14599" max="14599" width="10.5703125" style="277" customWidth="1"/>
    <col min="14600" max="14600" width="18.42578125" style="277" customWidth="1"/>
    <col min="14601" max="14601" width="10.7109375" style="277" customWidth="1"/>
    <col min="14602" max="14602" width="12" style="277" customWidth="1"/>
    <col min="14603" max="14603" width="18.85546875" style="277" customWidth="1"/>
    <col min="14604" max="14604" width="17.85546875" style="277" customWidth="1"/>
    <col min="14605" max="14605" width="20.28515625" style="277" customWidth="1"/>
    <col min="14606" max="14606" width="15.5703125" style="277" customWidth="1"/>
    <col min="14607" max="14608" width="16" style="277"/>
    <col min="14609" max="14609" width="23.140625" style="277" customWidth="1"/>
    <col min="14610" max="14849" width="16" style="277"/>
    <col min="14850" max="14850" width="10.42578125" style="277" customWidth="1"/>
    <col min="14851" max="14851" width="26.140625" style="277" customWidth="1"/>
    <col min="14852" max="14852" width="12.28515625" style="277" customWidth="1"/>
    <col min="14853" max="14853" width="9.42578125" style="277" customWidth="1"/>
    <col min="14854" max="14854" width="18.28515625" style="277" customWidth="1"/>
    <col min="14855" max="14855" width="10.5703125" style="277" customWidth="1"/>
    <col min="14856" max="14856" width="18.42578125" style="277" customWidth="1"/>
    <col min="14857" max="14857" width="10.7109375" style="277" customWidth="1"/>
    <col min="14858" max="14858" width="12" style="277" customWidth="1"/>
    <col min="14859" max="14859" width="18.85546875" style="277" customWidth="1"/>
    <col min="14860" max="14860" width="17.85546875" style="277" customWidth="1"/>
    <col min="14861" max="14861" width="20.28515625" style="277" customWidth="1"/>
    <col min="14862" max="14862" width="15.5703125" style="277" customWidth="1"/>
    <col min="14863" max="14864" width="16" style="277"/>
    <col min="14865" max="14865" width="23.140625" style="277" customWidth="1"/>
    <col min="14866" max="15105" width="16" style="277"/>
    <col min="15106" max="15106" width="10.42578125" style="277" customWidth="1"/>
    <col min="15107" max="15107" width="26.140625" style="277" customWidth="1"/>
    <col min="15108" max="15108" width="12.28515625" style="277" customWidth="1"/>
    <col min="15109" max="15109" width="9.42578125" style="277" customWidth="1"/>
    <col min="15110" max="15110" width="18.28515625" style="277" customWidth="1"/>
    <col min="15111" max="15111" width="10.5703125" style="277" customWidth="1"/>
    <col min="15112" max="15112" width="18.42578125" style="277" customWidth="1"/>
    <col min="15113" max="15113" width="10.7109375" style="277" customWidth="1"/>
    <col min="15114" max="15114" width="12" style="277" customWidth="1"/>
    <col min="15115" max="15115" width="18.85546875" style="277" customWidth="1"/>
    <col min="15116" max="15116" width="17.85546875" style="277" customWidth="1"/>
    <col min="15117" max="15117" width="20.28515625" style="277" customWidth="1"/>
    <col min="15118" max="15118" width="15.5703125" style="277" customWidth="1"/>
    <col min="15119" max="15120" width="16" style="277"/>
    <col min="15121" max="15121" width="23.140625" style="277" customWidth="1"/>
    <col min="15122" max="15361" width="16" style="277"/>
    <col min="15362" max="15362" width="10.42578125" style="277" customWidth="1"/>
    <col min="15363" max="15363" width="26.140625" style="277" customWidth="1"/>
    <col min="15364" max="15364" width="12.28515625" style="277" customWidth="1"/>
    <col min="15365" max="15365" width="9.42578125" style="277" customWidth="1"/>
    <col min="15366" max="15366" width="18.28515625" style="277" customWidth="1"/>
    <col min="15367" max="15367" width="10.5703125" style="277" customWidth="1"/>
    <col min="15368" max="15368" width="18.42578125" style="277" customWidth="1"/>
    <col min="15369" max="15369" width="10.7109375" style="277" customWidth="1"/>
    <col min="15370" max="15370" width="12" style="277" customWidth="1"/>
    <col min="15371" max="15371" width="18.85546875" style="277" customWidth="1"/>
    <col min="15372" max="15372" width="17.85546875" style="277" customWidth="1"/>
    <col min="15373" max="15373" width="20.28515625" style="277" customWidth="1"/>
    <col min="15374" max="15374" width="15.5703125" style="277" customWidth="1"/>
    <col min="15375" max="15376" width="16" style="277"/>
    <col min="15377" max="15377" width="23.140625" style="277" customWidth="1"/>
    <col min="15378" max="15617" width="16" style="277"/>
    <col min="15618" max="15618" width="10.42578125" style="277" customWidth="1"/>
    <col min="15619" max="15619" width="26.140625" style="277" customWidth="1"/>
    <col min="15620" max="15620" width="12.28515625" style="277" customWidth="1"/>
    <col min="15621" max="15621" width="9.42578125" style="277" customWidth="1"/>
    <col min="15622" max="15622" width="18.28515625" style="277" customWidth="1"/>
    <col min="15623" max="15623" width="10.5703125" style="277" customWidth="1"/>
    <col min="15624" max="15624" width="18.42578125" style="277" customWidth="1"/>
    <col min="15625" max="15625" width="10.7109375" style="277" customWidth="1"/>
    <col min="15626" max="15626" width="12" style="277" customWidth="1"/>
    <col min="15627" max="15627" width="18.85546875" style="277" customWidth="1"/>
    <col min="15628" max="15628" width="17.85546875" style="277" customWidth="1"/>
    <col min="15629" max="15629" width="20.28515625" style="277" customWidth="1"/>
    <col min="15630" max="15630" width="15.5703125" style="277" customWidth="1"/>
    <col min="15631" max="15632" width="16" style="277"/>
    <col min="15633" max="15633" width="23.140625" style="277" customWidth="1"/>
    <col min="15634" max="15873" width="16" style="277"/>
    <col min="15874" max="15874" width="10.42578125" style="277" customWidth="1"/>
    <col min="15875" max="15875" width="26.140625" style="277" customWidth="1"/>
    <col min="15876" max="15876" width="12.28515625" style="277" customWidth="1"/>
    <col min="15877" max="15877" width="9.42578125" style="277" customWidth="1"/>
    <col min="15878" max="15878" width="18.28515625" style="277" customWidth="1"/>
    <col min="15879" max="15879" width="10.5703125" style="277" customWidth="1"/>
    <col min="15880" max="15880" width="18.42578125" style="277" customWidth="1"/>
    <col min="15881" max="15881" width="10.7109375" style="277" customWidth="1"/>
    <col min="15882" max="15882" width="12" style="277" customWidth="1"/>
    <col min="15883" max="15883" width="18.85546875" style="277" customWidth="1"/>
    <col min="15884" max="15884" width="17.85546875" style="277" customWidth="1"/>
    <col min="15885" max="15885" width="20.28515625" style="277" customWidth="1"/>
    <col min="15886" max="15886" width="15.5703125" style="277" customWidth="1"/>
    <col min="15887" max="15888" width="16" style="277"/>
    <col min="15889" max="15889" width="23.140625" style="277" customWidth="1"/>
    <col min="15890" max="16129" width="16" style="277"/>
    <col min="16130" max="16130" width="10.42578125" style="277" customWidth="1"/>
    <col min="16131" max="16131" width="26.140625" style="277" customWidth="1"/>
    <col min="16132" max="16132" width="12.28515625" style="277" customWidth="1"/>
    <col min="16133" max="16133" width="9.42578125" style="277" customWidth="1"/>
    <col min="16134" max="16134" width="18.28515625" style="277" customWidth="1"/>
    <col min="16135" max="16135" width="10.5703125" style="277" customWidth="1"/>
    <col min="16136" max="16136" width="18.42578125" style="277" customWidth="1"/>
    <col min="16137" max="16137" width="10.7109375" style="277" customWidth="1"/>
    <col min="16138" max="16138" width="12" style="277" customWidth="1"/>
    <col min="16139" max="16139" width="18.85546875" style="277" customWidth="1"/>
    <col min="16140" max="16140" width="17.85546875" style="277" customWidth="1"/>
    <col min="16141" max="16141" width="20.28515625" style="277" customWidth="1"/>
    <col min="16142" max="16142" width="15.5703125" style="277" customWidth="1"/>
    <col min="16143" max="16144" width="16" style="277"/>
    <col min="16145" max="16145" width="23.140625" style="277" customWidth="1"/>
    <col min="16146" max="16384" width="16" style="277"/>
  </cols>
  <sheetData>
    <row r="2" spans="1:17" ht="30" hidden="1" customHeight="1" x14ac:dyDescent="0.2">
      <c r="A2" s="348" t="s">
        <v>255</v>
      </c>
      <c r="B2" s="349"/>
      <c r="C2" s="349"/>
      <c r="O2" s="350"/>
      <c r="P2" s="351"/>
      <c r="Q2" s="279"/>
    </row>
    <row r="3" spans="1:17" ht="30" hidden="1" customHeight="1" x14ac:dyDescent="0.2">
      <c r="A3" s="352"/>
      <c r="B3" s="524" t="s">
        <v>231</v>
      </c>
      <c r="C3" s="525"/>
      <c r="D3" s="526"/>
      <c r="E3" s="524" t="s">
        <v>232</v>
      </c>
      <c r="F3" s="526"/>
      <c r="G3" s="353" t="s">
        <v>251</v>
      </c>
      <c r="H3" s="524" t="s">
        <v>252</v>
      </c>
      <c r="I3" s="525"/>
      <c r="J3" s="526"/>
      <c r="K3" s="524" t="s">
        <v>253</v>
      </c>
      <c r="L3" s="526"/>
      <c r="M3" s="353" t="s">
        <v>376</v>
      </c>
      <c r="N3" s="351"/>
    </row>
    <row r="4" spans="1:17" ht="30" hidden="1" customHeight="1" x14ac:dyDescent="0.2">
      <c r="A4" s="352" t="s">
        <v>233</v>
      </c>
      <c r="B4" s="354" t="s">
        <v>228</v>
      </c>
      <c r="C4" s="354" t="s">
        <v>227</v>
      </c>
      <c r="D4" s="354" t="s">
        <v>7</v>
      </c>
      <c r="E4" s="354" t="s">
        <v>228</v>
      </c>
      <c r="F4" s="354" t="s">
        <v>227</v>
      </c>
      <c r="G4" s="355" t="s">
        <v>234</v>
      </c>
      <c r="H4" s="356" t="s">
        <v>228</v>
      </c>
      <c r="I4" s="356" t="s">
        <v>227</v>
      </c>
      <c r="J4" s="356" t="s">
        <v>7</v>
      </c>
      <c r="K4" s="354" t="s">
        <v>228</v>
      </c>
      <c r="L4" s="354" t="s">
        <v>227</v>
      </c>
      <c r="M4" s="355" t="s">
        <v>234</v>
      </c>
      <c r="N4" s="351"/>
      <c r="O4" s="277" t="s">
        <v>94</v>
      </c>
      <c r="P4" s="277" t="s">
        <v>94</v>
      </c>
    </row>
    <row r="5" spans="1:17" ht="18" hidden="1" customHeight="1" x14ac:dyDescent="0.2">
      <c r="A5" s="357" t="s">
        <v>229</v>
      </c>
      <c r="B5" s="358">
        <v>978</v>
      </c>
      <c r="C5" s="358">
        <v>472</v>
      </c>
      <c r="D5" s="359">
        <f t="shared" ref="D5:D6" si="0">B5+C5</f>
        <v>1450</v>
      </c>
      <c r="E5" s="358">
        <v>2</v>
      </c>
      <c r="F5" s="358">
        <v>2</v>
      </c>
      <c r="G5" s="360">
        <v>1</v>
      </c>
      <c r="H5" s="361">
        <f t="shared" ref="H5:H6" si="1">B5*G5</f>
        <v>978</v>
      </c>
      <c r="I5" s="361">
        <f t="shared" ref="I5:I6" si="2">C5*G5</f>
        <v>472</v>
      </c>
      <c r="J5" s="361">
        <f>H5+I5</f>
        <v>1450</v>
      </c>
      <c r="K5" s="362">
        <f>E5/H5</f>
        <v>2.0449897750511249E-3</v>
      </c>
      <c r="L5" s="362">
        <f>F5/I5</f>
        <v>4.2372881355932203E-3</v>
      </c>
      <c r="M5" s="363">
        <v>64.8</v>
      </c>
      <c r="N5" s="364">
        <f t="shared" ref="N5:N6" si="3">M5*D5</f>
        <v>93960</v>
      </c>
      <c r="O5" s="365" t="str">
        <f t="shared" ref="O5:O7" si="4">CONCATENATE(E5," ",$O$4," ",B5)</f>
        <v>2 / 978</v>
      </c>
      <c r="P5" s="365" t="str">
        <f t="shared" ref="P5:P7" si="5">CONCATENATE(F5," ",$P$4," ",C5)</f>
        <v>2 / 472</v>
      </c>
    </row>
    <row r="6" spans="1:17" ht="18" hidden="1" customHeight="1" x14ac:dyDescent="0.2">
      <c r="A6" s="357" t="s">
        <v>230</v>
      </c>
      <c r="B6" s="358">
        <v>1095</v>
      </c>
      <c r="C6" s="358">
        <v>1104</v>
      </c>
      <c r="D6" s="359">
        <f t="shared" si="0"/>
        <v>2199</v>
      </c>
      <c r="E6" s="358">
        <v>2</v>
      </c>
      <c r="F6" s="358">
        <v>3</v>
      </c>
      <c r="G6" s="360">
        <v>1</v>
      </c>
      <c r="H6" s="361">
        <f t="shared" si="1"/>
        <v>1095</v>
      </c>
      <c r="I6" s="361">
        <f t="shared" si="2"/>
        <v>1104</v>
      </c>
      <c r="J6" s="361">
        <f t="shared" ref="J6" si="6">H6+I6</f>
        <v>2199</v>
      </c>
      <c r="K6" s="362">
        <f t="shared" ref="K6:L6" si="7">E6/H6</f>
        <v>1.8264840182648401E-3</v>
      </c>
      <c r="L6" s="362">
        <f t="shared" si="7"/>
        <v>2.717391304347826E-3</v>
      </c>
      <c r="M6" s="363">
        <v>64.3</v>
      </c>
      <c r="N6" s="364">
        <f t="shared" si="3"/>
        <v>141395.69999999998</v>
      </c>
      <c r="O6" s="365" t="str">
        <f t="shared" si="4"/>
        <v>2 / 1095</v>
      </c>
      <c r="P6" s="365" t="str">
        <f t="shared" si="5"/>
        <v>3 / 1104</v>
      </c>
    </row>
    <row r="7" spans="1:17" ht="18" hidden="1" customHeight="1" x14ac:dyDescent="0.2">
      <c r="A7" s="366">
        <f>COUNT(B5:B6)</f>
        <v>2</v>
      </c>
      <c r="B7" s="367">
        <f>SUM(B5:B6)</f>
        <v>2073</v>
      </c>
      <c r="C7" s="367">
        <f>SUM(C5:C6)</f>
        <v>1576</v>
      </c>
      <c r="D7" s="367">
        <f>SUM(D5:D6)</f>
        <v>3649</v>
      </c>
      <c r="E7" s="367">
        <f>SUM(E5:E6)</f>
        <v>4</v>
      </c>
      <c r="F7" s="367">
        <f>SUM(F5:F6)</f>
        <v>5</v>
      </c>
      <c r="G7" s="368">
        <f>J7/D7</f>
        <v>1</v>
      </c>
      <c r="H7" s="369">
        <f>SUM(H5:H6)</f>
        <v>2073</v>
      </c>
      <c r="I7" s="369">
        <f>SUM(I5:I6)</f>
        <v>1576</v>
      </c>
      <c r="J7" s="369">
        <f>H7+I7</f>
        <v>3649</v>
      </c>
      <c r="K7" s="370">
        <f>E7/H7</f>
        <v>1.9295706705258081E-3</v>
      </c>
      <c r="L7" s="371">
        <f>F7/I7</f>
        <v>3.1725888324873096E-3</v>
      </c>
      <c r="M7" s="372">
        <f>N7/D7</f>
        <v>64.498684571115376</v>
      </c>
      <c r="N7" s="373">
        <f>SUM(N5:N6)</f>
        <v>235355.69999999998</v>
      </c>
      <c r="O7" s="374" t="str">
        <f t="shared" si="4"/>
        <v>4 / 2073</v>
      </c>
      <c r="P7" s="374" t="str">
        <f t="shared" si="5"/>
        <v>5 / 1576</v>
      </c>
    </row>
    <row r="8" spans="1:17" ht="21" hidden="1" customHeight="1" x14ac:dyDescent="0.2">
      <c r="D8" s="375"/>
      <c r="E8" s="375"/>
      <c r="F8" s="376"/>
    </row>
    <row r="9" spans="1:17" ht="21" customHeight="1" thickBot="1" x14ac:dyDescent="0.25">
      <c r="D9" s="375"/>
      <c r="E9" s="375"/>
    </row>
    <row r="10" spans="1:17" ht="30" customHeight="1" thickBot="1" x14ac:dyDescent="0.25">
      <c r="A10" s="527" t="s">
        <v>256</v>
      </c>
      <c r="B10" s="528"/>
      <c r="C10" s="528"/>
      <c r="D10" s="528"/>
      <c r="E10" s="528"/>
      <c r="F10" s="528"/>
      <c r="G10" s="528"/>
      <c r="H10" s="528"/>
      <c r="I10" s="528"/>
      <c r="J10" s="528"/>
      <c r="K10" s="528"/>
      <c r="L10" s="528"/>
      <c r="M10" s="528"/>
      <c r="N10" s="528"/>
      <c r="O10" s="529"/>
    </row>
    <row r="11" spans="1:17" ht="38.25" customHeight="1" thickBot="1" x14ac:dyDescent="0.25">
      <c r="A11" s="519" t="s">
        <v>235</v>
      </c>
      <c r="B11" s="519" t="s">
        <v>236</v>
      </c>
      <c r="C11" s="530" t="s">
        <v>237</v>
      </c>
      <c r="D11" s="519" t="s">
        <v>238</v>
      </c>
      <c r="E11" s="519" t="s">
        <v>273</v>
      </c>
      <c r="F11" s="519" t="s">
        <v>275</v>
      </c>
      <c r="G11" s="519" t="s">
        <v>274</v>
      </c>
      <c r="H11" s="519" t="s">
        <v>276</v>
      </c>
      <c r="I11" s="519" t="s">
        <v>277</v>
      </c>
      <c r="J11" s="519" t="s">
        <v>375</v>
      </c>
      <c r="K11" s="519" t="s">
        <v>239</v>
      </c>
      <c r="L11" s="521" t="s">
        <v>240</v>
      </c>
      <c r="M11" s="522"/>
      <c r="N11" s="522"/>
      <c r="O11" s="523"/>
    </row>
    <row r="12" spans="1:17" ht="40.5" customHeight="1" thickBot="1" x14ac:dyDescent="0.25">
      <c r="A12" s="520"/>
      <c r="B12" s="520"/>
      <c r="C12" s="531"/>
      <c r="D12" s="520"/>
      <c r="E12" s="520"/>
      <c r="F12" s="520"/>
      <c r="G12" s="520"/>
      <c r="H12" s="520"/>
      <c r="I12" s="520"/>
      <c r="J12" s="520"/>
      <c r="K12" s="520"/>
      <c r="L12" s="377" t="s">
        <v>241</v>
      </c>
      <c r="M12" s="378" t="s">
        <v>96</v>
      </c>
      <c r="N12" s="379" t="s">
        <v>97</v>
      </c>
      <c r="O12" s="380" t="s">
        <v>242</v>
      </c>
    </row>
    <row r="13" spans="1:17" ht="30" customHeight="1" x14ac:dyDescent="0.25">
      <c r="A13" s="508">
        <v>9</v>
      </c>
      <c r="B13" s="381" t="s">
        <v>229</v>
      </c>
      <c r="C13" s="382" t="s">
        <v>243</v>
      </c>
      <c r="D13" s="383"/>
      <c r="E13" s="384">
        <f>G5</f>
        <v>1</v>
      </c>
      <c r="F13" s="385" t="str">
        <f>O5</f>
        <v>2 / 978</v>
      </c>
      <c r="G13" s="386">
        <f>K5</f>
        <v>2.0449897750511249E-3</v>
      </c>
      <c r="H13" s="385" t="str">
        <f>P5</f>
        <v>2 / 472</v>
      </c>
      <c r="I13" s="386">
        <f>L5</f>
        <v>4.2372881355932203E-3</v>
      </c>
      <c r="J13" s="384">
        <f>M5</f>
        <v>64.8</v>
      </c>
      <c r="K13" s="387">
        <v>0.45500000000000002</v>
      </c>
      <c r="L13" s="388" t="s">
        <v>305</v>
      </c>
      <c r="M13" s="389" t="s">
        <v>306</v>
      </c>
      <c r="N13" s="389" t="s">
        <v>307</v>
      </c>
      <c r="O13" s="390" t="s">
        <v>308</v>
      </c>
    </row>
    <row r="14" spans="1:17" ht="30" customHeight="1" x14ac:dyDescent="0.25">
      <c r="A14" s="509"/>
      <c r="B14" s="381" t="s">
        <v>230</v>
      </c>
      <c r="C14" s="385" t="s">
        <v>243</v>
      </c>
      <c r="D14" s="383"/>
      <c r="E14" s="384">
        <f>G6</f>
        <v>1</v>
      </c>
      <c r="F14" s="385" t="str">
        <f>O6</f>
        <v>2 / 1095</v>
      </c>
      <c r="G14" s="386">
        <f>K6</f>
        <v>1.8264840182648401E-3</v>
      </c>
      <c r="H14" s="385" t="str">
        <f>P6</f>
        <v>3 / 1104</v>
      </c>
      <c r="I14" s="386">
        <f>L6</f>
        <v>2.717391304347826E-3</v>
      </c>
      <c r="J14" s="384">
        <f>M6</f>
        <v>64.3</v>
      </c>
      <c r="K14" s="387">
        <v>0.54500000000000004</v>
      </c>
      <c r="L14" s="388" t="s">
        <v>177</v>
      </c>
      <c r="M14" s="389" t="s">
        <v>178</v>
      </c>
      <c r="N14" s="389" t="s">
        <v>179</v>
      </c>
      <c r="O14" s="390" t="s">
        <v>180</v>
      </c>
    </row>
    <row r="15" spans="1:17" ht="30" customHeight="1" x14ac:dyDescent="0.2">
      <c r="A15" s="391" t="s">
        <v>244</v>
      </c>
      <c r="B15" s="392">
        <f>COUNT(G13:G14)</f>
        <v>2</v>
      </c>
      <c r="C15" s="393"/>
      <c r="D15" s="394" t="s">
        <v>245</v>
      </c>
      <c r="E15" s="395">
        <f t="shared" ref="E15" si="8">G7</f>
        <v>1</v>
      </c>
      <c r="F15" s="396" t="str">
        <f t="shared" ref="F15" si="9">O7</f>
        <v>4 / 2073</v>
      </c>
      <c r="G15" s="397">
        <f t="shared" ref="G15" si="10">K7</f>
        <v>1.9295706705258081E-3</v>
      </c>
      <c r="H15" s="396" t="str">
        <f t="shared" ref="H15" si="11">P7</f>
        <v>5 / 1576</v>
      </c>
      <c r="I15" s="397">
        <f t="shared" ref="I15:J15" si="12">L7</f>
        <v>3.1725888324873096E-3</v>
      </c>
      <c r="J15" s="398">
        <f t="shared" si="12"/>
        <v>64.498684571115376</v>
      </c>
      <c r="K15" s="399">
        <v>1</v>
      </c>
      <c r="L15" s="400" t="s">
        <v>263</v>
      </c>
      <c r="M15" s="375"/>
      <c r="N15" s="278"/>
      <c r="O15" s="278"/>
    </row>
    <row r="16" spans="1:17" ht="7.5" customHeight="1" thickBot="1" x14ac:dyDescent="0.25">
      <c r="A16" s="401"/>
      <c r="B16" s="401"/>
      <c r="C16" s="402"/>
      <c r="D16" s="403"/>
      <c r="E16" s="365"/>
      <c r="F16" s="404"/>
      <c r="G16" s="405"/>
      <c r="H16" s="404"/>
      <c r="I16" s="406"/>
      <c r="J16" s="407"/>
      <c r="L16" s="375"/>
      <c r="M16" s="278"/>
      <c r="N16" s="278"/>
    </row>
    <row r="17" spans="1:15" s="279" customFormat="1" ht="46.5" customHeight="1" thickBot="1" x14ac:dyDescent="0.25">
      <c r="A17" s="408"/>
      <c r="B17" s="510" t="s">
        <v>269</v>
      </c>
      <c r="C17" s="511"/>
      <c r="D17" s="511"/>
      <c r="E17" s="511"/>
      <c r="F17" s="511"/>
      <c r="G17" s="511"/>
      <c r="H17" s="511"/>
      <c r="I17" s="512"/>
      <c r="J17" s="409" t="s">
        <v>267</v>
      </c>
      <c r="K17" s="410" t="s">
        <v>268</v>
      </c>
      <c r="L17" s="411" t="s">
        <v>241</v>
      </c>
      <c r="M17" s="412" t="s">
        <v>96</v>
      </c>
      <c r="N17" s="413" t="s">
        <v>97</v>
      </c>
      <c r="O17" s="278"/>
    </row>
    <row r="18" spans="1:15" ht="24.95" customHeight="1" thickBot="1" x14ac:dyDescent="0.25">
      <c r="A18" s="449" t="s">
        <v>246</v>
      </c>
      <c r="B18" s="513" t="s">
        <v>266</v>
      </c>
      <c r="C18" s="514"/>
      <c r="D18" s="514"/>
      <c r="E18" s="514"/>
      <c r="F18" s="514"/>
      <c r="G18" s="514"/>
      <c r="H18" s="514"/>
      <c r="I18" s="515"/>
      <c r="J18" s="414" t="s">
        <v>261</v>
      </c>
      <c r="K18" s="414" t="s">
        <v>262</v>
      </c>
      <c r="L18" s="415" t="s">
        <v>263</v>
      </c>
      <c r="M18" s="416" t="s">
        <v>264</v>
      </c>
      <c r="N18" s="416" t="s">
        <v>265</v>
      </c>
      <c r="O18" s="450" t="s">
        <v>254</v>
      </c>
    </row>
    <row r="19" spans="1:15" ht="28.5" hidden="1" customHeight="1" x14ac:dyDescent="0.2"/>
    <row r="20" spans="1:15" ht="28.5" hidden="1" customHeight="1" thickBot="1" x14ac:dyDescent="0.25">
      <c r="A20" s="417" t="s">
        <v>248</v>
      </c>
      <c r="B20" s="418">
        <f>I15</f>
        <v>3.1725888324873096E-3</v>
      </c>
      <c r="C20" s="516" t="s">
        <v>105</v>
      </c>
      <c r="D20" s="517"/>
      <c r="E20" s="518"/>
      <c r="G20" s="94"/>
    </row>
    <row r="21" spans="1:15" ht="28.5" hidden="1" customHeight="1" thickBot="1" x14ac:dyDescent="0.25">
      <c r="A21" s="419"/>
      <c r="B21" s="4"/>
      <c r="C21" s="420" t="s">
        <v>100</v>
      </c>
      <c r="D21" s="421" t="s">
        <v>101</v>
      </c>
      <c r="E21" s="420" t="s">
        <v>249</v>
      </c>
      <c r="H21" s="445" t="s">
        <v>102</v>
      </c>
      <c r="I21" s="445" t="s">
        <v>103</v>
      </c>
      <c r="J21" s="445" t="s">
        <v>95</v>
      </c>
      <c r="K21" s="445" t="s">
        <v>96</v>
      </c>
      <c r="L21" s="445" t="s">
        <v>97</v>
      </c>
    </row>
    <row r="22" spans="1:15" ht="28.5" hidden="1" customHeight="1" thickBot="1" x14ac:dyDescent="0.25">
      <c r="A22" s="422"/>
      <c r="B22" s="307"/>
      <c r="C22" s="423">
        <v>0.59</v>
      </c>
      <c r="D22" s="424">
        <v>0.16</v>
      </c>
      <c r="E22" s="425">
        <v>2.2000000000000002</v>
      </c>
      <c r="F22" s="426" t="s">
        <v>247</v>
      </c>
      <c r="H22" s="448" t="str">
        <f>C30</f>
        <v>0,19%</v>
      </c>
      <c r="I22" s="448" t="str">
        <f>D30</f>
        <v>0,32%</v>
      </c>
      <c r="J22" s="448" t="str">
        <f>E30</f>
        <v>0,59 (0,16-2,2)</v>
      </c>
      <c r="K22" s="448" t="str">
        <f>F30</f>
        <v>0,13% (-0,38% a 0,27%)</v>
      </c>
      <c r="L22" s="448" t="str">
        <f>G30</f>
        <v>769 (375 a -263)</v>
      </c>
    </row>
    <row r="23" spans="1:15" ht="28.5" hidden="1" customHeight="1" thickBot="1" x14ac:dyDescent="0.25">
      <c r="A23" s="427"/>
      <c r="B23" s="419"/>
      <c r="C23" s="4"/>
      <c r="D23" s="4"/>
      <c r="E23" s="4"/>
      <c r="F23" s="4"/>
      <c r="G23" s="4"/>
    </row>
    <row r="24" spans="1:15" ht="28.5" hidden="1" customHeight="1" thickBot="1" x14ac:dyDescent="0.25">
      <c r="A24" s="427"/>
      <c r="B24" s="428" t="s">
        <v>250</v>
      </c>
      <c r="C24" s="429"/>
      <c r="D24" s="430">
        <f>B20*C22</f>
        <v>1.8718274111675125E-3</v>
      </c>
      <c r="E24" s="431">
        <f>B20*D22</f>
        <v>5.0761421319796957E-4</v>
      </c>
      <c r="F24" s="432">
        <f>B20*E22</f>
        <v>6.9796954314720813E-3</v>
      </c>
      <c r="G24" s="4"/>
      <c r="I24" s="451" t="s">
        <v>96</v>
      </c>
      <c r="J24" s="452">
        <f>B20-D24</f>
        <v>1.3007614213197971E-3</v>
      </c>
      <c r="K24" s="453">
        <f>B20-F24</f>
        <v>-3.8071065989847717E-3</v>
      </c>
      <c r="L24" s="454">
        <f>B20-E24</f>
        <v>2.6649746192893399E-3</v>
      </c>
    </row>
    <row r="25" spans="1:15" ht="28.5" hidden="1" customHeight="1" x14ac:dyDescent="0.2">
      <c r="A25" s="427"/>
      <c r="B25" s="419"/>
      <c r="C25" s="4"/>
      <c r="D25" s="4"/>
      <c r="E25" s="4"/>
      <c r="F25" s="4"/>
      <c r="G25" s="4"/>
      <c r="I25" s="451" t="s">
        <v>97</v>
      </c>
      <c r="J25" s="455">
        <f>1/J24</f>
        <v>768.78048780487802</v>
      </c>
      <c r="K25" s="456">
        <f>1/L24</f>
        <v>375.23809523809524</v>
      </c>
      <c r="L25" s="457">
        <f>1/K24</f>
        <v>-262.66666666666669</v>
      </c>
    </row>
    <row r="26" spans="1:15" ht="28.5" hidden="1" customHeight="1" x14ac:dyDescent="0.2">
      <c r="A26" s="427"/>
      <c r="B26" s="433" t="s">
        <v>84</v>
      </c>
      <c r="C26" s="434"/>
      <c r="D26" s="434"/>
      <c r="E26" s="435">
        <f>ROUND(C22,2)</f>
        <v>0.59</v>
      </c>
      <c r="F26" s="436">
        <f>ROUND(J24,4)</f>
        <v>1.2999999999999999E-3</v>
      </c>
      <c r="G26" s="437">
        <f>ROUND(J25,0)</f>
        <v>769</v>
      </c>
    </row>
    <row r="27" spans="1:15" ht="28.5" hidden="1" customHeight="1" x14ac:dyDescent="0.2">
      <c r="A27" s="427"/>
      <c r="B27" s="438" t="s">
        <v>85</v>
      </c>
      <c r="C27" s="439">
        <f>ROUND(D24,4)</f>
        <v>1.9E-3</v>
      </c>
      <c r="D27" s="440">
        <f>ROUND(B20,4)</f>
        <v>3.2000000000000002E-3</v>
      </c>
      <c r="E27" s="441">
        <f>ROUND(D22,2)</f>
        <v>0.16</v>
      </c>
      <c r="F27" s="442">
        <f>ROUND(K24,4)</f>
        <v>-3.8E-3</v>
      </c>
      <c r="G27" s="443">
        <f>ROUND(K25,0)</f>
        <v>375</v>
      </c>
    </row>
    <row r="28" spans="1:15" ht="28.5" hidden="1" customHeight="1" x14ac:dyDescent="0.2">
      <c r="A28" s="427"/>
      <c r="B28" s="438" t="s">
        <v>86</v>
      </c>
      <c r="C28" s="444"/>
      <c r="D28" s="444"/>
      <c r="E28" s="441">
        <f>ROUND(E22,2)</f>
        <v>2.2000000000000002</v>
      </c>
      <c r="F28" s="442">
        <f>ROUND(L24,4)</f>
        <v>2.7000000000000001E-3</v>
      </c>
      <c r="G28" s="443">
        <f>ROUND(L25,0)</f>
        <v>-263</v>
      </c>
    </row>
    <row r="29" spans="1:15" ht="28.5" hidden="1" customHeight="1" x14ac:dyDescent="0.2">
      <c r="A29" s="427"/>
      <c r="B29" s="438" t="s">
        <v>87</v>
      </c>
      <c r="C29" s="264" t="s">
        <v>102</v>
      </c>
      <c r="D29" s="264" t="s">
        <v>103</v>
      </c>
      <c r="E29" s="445" t="s">
        <v>95</v>
      </c>
      <c r="F29" s="445" t="s">
        <v>104</v>
      </c>
      <c r="G29" s="264" t="s">
        <v>97</v>
      </c>
    </row>
    <row r="30" spans="1:15" ht="28.5" hidden="1" customHeight="1" x14ac:dyDescent="0.2">
      <c r="A30" s="427"/>
      <c r="B30" s="446" t="s">
        <v>93</v>
      </c>
      <c r="C30" s="264" t="str">
        <f>CONCATENATE(C27*100,B29)</f>
        <v>0,19%</v>
      </c>
      <c r="D30" s="264" t="str">
        <f>CONCATENATE(D27*100,B29)</f>
        <v>0,32%</v>
      </c>
      <c r="E30" s="264" t="str">
        <f>CONCATENATE(E26," ",B26,E27,B27,E28,B28)</f>
        <v>0,59 (0,16-2,2)</v>
      </c>
      <c r="F30" s="264" t="str">
        <f>CONCATENATE(F26*100,B29," ",B26,F27*100,B29," ",B30," ",F28*100,B29,B28)</f>
        <v>0,13% (-0,38% a 0,27%)</v>
      </c>
      <c r="G30" s="264" t="str">
        <f>CONCATENATE(G26," ",B26,G27," ",B30," ",G28,B28)</f>
        <v>769 (375 a -263)</v>
      </c>
    </row>
    <row r="31" spans="1:15" ht="28.5" hidden="1" customHeight="1" x14ac:dyDescent="0.2">
      <c r="A31" s="447"/>
      <c r="B31" s="127"/>
      <c r="C31" s="8"/>
      <c r="D31" s="8"/>
      <c r="E31" s="8"/>
      <c r="F31" s="8"/>
      <c r="G31" s="8"/>
    </row>
    <row r="32" spans="1:15" ht="28.5" hidden="1" customHeight="1" x14ac:dyDescent="0.2"/>
    <row r="33" spans="1:17" ht="30" hidden="1" customHeight="1" x14ac:dyDescent="0.2">
      <c r="A33" s="348" t="s">
        <v>280</v>
      </c>
      <c r="B33" s="349"/>
      <c r="C33" s="349"/>
      <c r="O33" s="350"/>
      <c r="P33" s="351"/>
      <c r="Q33" s="279"/>
    </row>
    <row r="34" spans="1:17" ht="30" hidden="1" customHeight="1" x14ac:dyDescent="0.2">
      <c r="A34" s="352"/>
      <c r="B34" s="524" t="s">
        <v>231</v>
      </c>
      <c r="C34" s="525"/>
      <c r="D34" s="526"/>
      <c r="E34" s="524" t="s">
        <v>232</v>
      </c>
      <c r="F34" s="526"/>
      <c r="G34" s="353" t="s">
        <v>251</v>
      </c>
      <c r="H34" s="524" t="s">
        <v>252</v>
      </c>
      <c r="I34" s="525"/>
      <c r="J34" s="526"/>
      <c r="K34" s="524" t="s">
        <v>253</v>
      </c>
      <c r="L34" s="526"/>
      <c r="M34" s="353" t="s">
        <v>376</v>
      </c>
      <c r="N34" s="351"/>
    </row>
    <row r="35" spans="1:17" ht="30" hidden="1" customHeight="1" x14ac:dyDescent="0.2">
      <c r="A35" s="352" t="s">
        <v>233</v>
      </c>
      <c r="B35" s="354" t="s">
        <v>228</v>
      </c>
      <c r="C35" s="354" t="s">
        <v>227</v>
      </c>
      <c r="D35" s="354" t="s">
        <v>7</v>
      </c>
      <c r="E35" s="354" t="s">
        <v>228</v>
      </c>
      <c r="F35" s="354" t="s">
        <v>227</v>
      </c>
      <c r="G35" s="355" t="s">
        <v>234</v>
      </c>
      <c r="H35" s="356" t="s">
        <v>228</v>
      </c>
      <c r="I35" s="356" t="s">
        <v>227</v>
      </c>
      <c r="J35" s="356" t="s">
        <v>7</v>
      </c>
      <c r="K35" s="354" t="s">
        <v>228</v>
      </c>
      <c r="L35" s="354" t="s">
        <v>227</v>
      </c>
      <c r="M35" s="355" t="s">
        <v>234</v>
      </c>
      <c r="N35" s="351"/>
      <c r="O35" s="277" t="s">
        <v>94</v>
      </c>
      <c r="P35" s="277" t="s">
        <v>94</v>
      </c>
    </row>
    <row r="36" spans="1:17" ht="18" hidden="1" customHeight="1" x14ac:dyDescent="0.2">
      <c r="A36" s="357" t="s">
        <v>229</v>
      </c>
      <c r="B36" s="358">
        <v>978</v>
      </c>
      <c r="C36" s="358">
        <v>472</v>
      </c>
      <c r="D36" s="359">
        <f t="shared" ref="D36:D37" si="13">B36+C36</f>
        <v>1450</v>
      </c>
      <c r="E36" s="358">
        <v>1</v>
      </c>
      <c r="F36" s="358">
        <v>1</v>
      </c>
      <c r="G36" s="360">
        <v>1</v>
      </c>
      <c r="H36" s="361">
        <f t="shared" ref="H36:H37" si="14">B36*G36</f>
        <v>978</v>
      </c>
      <c r="I36" s="361">
        <f t="shared" ref="I36:I37" si="15">C36*G36</f>
        <v>472</v>
      </c>
      <c r="J36" s="361">
        <f>H36+I36</f>
        <v>1450</v>
      </c>
      <c r="K36" s="362">
        <f>E36/H36</f>
        <v>1.0224948875255625E-3</v>
      </c>
      <c r="L36" s="362">
        <f>F36/I36</f>
        <v>2.1186440677966102E-3</v>
      </c>
      <c r="M36" s="363">
        <v>64.8</v>
      </c>
      <c r="N36" s="364">
        <f t="shared" ref="N36:N37" si="16">M36*D36</f>
        <v>93960</v>
      </c>
      <c r="O36" s="365" t="str">
        <f t="shared" ref="O36:O38" si="17">CONCATENATE(E36," ",$O$4," ",B36)</f>
        <v>1 / 978</v>
      </c>
      <c r="P36" s="365" t="str">
        <f t="shared" ref="P36:P38" si="18">CONCATENATE(F36," ",$P$4," ",C36)</f>
        <v>1 / 472</v>
      </c>
    </row>
    <row r="37" spans="1:17" ht="18" hidden="1" customHeight="1" x14ac:dyDescent="0.2">
      <c r="A37" s="357" t="s">
        <v>230</v>
      </c>
      <c r="B37" s="358">
        <v>1095</v>
      </c>
      <c r="C37" s="358">
        <v>1104</v>
      </c>
      <c r="D37" s="359">
        <f t="shared" si="13"/>
        <v>2199</v>
      </c>
      <c r="E37" s="358">
        <v>2</v>
      </c>
      <c r="F37" s="358">
        <v>3</v>
      </c>
      <c r="G37" s="360">
        <v>1</v>
      </c>
      <c r="H37" s="361">
        <f t="shared" si="14"/>
        <v>1095</v>
      </c>
      <c r="I37" s="361">
        <f t="shared" si="15"/>
        <v>1104</v>
      </c>
      <c r="J37" s="361">
        <f t="shared" ref="J37" si="19">H37+I37</f>
        <v>2199</v>
      </c>
      <c r="K37" s="362">
        <f t="shared" ref="K37" si="20">E37/H37</f>
        <v>1.8264840182648401E-3</v>
      </c>
      <c r="L37" s="362">
        <f t="shared" ref="L37" si="21">F37/I37</f>
        <v>2.717391304347826E-3</v>
      </c>
      <c r="M37" s="363">
        <v>64.3</v>
      </c>
      <c r="N37" s="364">
        <f t="shared" si="16"/>
        <v>141395.69999999998</v>
      </c>
      <c r="O37" s="365" t="str">
        <f t="shared" si="17"/>
        <v>2 / 1095</v>
      </c>
      <c r="P37" s="365" t="str">
        <f t="shared" si="18"/>
        <v>3 / 1104</v>
      </c>
    </row>
    <row r="38" spans="1:17" ht="18" hidden="1" customHeight="1" x14ac:dyDescent="0.2">
      <c r="A38" s="366">
        <f>COUNT(B36:B37)</f>
        <v>2</v>
      </c>
      <c r="B38" s="367">
        <f>SUM(B36:B37)</f>
        <v>2073</v>
      </c>
      <c r="C38" s="367">
        <f>SUM(C36:C37)</f>
        <v>1576</v>
      </c>
      <c r="D38" s="367">
        <f>SUM(D36:D37)</f>
        <v>3649</v>
      </c>
      <c r="E38" s="367">
        <f>SUM(E36:E37)</f>
        <v>3</v>
      </c>
      <c r="F38" s="367">
        <f>SUM(F36:F37)</f>
        <v>4</v>
      </c>
      <c r="G38" s="368">
        <f>J38/D38</f>
        <v>1</v>
      </c>
      <c r="H38" s="369">
        <f>SUM(H36:H37)</f>
        <v>2073</v>
      </c>
      <c r="I38" s="369">
        <f>SUM(I36:I37)</f>
        <v>1576</v>
      </c>
      <c r="J38" s="369">
        <f>H38+I38</f>
        <v>3649</v>
      </c>
      <c r="K38" s="370">
        <f>E38/H38</f>
        <v>1.4471780028943559E-3</v>
      </c>
      <c r="L38" s="371">
        <f>F38/I38</f>
        <v>2.5380710659898475E-3</v>
      </c>
      <c r="M38" s="372">
        <f>N38/D38</f>
        <v>64.498684571115376</v>
      </c>
      <c r="N38" s="373">
        <f>SUM(N36:N37)</f>
        <v>235355.69999999998</v>
      </c>
      <c r="O38" s="374" t="str">
        <f t="shared" si="17"/>
        <v>3 / 2073</v>
      </c>
      <c r="P38" s="374" t="str">
        <f t="shared" si="18"/>
        <v>4 / 1576</v>
      </c>
    </row>
    <row r="39" spans="1:17" ht="21" hidden="1" customHeight="1" x14ac:dyDescent="0.2">
      <c r="D39" s="375"/>
      <c r="E39" s="375"/>
      <c r="F39" s="376"/>
    </row>
    <row r="40" spans="1:17" ht="21" customHeight="1" thickBot="1" x14ac:dyDescent="0.25">
      <c r="D40" s="375"/>
      <c r="E40" s="375"/>
      <c r="J40" s="463"/>
      <c r="K40" s="463"/>
    </row>
    <row r="41" spans="1:17" ht="30" customHeight="1" thickBot="1" x14ac:dyDescent="0.25">
      <c r="A41" s="527" t="s">
        <v>278</v>
      </c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9"/>
    </row>
    <row r="42" spans="1:17" ht="38.25" customHeight="1" thickBot="1" x14ac:dyDescent="0.25">
      <c r="A42" s="519" t="s">
        <v>235</v>
      </c>
      <c r="B42" s="519" t="s">
        <v>236</v>
      </c>
      <c r="C42" s="530" t="s">
        <v>237</v>
      </c>
      <c r="D42" s="519" t="s">
        <v>238</v>
      </c>
      <c r="E42" s="519" t="s">
        <v>273</v>
      </c>
      <c r="F42" s="519" t="s">
        <v>275</v>
      </c>
      <c r="G42" s="519" t="s">
        <v>274</v>
      </c>
      <c r="H42" s="519" t="s">
        <v>276</v>
      </c>
      <c r="I42" s="519" t="s">
        <v>277</v>
      </c>
      <c r="J42" s="519" t="s">
        <v>375</v>
      </c>
      <c r="K42" s="519" t="s">
        <v>239</v>
      </c>
      <c r="L42" s="521" t="s">
        <v>240</v>
      </c>
      <c r="M42" s="522"/>
      <c r="N42" s="522"/>
      <c r="O42" s="523"/>
    </row>
    <row r="43" spans="1:17" ht="40.5" customHeight="1" thickBot="1" x14ac:dyDescent="0.25">
      <c r="A43" s="520"/>
      <c r="B43" s="520"/>
      <c r="C43" s="531"/>
      <c r="D43" s="520"/>
      <c r="E43" s="520"/>
      <c r="F43" s="520"/>
      <c r="G43" s="520"/>
      <c r="H43" s="520"/>
      <c r="I43" s="520"/>
      <c r="J43" s="520"/>
      <c r="K43" s="520"/>
      <c r="L43" s="377" t="s">
        <v>241</v>
      </c>
      <c r="M43" s="378" t="s">
        <v>96</v>
      </c>
      <c r="N43" s="379" t="s">
        <v>97</v>
      </c>
      <c r="O43" s="380" t="s">
        <v>242</v>
      </c>
    </row>
    <row r="44" spans="1:17" ht="30" customHeight="1" x14ac:dyDescent="0.25">
      <c r="A44" s="508">
        <v>8</v>
      </c>
      <c r="B44" s="381" t="s">
        <v>229</v>
      </c>
      <c r="C44" s="382" t="s">
        <v>243</v>
      </c>
      <c r="D44" s="383"/>
      <c r="E44" s="384">
        <f>G36</f>
        <v>1</v>
      </c>
      <c r="F44" s="385" t="str">
        <f>O36</f>
        <v>1 / 978</v>
      </c>
      <c r="G44" s="386">
        <f>K36</f>
        <v>1.0224948875255625E-3</v>
      </c>
      <c r="H44" s="385" t="str">
        <f>P36</f>
        <v>1 / 472</v>
      </c>
      <c r="I44" s="386">
        <f>L36</f>
        <v>2.1186440677966102E-3</v>
      </c>
      <c r="J44" s="384">
        <f>M36</f>
        <v>64.8</v>
      </c>
      <c r="K44" s="387">
        <v>0.29399999999999998</v>
      </c>
      <c r="L44" s="388" t="s">
        <v>129</v>
      </c>
      <c r="M44" s="389" t="s">
        <v>130</v>
      </c>
      <c r="N44" s="389" t="s">
        <v>131</v>
      </c>
      <c r="O44" s="390">
        <v>8.7900000000000006E-2</v>
      </c>
    </row>
    <row r="45" spans="1:17" ht="30" customHeight="1" x14ac:dyDescent="0.25">
      <c r="A45" s="509"/>
      <c r="B45" s="381" t="s">
        <v>230</v>
      </c>
      <c r="C45" s="385" t="s">
        <v>243</v>
      </c>
      <c r="D45" s="383"/>
      <c r="E45" s="384">
        <f>G37</f>
        <v>1</v>
      </c>
      <c r="F45" s="385" t="str">
        <f>O37</f>
        <v>2 / 1095</v>
      </c>
      <c r="G45" s="386">
        <f>K37</f>
        <v>1.8264840182648401E-3</v>
      </c>
      <c r="H45" s="385" t="str">
        <f>P37</f>
        <v>3 / 1104</v>
      </c>
      <c r="I45" s="386">
        <f>L37</f>
        <v>2.717391304347826E-3</v>
      </c>
      <c r="J45" s="384">
        <f>M37</f>
        <v>64.3</v>
      </c>
      <c r="K45" s="387">
        <v>0.70599999999999996</v>
      </c>
      <c r="L45" s="388" t="s">
        <v>177</v>
      </c>
      <c r="M45" s="389" t="s">
        <v>178</v>
      </c>
      <c r="N45" s="389" t="s">
        <v>185</v>
      </c>
      <c r="O45" s="390" t="s">
        <v>180</v>
      </c>
    </row>
    <row r="46" spans="1:17" ht="30" customHeight="1" x14ac:dyDescent="0.2">
      <c r="A46" s="391" t="s">
        <v>244</v>
      </c>
      <c r="B46" s="392">
        <f>COUNT(G44:G45)</f>
        <v>2</v>
      </c>
      <c r="C46" s="393"/>
      <c r="D46" s="394" t="s">
        <v>245</v>
      </c>
      <c r="E46" s="395">
        <f t="shared" ref="E46" si="22">G38</f>
        <v>1</v>
      </c>
      <c r="F46" s="396" t="str">
        <f t="shared" ref="F46" si="23">O38</f>
        <v>3 / 2073</v>
      </c>
      <c r="G46" s="397">
        <f t="shared" ref="G46" si="24">K38</f>
        <v>1.4471780028943559E-3</v>
      </c>
      <c r="H46" s="396" t="str">
        <f t="shared" ref="H46" si="25">P38</f>
        <v>4 / 1576</v>
      </c>
      <c r="I46" s="397">
        <f t="shared" ref="I46" si="26">L38</f>
        <v>2.5380710659898475E-3</v>
      </c>
      <c r="J46" s="398">
        <f t="shared" ref="J46" si="27">M38</f>
        <v>64.498684571115376</v>
      </c>
      <c r="K46" s="399">
        <v>1</v>
      </c>
      <c r="L46" s="400" t="s">
        <v>281</v>
      </c>
      <c r="M46" s="375"/>
      <c r="N46" s="278"/>
      <c r="O46" s="278"/>
    </row>
    <row r="47" spans="1:17" ht="7.5" customHeight="1" thickBot="1" x14ac:dyDescent="0.25">
      <c r="A47" s="401"/>
      <c r="B47" s="401"/>
      <c r="C47" s="402"/>
      <c r="D47" s="403"/>
      <c r="E47" s="365"/>
      <c r="F47" s="404"/>
      <c r="G47" s="405"/>
      <c r="H47" s="404"/>
      <c r="I47" s="406"/>
      <c r="J47" s="407"/>
      <c r="L47" s="375"/>
      <c r="M47" s="278"/>
      <c r="N47" s="278"/>
    </row>
    <row r="48" spans="1:17" s="279" customFormat="1" ht="46.5" customHeight="1" thickBot="1" x14ac:dyDescent="0.25">
      <c r="A48" s="408"/>
      <c r="B48" s="510" t="s">
        <v>279</v>
      </c>
      <c r="C48" s="511"/>
      <c r="D48" s="511"/>
      <c r="E48" s="511"/>
      <c r="F48" s="511"/>
      <c r="G48" s="511"/>
      <c r="H48" s="511"/>
      <c r="I48" s="512"/>
      <c r="J48" s="409" t="s">
        <v>267</v>
      </c>
      <c r="K48" s="410" t="s">
        <v>268</v>
      </c>
      <c r="L48" s="411" t="s">
        <v>241</v>
      </c>
      <c r="M48" s="412" t="s">
        <v>96</v>
      </c>
      <c r="N48" s="413" t="s">
        <v>97</v>
      </c>
      <c r="O48" s="278"/>
    </row>
    <row r="49" spans="1:17" ht="29.25" customHeight="1" thickBot="1" x14ac:dyDescent="0.25">
      <c r="A49" s="449" t="s">
        <v>246</v>
      </c>
      <c r="B49" s="513" t="s">
        <v>284</v>
      </c>
      <c r="C49" s="514"/>
      <c r="D49" s="514"/>
      <c r="E49" s="514"/>
      <c r="F49" s="514"/>
      <c r="G49" s="514"/>
      <c r="H49" s="514"/>
      <c r="I49" s="515"/>
      <c r="J49" s="459">
        <v>1.6000000000000001E-3</v>
      </c>
      <c r="K49" s="459">
        <v>2.5000000000000001E-3</v>
      </c>
      <c r="L49" s="415" t="s">
        <v>281</v>
      </c>
      <c r="M49" s="416" t="s">
        <v>282</v>
      </c>
      <c r="N49" s="416" t="s">
        <v>283</v>
      </c>
      <c r="O49" s="450" t="s">
        <v>254</v>
      </c>
    </row>
    <row r="50" spans="1:17" ht="28.5" hidden="1" customHeight="1" thickBot="1" x14ac:dyDescent="0.25"/>
    <row r="51" spans="1:17" ht="28.5" hidden="1" customHeight="1" thickBot="1" x14ac:dyDescent="0.25">
      <c r="A51" s="417" t="s">
        <v>248</v>
      </c>
      <c r="B51" s="418">
        <f>I46</f>
        <v>2.5380710659898475E-3</v>
      </c>
      <c r="C51" s="516" t="s">
        <v>105</v>
      </c>
      <c r="D51" s="517"/>
      <c r="E51" s="518"/>
      <c r="G51" s="94"/>
    </row>
    <row r="52" spans="1:17" ht="28.5" hidden="1" customHeight="1" thickBot="1" x14ac:dyDescent="0.25">
      <c r="A52" s="419"/>
      <c r="B52" s="4"/>
      <c r="C52" s="420" t="s">
        <v>100</v>
      </c>
      <c r="D52" s="421" t="s">
        <v>101</v>
      </c>
      <c r="E52" s="420" t="s">
        <v>249</v>
      </c>
      <c r="H52" s="445" t="s">
        <v>102</v>
      </c>
      <c r="I52" s="445" t="s">
        <v>103</v>
      </c>
      <c r="J52" s="445" t="s">
        <v>95</v>
      </c>
      <c r="K52" s="445" t="s">
        <v>96</v>
      </c>
      <c r="L52" s="445" t="s">
        <v>97</v>
      </c>
    </row>
    <row r="53" spans="1:17" ht="28.5" hidden="1" customHeight="1" thickBot="1" x14ac:dyDescent="0.25">
      <c r="A53" s="422"/>
      <c r="B53" s="307"/>
      <c r="C53" s="423">
        <v>0.62</v>
      </c>
      <c r="D53" s="424">
        <v>0.14000000000000001</v>
      </c>
      <c r="E53" s="425">
        <v>2.27</v>
      </c>
      <c r="F53" s="426" t="s">
        <v>257</v>
      </c>
      <c r="H53" s="448" t="str">
        <f>C61</f>
        <v>0,16%</v>
      </c>
      <c r="I53" s="448" t="str">
        <f>D61</f>
        <v>0,25%</v>
      </c>
      <c r="J53" s="448" t="str">
        <f>E61</f>
        <v>0,62 (0,14-2,27)</v>
      </c>
      <c r="K53" s="448" t="str">
        <f>F61</f>
        <v>0,1% (-0,32% a 0,22%)</v>
      </c>
      <c r="L53" s="448" t="str">
        <f>G61</f>
        <v>1037 (458 a -310)</v>
      </c>
    </row>
    <row r="54" spans="1:17" ht="28.5" hidden="1" customHeight="1" thickBot="1" x14ac:dyDescent="0.25">
      <c r="A54" s="427"/>
      <c r="B54" s="419"/>
      <c r="C54" s="4"/>
      <c r="D54" s="4"/>
      <c r="E54" s="4"/>
      <c r="F54" s="4"/>
      <c r="G54" s="4"/>
    </row>
    <row r="55" spans="1:17" ht="28.5" hidden="1" customHeight="1" thickBot="1" x14ac:dyDescent="0.25">
      <c r="A55" s="427"/>
      <c r="B55" s="428" t="s">
        <v>250</v>
      </c>
      <c r="C55" s="429"/>
      <c r="D55" s="430">
        <f>B51*C53</f>
        <v>1.5736040609137054E-3</v>
      </c>
      <c r="E55" s="431">
        <f>B51*D53</f>
        <v>3.5532994923857868E-4</v>
      </c>
      <c r="F55" s="432">
        <f>B51*E53</f>
        <v>5.7614213197969538E-3</v>
      </c>
      <c r="G55" s="4"/>
      <c r="I55" s="451" t="s">
        <v>96</v>
      </c>
      <c r="J55" s="452">
        <f>B51-D55</f>
        <v>9.6446700507614208E-4</v>
      </c>
      <c r="K55" s="453">
        <f>B51-F55</f>
        <v>-3.2233502538071062E-3</v>
      </c>
      <c r="L55" s="454">
        <f>B51-E55</f>
        <v>2.182741116751269E-3</v>
      </c>
    </row>
    <row r="56" spans="1:17" ht="28.5" hidden="1" customHeight="1" x14ac:dyDescent="0.2">
      <c r="A56" s="427"/>
      <c r="B56" s="419"/>
      <c r="C56" s="4"/>
      <c r="D56" s="4"/>
      <c r="E56" s="4"/>
      <c r="F56" s="4"/>
      <c r="G56" s="4"/>
      <c r="I56" s="451" t="s">
        <v>97</v>
      </c>
      <c r="J56" s="455">
        <f>1/J55</f>
        <v>1036.8421052631579</v>
      </c>
      <c r="K56" s="456">
        <f>1/L55</f>
        <v>458.13953488372096</v>
      </c>
      <c r="L56" s="457">
        <f>1/K55</f>
        <v>-310.236220472441</v>
      </c>
    </row>
    <row r="57" spans="1:17" ht="28.5" hidden="1" customHeight="1" x14ac:dyDescent="0.2">
      <c r="A57" s="427"/>
      <c r="B57" s="433" t="s">
        <v>84</v>
      </c>
      <c r="C57" s="434"/>
      <c r="D57" s="434"/>
      <c r="E57" s="435">
        <f>ROUND(C53,2)</f>
        <v>0.62</v>
      </c>
      <c r="F57" s="436">
        <f>ROUND(J55,4)</f>
        <v>1E-3</v>
      </c>
      <c r="G57" s="437">
        <f>ROUND(J56,0)</f>
        <v>1037</v>
      </c>
    </row>
    <row r="58" spans="1:17" ht="28.5" hidden="1" customHeight="1" x14ac:dyDescent="0.2">
      <c r="A58" s="427"/>
      <c r="B58" s="438" t="s">
        <v>85</v>
      </c>
      <c r="C58" s="439">
        <f>ROUND(D55,4)</f>
        <v>1.6000000000000001E-3</v>
      </c>
      <c r="D58" s="440">
        <f>ROUND(B51,4)</f>
        <v>2.5000000000000001E-3</v>
      </c>
      <c r="E58" s="441">
        <f>ROUND(D53,2)</f>
        <v>0.14000000000000001</v>
      </c>
      <c r="F58" s="442">
        <f>ROUND(K55,4)</f>
        <v>-3.2000000000000002E-3</v>
      </c>
      <c r="G58" s="443">
        <f>ROUND(K56,0)</f>
        <v>458</v>
      </c>
    </row>
    <row r="59" spans="1:17" ht="28.5" hidden="1" customHeight="1" x14ac:dyDescent="0.2">
      <c r="A59" s="427"/>
      <c r="B59" s="438" t="s">
        <v>86</v>
      </c>
      <c r="C59" s="444"/>
      <c r="D59" s="444"/>
      <c r="E59" s="441">
        <f>ROUND(E53,2)</f>
        <v>2.27</v>
      </c>
      <c r="F59" s="442">
        <f>ROUND(L55,4)</f>
        <v>2.2000000000000001E-3</v>
      </c>
      <c r="G59" s="443">
        <f>ROUND(L56,0)</f>
        <v>-310</v>
      </c>
    </row>
    <row r="60" spans="1:17" ht="28.5" hidden="1" customHeight="1" x14ac:dyDescent="0.2">
      <c r="A60" s="427"/>
      <c r="B60" s="438" t="s">
        <v>87</v>
      </c>
      <c r="C60" s="264" t="s">
        <v>102</v>
      </c>
      <c r="D60" s="264" t="s">
        <v>103</v>
      </c>
      <c r="E60" s="445" t="s">
        <v>95</v>
      </c>
      <c r="F60" s="445" t="s">
        <v>104</v>
      </c>
      <c r="G60" s="264" t="s">
        <v>97</v>
      </c>
    </row>
    <row r="61" spans="1:17" ht="28.5" hidden="1" customHeight="1" x14ac:dyDescent="0.2">
      <c r="A61" s="427"/>
      <c r="B61" s="446" t="s">
        <v>93</v>
      </c>
      <c r="C61" s="264" t="str">
        <f>CONCATENATE(C58*100,B60)</f>
        <v>0,16%</v>
      </c>
      <c r="D61" s="264" t="str">
        <f>CONCATENATE(D58*100,B60)</f>
        <v>0,25%</v>
      </c>
      <c r="E61" s="264" t="str">
        <f>CONCATENATE(E57," ",B57,E58,B58,E59,B59)</f>
        <v>0,62 (0,14-2,27)</v>
      </c>
      <c r="F61" s="264" t="str">
        <f>CONCATENATE(F57*100,B60," ",B57,F58*100,B60," ",B61," ",F59*100,B60,B59)</f>
        <v>0,1% (-0,32% a 0,22%)</v>
      </c>
      <c r="G61" s="264" t="str">
        <f>CONCATENATE(G57," ",B57,G58," ",B61," ",G59,B59)</f>
        <v>1037 (458 a -310)</v>
      </c>
    </row>
    <row r="62" spans="1:17" ht="28.5" hidden="1" customHeight="1" x14ac:dyDescent="0.2"/>
    <row r="63" spans="1:17" ht="28.5" hidden="1" customHeight="1" x14ac:dyDescent="0.2"/>
    <row r="64" spans="1:17" ht="30" hidden="1" customHeight="1" x14ac:dyDescent="0.2">
      <c r="A64" s="348" t="s">
        <v>285</v>
      </c>
      <c r="B64" s="349"/>
      <c r="C64" s="349"/>
      <c r="O64" s="350"/>
      <c r="P64" s="351"/>
      <c r="Q64" s="279"/>
    </row>
    <row r="65" spans="1:16" ht="30" hidden="1" customHeight="1" x14ac:dyDescent="0.2">
      <c r="A65" s="352"/>
      <c r="B65" s="524" t="s">
        <v>231</v>
      </c>
      <c r="C65" s="525"/>
      <c r="D65" s="526"/>
      <c r="E65" s="524" t="s">
        <v>232</v>
      </c>
      <c r="F65" s="526"/>
      <c r="G65" s="353" t="s">
        <v>251</v>
      </c>
      <c r="H65" s="524" t="s">
        <v>252</v>
      </c>
      <c r="I65" s="525"/>
      <c r="J65" s="526"/>
      <c r="K65" s="524" t="s">
        <v>253</v>
      </c>
      <c r="L65" s="526"/>
      <c r="M65" s="353" t="s">
        <v>376</v>
      </c>
      <c r="N65" s="351"/>
    </row>
    <row r="66" spans="1:16" ht="30" hidden="1" customHeight="1" x14ac:dyDescent="0.2">
      <c r="A66" s="352" t="s">
        <v>233</v>
      </c>
      <c r="B66" s="354" t="s">
        <v>228</v>
      </c>
      <c r="C66" s="354" t="s">
        <v>227</v>
      </c>
      <c r="D66" s="354" t="s">
        <v>7</v>
      </c>
      <c r="E66" s="354" t="s">
        <v>228</v>
      </c>
      <c r="F66" s="354" t="s">
        <v>227</v>
      </c>
      <c r="G66" s="355" t="s">
        <v>234</v>
      </c>
      <c r="H66" s="356" t="s">
        <v>228</v>
      </c>
      <c r="I66" s="356" t="s">
        <v>227</v>
      </c>
      <c r="J66" s="356" t="s">
        <v>7</v>
      </c>
      <c r="K66" s="354" t="s">
        <v>228</v>
      </c>
      <c r="L66" s="354" t="s">
        <v>227</v>
      </c>
      <c r="M66" s="355" t="s">
        <v>234</v>
      </c>
      <c r="N66" s="351"/>
      <c r="O66" s="277" t="s">
        <v>94</v>
      </c>
      <c r="P66" s="277" t="s">
        <v>94</v>
      </c>
    </row>
    <row r="67" spans="1:16" ht="18" hidden="1" customHeight="1" x14ac:dyDescent="0.2">
      <c r="A67" s="357" t="s">
        <v>229</v>
      </c>
      <c r="B67" s="358">
        <v>978</v>
      </c>
      <c r="C67" s="358">
        <v>472</v>
      </c>
      <c r="D67" s="359">
        <f t="shared" ref="D67:D68" si="28">B67+C67</f>
        <v>1450</v>
      </c>
      <c r="E67" s="358">
        <v>4</v>
      </c>
      <c r="F67" s="358">
        <v>2</v>
      </c>
      <c r="G67" s="360">
        <v>1</v>
      </c>
      <c r="H67" s="361">
        <f t="shared" ref="H67:H68" si="29">B67*G67</f>
        <v>978</v>
      </c>
      <c r="I67" s="361">
        <f t="shared" ref="I67:I68" si="30">C67*G67</f>
        <v>472</v>
      </c>
      <c r="J67" s="361">
        <f>H67+I67</f>
        <v>1450</v>
      </c>
      <c r="K67" s="362">
        <f>E67/H67</f>
        <v>4.0899795501022499E-3</v>
      </c>
      <c r="L67" s="362">
        <f>F67/I67</f>
        <v>4.2372881355932203E-3</v>
      </c>
      <c r="M67" s="363">
        <v>64.8</v>
      </c>
      <c r="N67" s="364">
        <f t="shared" ref="N67:N68" si="31">M67*D67</f>
        <v>93960</v>
      </c>
      <c r="O67" s="365" t="str">
        <f t="shared" ref="O67:O69" si="32">CONCATENATE(E67," ",$O$4," ",B67)</f>
        <v>4 / 978</v>
      </c>
      <c r="P67" s="365" t="str">
        <f t="shared" ref="P67:P69" si="33">CONCATENATE(F67," ",$P$4," ",C67)</f>
        <v>2 / 472</v>
      </c>
    </row>
    <row r="68" spans="1:16" ht="18" hidden="1" customHeight="1" x14ac:dyDescent="0.2">
      <c r="A68" s="357" t="s">
        <v>230</v>
      </c>
      <c r="B68" s="358">
        <v>1095</v>
      </c>
      <c r="C68" s="358">
        <v>1104</v>
      </c>
      <c r="D68" s="359">
        <f t="shared" si="28"/>
        <v>2199</v>
      </c>
      <c r="E68" s="358">
        <v>1</v>
      </c>
      <c r="F68" s="358">
        <v>5</v>
      </c>
      <c r="G68" s="360">
        <v>1</v>
      </c>
      <c r="H68" s="361">
        <f t="shared" si="29"/>
        <v>1095</v>
      </c>
      <c r="I68" s="361">
        <f t="shared" si="30"/>
        <v>1104</v>
      </c>
      <c r="J68" s="361">
        <f t="shared" ref="J68" si="34">H68+I68</f>
        <v>2199</v>
      </c>
      <c r="K68" s="362">
        <f t="shared" ref="K68" si="35">E68/H68</f>
        <v>9.1324200913242006E-4</v>
      </c>
      <c r="L68" s="362">
        <f t="shared" ref="L68" si="36">F68/I68</f>
        <v>4.528985507246377E-3</v>
      </c>
      <c r="M68" s="363">
        <v>64.3</v>
      </c>
      <c r="N68" s="364">
        <f t="shared" si="31"/>
        <v>141395.69999999998</v>
      </c>
      <c r="O68" s="365" t="str">
        <f t="shared" si="32"/>
        <v>1 / 1095</v>
      </c>
      <c r="P68" s="365" t="str">
        <f t="shared" si="33"/>
        <v>5 / 1104</v>
      </c>
    </row>
    <row r="69" spans="1:16" ht="18" hidden="1" customHeight="1" x14ac:dyDescent="0.2">
      <c r="A69" s="366">
        <f>COUNT(B67:B68)</f>
        <v>2</v>
      </c>
      <c r="B69" s="367">
        <f>SUM(B67:B68)</f>
        <v>2073</v>
      </c>
      <c r="C69" s="367">
        <f>SUM(C67:C68)</f>
        <v>1576</v>
      </c>
      <c r="D69" s="367">
        <f>SUM(D67:D68)</f>
        <v>3649</v>
      </c>
      <c r="E69" s="367">
        <f>SUM(E67:E68)</f>
        <v>5</v>
      </c>
      <c r="F69" s="367">
        <f>SUM(F67:F68)</f>
        <v>7</v>
      </c>
      <c r="G69" s="368">
        <f>J69/D69</f>
        <v>1</v>
      </c>
      <c r="H69" s="369">
        <f>SUM(H67:H68)</f>
        <v>2073</v>
      </c>
      <c r="I69" s="369">
        <f>SUM(I67:I68)</f>
        <v>1576</v>
      </c>
      <c r="J69" s="369">
        <f>H69+I69</f>
        <v>3649</v>
      </c>
      <c r="K69" s="370">
        <f>E69/H69</f>
        <v>2.41196333815726E-3</v>
      </c>
      <c r="L69" s="371">
        <f>F69/I69</f>
        <v>4.4416243654822338E-3</v>
      </c>
      <c r="M69" s="372">
        <f>N69/D69</f>
        <v>64.498684571115376</v>
      </c>
      <c r="N69" s="373">
        <f>SUM(N67:N68)</f>
        <v>235355.69999999998</v>
      </c>
      <c r="O69" s="374" t="str">
        <f t="shared" si="32"/>
        <v>5 / 2073</v>
      </c>
      <c r="P69" s="374" t="str">
        <f t="shared" si="33"/>
        <v>7 / 1576</v>
      </c>
    </row>
    <row r="70" spans="1:16" ht="21" hidden="1" customHeight="1" x14ac:dyDescent="0.2">
      <c r="D70" s="375"/>
      <c r="E70" s="375"/>
      <c r="F70" s="376"/>
    </row>
    <row r="71" spans="1:16" ht="21" customHeight="1" thickBot="1" x14ac:dyDescent="0.25">
      <c r="D71" s="375"/>
      <c r="E71" s="375"/>
      <c r="J71" s="463"/>
      <c r="K71" s="463"/>
    </row>
    <row r="72" spans="1:16" ht="30" customHeight="1" thickBot="1" x14ac:dyDescent="0.25">
      <c r="A72" s="527" t="s">
        <v>286</v>
      </c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9"/>
    </row>
    <row r="73" spans="1:16" ht="38.25" customHeight="1" thickBot="1" x14ac:dyDescent="0.25">
      <c r="A73" s="519" t="s">
        <v>235</v>
      </c>
      <c r="B73" s="519" t="s">
        <v>236</v>
      </c>
      <c r="C73" s="530" t="s">
        <v>237</v>
      </c>
      <c r="D73" s="519" t="s">
        <v>238</v>
      </c>
      <c r="E73" s="519" t="s">
        <v>273</v>
      </c>
      <c r="F73" s="519" t="s">
        <v>275</v>
      </c>
      <c r="G73" s="519" t="s">
        <v>274</v>
      </c>
      <c r="H73" s="519" t="s">
        <v>276</v>
      </c>
      <c r="I73" s="519" t="s">
        <v>277</v>
      </c>
      <c r="J73" s="519" t="s">
        <v>375</v>
      </c>
      <c r="K73" s="519" t="s">
        <v>239</v>
      </c>
      <c r="L73" s="521" t="s">
        <v>240</v>
      </c>
      <c r="M73" s="522"/>
      <c r="N73" s="522"/>
      <c r="O73" s="523"/>
    </row>
    <row r="74" spans="1:16" ht="40.5" customHeight="1" thickBot="1" x14ac:dyDescent="0.25">
      <c r="A74" s="520"/>
      <c r="B74" s="520"/>
      <c r="C74" s="531"/>
      <c r="D74" s="520"/>
      <c r="E74" s="520"/>
      <c r="F74" s="520"/>
      <c r="G74" s="520"/>
      <c r="H74" s="520"/>
      <c r="I74" s="520"/>
      <c r="J74" s="520"/>
      <c r="K74" s="520"/>
      <c r="L74" s="377" t="s">
        <v>241</v>
      </c>
      <c r="M74" s="378" t="s">
        <v>96</v>
      </c>
      <c r="N74" s="379" t="s">
        <v>97</v>
      </c>
      <c r="O74" s="380" t="s">
        <v>242</v>
      </c>
    </row>
    <row r="75" spans="1:16" ht="30" customHeight="1" x14ac:dyDescent="0.25">
      <c r="A75" s="508">
        <v>9</v>
      </c>
      <c r="B75" s="381" t="s">
        <v>229</v>
      </c>
      <c r="C75" s="382" t="s">
        <v>243</v>
      </c>
      <c r="D75" s="383"/>
      <c r="E75" s="384">
        <f>G67</f>
        <v>1</v>
      </c>
      <c r="F75" s="385" t="str">
        <f>O67</f>
        <v>4 / 978</v>
      </c>
      <c r="G75" s="386">
        <f>K67</f>
        <v>4.0899795501022499E-3</v>
      </c>
      <c r="H75" s="385" t="str">
        <f>P67</f>
        <v>2 / 472</v>
      </c>
      <c r="I75" s="386">
        <f>L67</f>
        <v>4.2372881355932203E-3</v>
      </c>
      <c r="J75" s="384">
        <f>M67</f>
        <v>64.8</v>
      </c>
      <c r="K75" s="387">
        <v>0.58499999999999996</v>
      </c>
      <c r="L75" s="388" t="s">
        <v>133</v>
      </c>
      <c r="M75" s="389" t="s">
        <v>134</v>
      </c>
      <c r="N75" s="389" t="s">
        <v>135</v>
      </c>
      <c r="O75" s="390">
        <v>2.5499999999999998E-2</v>
      </c>
    </row>
    <row r="76" spans="1:16" ht="30" customHeight="1" x14ac:dyDescent="0.25">
      <c r="A76" s="509"/>
      <c r="B76" s="381" t="s">
        <v>230</v>
      </c>
      <c r="C76" s="385" t="s">
        <v>243</v>
      </c>
      <c r="D76" s="383"/>
      <c r="E76" s="384">
        <f>G68</f>
        <v>1</v>
      </c>
      <c r="F76" s="385" t="str">
        <f>O68</f>
        <v>1 / 1095</v>
      </c>
      <c r="G76" s="386">
        <f>K68</f>
        <v>9.1324200913242006E-4</v>
      </c>
      <c r="H76" s="385" t="str">
        <f>P68</f>
        <v>5 / 1104</v>
      </c>
      <c r="I76" s="386">
        <f>L68</f>
        <v>4.528985507246377E-3</v>
      </c>
      <c r="J76" s="384">
        <f>M68</f>
        <v>64.3</v>
      </c>
      <c r="K76" s="387">
        <v>0.41499999999999998</v>
      </c>
      <c r="L76" s="388" t="s">
        <v>170</v>
      </c>
      <c r="M76" s="389" t="s">
        <v>171</v>
      </c>
      <c r="N76" s="389" t="s">
        <v>172</v>
      </c>
      <c r="O76" s="390" t="s">
        <v>173</v>
      </c>
    </row>
    <row r="77" spans="1:16" ht="30" customHeight="1" x14ac:dyDescent="0.2">
      <c r="A77" s="391" t="s">
        <v>244</v>
      </c>
      <c r="B77" s="392">
        <f>COUNT(G75:G76)</f>
        <v>2</v>
      </c>
      <c r="C77" s="393"/>
      <c r="D77" s="458" t="s">
        <v>289</v>
      </c>
      <c r="E77" s="395">
        <f t="shared" ref="E77" si="37">G69</f>
        <v>1</v>
      </c>
      <c r="F77" s="396" t="str">
        <f t="shared" ref="F77" si="38">O69</f>
        <v>5 / 2073</v>
      </c>
      <c r="G77" s="397">
        <f t="shared" ref="G77" si="39">K69</f>
        <v>2.41196333815726E-3</v>
      </c>
      <c r="H77" s="396" t="str">
        <f t="shared" ref="H77" si="40">P69</f>
        <v>7 / 1576</v>
      </c>
      <c r="I77" s="397">
        <f t="shared" ref="I77" si="41">L69</f>
        <v>4.4416243654822338E-3</v>
      </c>
      <c r="J77" s="398">
        <f t="shared" ref="J77" si="42">M69</f>
        <v>64.498684571115376</v>
      </c>
      <c r="K77" s="399">
        <v>1</v>
      </c>
      <c r="L77" s="400" t="s">
        <v>292</v>
      </c>
      <c r="M77" s="375"/>
      <c r="N77" s="278"/>
      <c r="O77" s="278"/>
    </row>
    <row r="78" spans="1:16" ht="7.5" customHeight="1" thickBot="1" x14ac:dyDescent="0.25">
      <c r="A78" s="401"/>
      <c r="B78" s="401"/>
      <c r="C78" s="402"/>
      <c r="D78" s="403"/>
      <c r="E78" s="365"/>
      <c r="F78" s="404"/>
      <c r="G78" s="405"/>
      <c r="H78" s="404"/>
      <c r="I78" s="406"/>
      <c r="J78" s="407"/>
      <c r="L78" s="375"/>
      <c r="M78" s="278"/>
      <c r="N78" s="278"/>
    </row>
    <row r="79" spans="1:16" s="279" customFormat="1" ht="46.5" customHeight="1" thickBot="1" x14ac:dyDescent="0.25">
      <c r="A79" s="408"/>
      <c r="B79" s="510" t="s">
        <v>287</v>
      </c>
      <c r="C79" s="511"/>
      <c r="D79" s="511"/>
      <c r="E79" s="511"/>
      <c r="F79" s="511"/>
      <c r="G79" s="511"/>
      <c r="H79" s="511"/>
      <c r="I79" s="512"/>
      <c r="J79" s="409" t="s">
        <v>267</v>
      </c>
      <c r="K79" s="410" t="s">
        <v>268</v>
      </c>
      <c r="L79" s="411" t="s">
        <v>241</v>
      </c>
      <c r="M79" s="412" t="s">
        <v>96</v>
      </c>
      <c r="N79" s="413" t="s">
        <v>97</v>
      </c>
      <c r="O79" s="278"/>
    </row>
    <row r="80" spans="1:16" ht="29.25" customHeight="1" thickBot="1" x14ac:dyDescent="0.25">
      <c r="A80" s="449" t="s">
        <v>246</v>
      </c>
      <c r="B80" s="513" t="s">
        <v>288</v>
      </c>
      <c r="C80" s="514"/>
      <c r="D80" s="514"/>
      <c r="E80" s="514"/>
      <c r="F80" s="514"/>
      <c r="G80" s="514"/>
      <c r="H80" s="514"/>
      <c r="I80" s="515"/>
      <c r="J80" s="414" t="s">
        <v>290</v>
      </c>
      <c r="K80" s="414" t="s">
        <v>291</v>
      </c>
      <c r="L80" s="415" t="s">
        <v>292</v>
      </c>
      <c r="M80" s="416" t="s">
        <v>293</v>
      </c>
      <c r="N80" s="416" t="s">
        <v>294</v>
      </c>
      <c r="O80" s="450" t="s">
        <v>254</v>
      </c>
    </row>
    <row r="81" spans="1:17" ht="28.5" hidden="1" customHeight="1" thickBot="1" x14ac:dyDescent="0.25"/>
    <row r="82" spans="1:17" ht="28.5" hidden="1" customHeight="1" thickBot="1" x14ac:dyDescent="0.25">
      <c r="A82" s="417" t="s">
        <v>248</v>
      </c>
      <c r="B82" s="418">
        <f>I77</f>
        <v>4.4416243654822338E-3</v>
      </c>
      <c r="C82" s="516" t="s">
        <v>105</v>
      </c>
      <c r="D82" s="517"/>
      <c r="E82" s="518"/>
      <c r="G82" s="94"/>
    </row>
    <row r="83" spans="1:17" ht="28.5" hidden="1" customHeight="1" thickBot="1" x14ac:dyDescent="0.25">
      <c r="A83" s="419"/>
      <c r="B83" s="4"/>
      <c r="C83" s="420" t="s">
        <v>100</v>
      </c>
      <c r="D83" s="421" t="s">
        <v>101</v>
      </c>
      <c r="E83" s="420" t="s">
        <v>249</v>
      </c>
      <c r="H83" s="445" t="s">
        <v>102</v>
      </c>
      <c r="I83" s="445" t="s">
        <v>103</v>
      </c>
      <c r="J83" s="445" t="s">
        <v>95</v>
      </c>
      <c r="K83" s="445" t="s">
        <v>96</v>
      </c>
      <c r="L83" s="445" t="s">
        <v>97</v>
      </c>
    </row>
    <row r="84" spans="1:17" ht="28.5" hidden="1" customHeight="1" thickBot="1" x14ac:dyDescent="0.25">
      <c r="A84" s="422"/>
      <c r="B84" s="307"/>
      <c r="C84" s="423">
        <v>0.52</v>
      </c>
      <c r="D84" s="424">
        <v>0.11</v>
      </c>
      <c r="E84" s="425">
        <v>2.48</v>
      </c>
      <c r="F84" s="426" t="s">
        <v>258</v>
      </c>
      <c r="H84" s="448" t="str">
        <f>C92</f>
        <v>0,23%</v>
      </c>
      <c r="I84" s="448" t="str">
        <f>D92</f>
        <v>0,44%</v>
      </c>
      <c r="J84" s="448" t="str">
        <f>E92</f>
        <v>0,52 (0,11-2,48)</v>
      </c>
      <c r="K84" s="448" t="str">
        <f>F92</f>
        <v>0,21% (-0,66% a 0,4%)</v>
      </c>
      <c r="L84" s="448" t="str">
        <f>G92</f>
        <v>469 (253 a -152)</v>
      </c>
    </row>
    <row r="85" spans="1:17" ht="28.5" hidden="1" customHeight="1" thickBot="1" x14ac:dyDescent="0.25">
      <c r="A85" s="427"/>
      <c r="B85" s="419"/>
      <c r="C85" s="4"/>
      <c r="D85" s="4"/>
      <c r="E85" s="4"/>
      <c r="F85" s="4"/>
      <c r="G85" s="4"/>
    </row>
    <row r="86" spans="1:17" ht="28.5" hidden="1" customHeight="1" thickBot="1" x14ac:dyDescent="0.25">
      <c r="A86" s="427"/>
      <c r="B86" s="428" t="s">
        <v>250</v>
      </c>
      <c r="C86" s="429"/>
      <c r="D86" s="430">
        <f>B82*C84</f>
        <v>2.3096446700507619E-3</v>
      </c>
      <c r="E86" s="431">
        <f>B82*D84</f>
        <v>4.8857868020304573E-4</v>
      </c>
      <c r="F86" s="432">
        <f>B82*E84</f>
        <v>1.101522842639594E-2</v>
      </c>
      <c r="G86" s="4"/>
      <c r="I86" s="451" t="s">
        <v>96</v>
      </c>
      <c r="J86" s="452">
        <f>B82-D86</f>
        <v>2.1319796954314719E-3</v>
      </c>
      <c r="K86" s="453">
        <f>B82-F86</f>
        <v>-6.5736040609137058E-3</v>
      </c>
      <c r="L86" s="454">
        <f>B82-E86</f>
        <v>3.9530456852791881E-3</v>
      </c>
    </row>
    <row r="87" spans="1:17" ht="28.5" hidden="1" customHeight="1" x14ac:dyDescent="0.2">
      <c r="A87" s="427"/>
      <c r="B87" s="419"/>
      <c r="C87" s="4"/>
      <c r="D87" s="4"/>
      <c r="E87" s="4"/>
      <c r="F87" s="4"/>
      <c r="G87" s="4"/>
      <c r="I87" s="451" t="s">
        <v>97</v>
      </c>
      <c r="J87" s="455">
        <f>1/J86</f>
        <v>469.04761904761909</v>
      </c>
      <c r="K87" s="456">
        <f>1/L86</f>
        <v>252.96950240770462</v>
      </c>
      <c r="L87" s="457">
        <f>1/K86</f>
        <v>-152.12355212355212</v>
      </c>
    </row>
    <row r="88" spans="1:17" ht="28.5" hidden="1" customHeight="1" x14ac:dyDescent="0.2">
      <c r="A88" s="427"/>
      <c r="B88" s="433" t="s">
        <v>84</v>
      </c>
      <c r="C88" s="434"/>
      <c r="D88" s="434"/>
      <c r="E88" s="435">
        <f>ROUND(C84,2)</f>
        <v>0.52</v>
      </c>
      <c r="F88" s="436">
        <f>ROUND(J86,4)</f>
        <v>2.0999999999999999E-3</v>
      </c>
      <c r="G88" s="437">
        <f>ROUND(J87,0)</f>
        <v>469</v>
      </c>
    </row>
    <row r="89" spans="1:17" ht="28.5" hidden="1" customHeight="1" x14ac:dyDescent="0.2">
      <c r="A89" s="427"/>
      <c r="B89" s="438" t="s">
        <v>85</v>
      </c>
      <c r="C89" s="439">
        <f>ROUND(D86,4)</f>
        <v>2.3E-3</v>
      </c>
      <c r="D89" s="440">
        <f>ROUND(B82,4)</f>
        <v>4.4000000000000003E-3</v>
      </c>
      <c r="E89" s="441">
        <f>ROUND(D84,2)</f>
        <v>0.11</v>
      </c>
      <c r="F89" s="442">
        <f>ROUND(K86,4)</f>
        <v>-6.6E-3</v>
      </c>
      <c r="G89" s="443">
        <f>ROUND(K87,0)</f>
        <v>253</v>
      </c>
    </row>
    <row r="90" spans="1:17" ht="28.5" hidden="1" customHeight="1" x14ac:dyDescent="0.2">
      <c r="A90" s="427"/>
      <c r="B90" s="438" t="s">
        <v>86</v>
      </c>
      <c r="C90" s="444"/>
      <c r="D90" s="444"/>
      <c r="E90" s="441">
        <f>ROUND(E84,2)</f>
        <v>2.48</v>
      </c>
      <c r="F90" s="442">
        <f>ROUND(L86,4)</f>
        <v>4.0000000000000001E-3</v>
      </c>
      <c r="G90" s="443">
        <f>ROUND(L87,0)</f>
        <v>-152</v>
      </c>
    </row>
    <row r="91" spans="1:17" ht="28.5" hidden="1" customHeight="1" x14ac:dyDescent="0.2">
      <c r="A91" s="427"/>
      <c r="B91" s="438" t="s">
        <v>87</v>
      </c>
      <c r="C91" s="264" t="s">
        <v>102</v>
      </c>
      <c r="D91" s="264" t="s">
        <v>103</v>
      </c>
      <c r="E91" s="445" t="s">
        <v>95</v>
      </c>
      <c r="F91" s="445" t="s">
        <v>104</v>
      </c>
      <c r="G91" s="264" t="s">
        <v>97</v>
      </c>
    </row>
    <row r="92" spans="1:17" ht="28.5" hidden="1" customHeight="1" x14ac:dyDescent="0.2">
      <c r="A92" s="427"/>
      <c r="B92" s="446" t="s">
        <v>93</v>
      </c>
      <c r="C92" s="264" t="str">
        <f>CONCATENATE(C89*100,B91)</f>
        <v>0,23%</v>
      </c>
      <c r="D92" s="264" t="str">
        <f>CONCATENATE(D89*100,B91)</f>
        <v>0,44%</v>
      </c>
      <c r="E92" s="264" t="str">
        <f>CONCATENATE(E88," ",B88,E89,B89,E90,B90)</f>
        <v>0,52 (0,11-2,48)</v>
      </c>
      <c r="F92" s="264" t="str">
        <f>CONCATENATE(F88*100,B91," ",B88,F89*100,B91," ",B92," ",F90*100,B91,B90)</f>
        <v>0,21% (-0,66% a 0,4%)</v>
      </c>
      <c r="G92" s="264" t="str">
        <f>CONCATENATE(G88," ",B88,G89," ",B92," ",G90,B90)</f>
        <v>469 (253 a -152)</v>
      </c>
    </row>
    <row r="93" spans="1:17" ht="28.5" hidden="1" customHeight="1" x14ac:dyDescent="0.2"/>
    <row r="94" spans="1:17" ht="28.5" hidden="1" customHeight="1" x14ac:dyDescent="0.2"/>
    <row r="95" spans="1:17" ht="30" hidden="1" customHeight="1" x14ac:dyDescent="0.2">
      <c r="A95" s="348" t="s">
        <v>295</v>
      </c>
      <c r="B95" s="349"/>
      <c r="C95" s="349"/>
      <c r="O95" s="350"/>
      <c r="P95" s="351"/>
      <c r="Q95" s="279"/>
    </row>
    <row r="96" spans="1:17" ht="30" hidden="1" customHeight="1" x14ac:dyDescent="0.2">
      <c r="A96" s="352"/>
      <c r="B96" s="524" t="s">
        <v>231</v>
      </c>
      <c r="C96" s="525"/>
      <c r="D96" s="526"/>
      <c r="E96" s="524" t="s">
        <v>232</v>
      </c>
      <c r="F96" s="526"/>
      <c r="G96" s="353" t="s">
        <v>251</v>
      </c>
      <c r="H96" s="524" t="s">
        <v>252</v>
      </c>
      <c r="I96" s="525"/>
      <c r="J96" s="526"/>
      <c r="K96" s="524" t="s">
        <v>253</v>
      </c>
      <c r="L96" s="526"/>
      <c r="M96" s="353" t="s">
        <v>376</v>
      </c>
      <c r="N96" s="351"/>
    </row>
    <row r="97" spans="1:16" ht="30" hidden="1" customHeight="1" x14ac:dyDescent="0.2">
      <c r="A97" s="352" t="s">
        <v>233</v>
      </c>
      <c r="B97" s="354" t="s">
        <v>228</v>
      </c>
      <c r="C97" s="354" t="s">
        <v>227</v>
      </c>
      <c r="D97" s="354" t="s">
        <v>7</v>
      </c>
      <c r="E97" s="354" t="s">
        <v>228</v>
      </c>
      <c r="F97" s="354" t="s">
        <v>227</v>
      </c>
      <c r="G97" s="355" t="s">
        <v>234</v>
      </c>
      <c r="H97" s="356" t="s">
        <v>228</v>
      </c>
      <c r="I97" s="356" t="s">
        <v>227</v>
      </c>
      <c r="J97" s="356" t="s">
        <v>7</v>
      </c>
      <c r="K97" s="354" t="s">
        <v>228</v>
      </c>
      <c r="L97" s="354" t="s">
        <v>227</v>
      </c>
      <c r="M97" s="355" t="s">
        <v>234</v>
      </c>
      <c r="N97" s="351"/>
      <c r="O97" s="277" t="s">
        <v>94</v>
      </c>
      <c r="P97" s="277" t="s">
        <v>94</v>
      </c>
    </row>
    <row r="98" spans="1:16" ht="18" hidden="1" customHeight="1" x14ac:dyDescent="0.2">
      <c r="A98" s="357" t="s">
        <v>229</v>
      </c>
      <c r="B98" s="358">
        <v>978</v>
      </c>
      <c r="C98" s="358">
        <v>472</v>
      </c>
      <c r="D98" s="359">
        <f t="shared" ref="D98:D99" si="43">B98+C98</f>
        <v>1450</v>
      </c>
      <c r="E98" s="358">
        <v>6</v>
      </c>
      <c r="F98" s="358">
        <v>4</v>
      </c>
      <c r="G98" s="360">
        <v>1</v>
      </c>
      <c r="H98" s="361">
        <f t="shared" ref="H98:H99" si="44">B98*G98</f>
        <v>978</v>
      </c>
      <c r="I98" s="361">
        <f t="shared" ref="I98:I99" si="45">C98*G98</f>
        <v>472</v>
      </c>
      <c r="J98" s="361">
        <f>H98+I98</f>
        <v>1450</v>
      </c>
      <c r="K98" s="362">
        <f>E98/H98</f>
        <v>6.1349693251533744E-3</v>
      </c>
      <c r="L98" s="362">
        <f>F98/I98</f>
        <v>8.4745762711864406E-3</v>
      </c>
      <c r="M98" s="363">
        <v>64.8</v>
      </c>
      <c r="N98" s="364">
        <f t="shared" ref="N98:N99" si="46">M98*D98</f>
        <v>93960</v>
      </c>
      <c r="O98" s="365" t="str">
        <f t="shared" ref="O98:O100" si="47">CONCATENATE(E98," ",$O$4," ",B98)</f>
        <v>6 / 978</v>
      </c>
      <c r="P98" s="365" t="str">
        <f t="shared" ref="P98:P100" si="48">CONCATENATE(F98," ",$P$4," ",C98)</f>
        <v>4 / 472</v>
      </c>
    </row>
    <row r="99" spans="1:16" ht="18" hidden="1" customHeight="1" x14ac:dyDescent="0.2">
      <c r="A99" s="357" t="s">
        <v>230</v>
      </c>
      <c r="B99" s="358">
        <v>1095</v>
      </c>
      <c r="C99" s="358">
        <v>1104</v>
      </c>
      <c r="D99" s="359">
        <f t="shared" si="43"/>
        <v>2199</v>
      </c>
      <c r="E99" s="358">
        <v>3</v>
      </c>
      <c r="F99" s="358">
        <v>5</v>
      </c>
      <c r="G99" s="360">
        <v>1</v>
      </c>
      <c r="H99" s="361">
        <f t="shared" si="44"/>
        <v>1095</v>
      </c>
      <c r="I99" s="361">
        <f t="shared" si="45"/>
        <v>1104</v>
      </c>
      <c r="J99" s="361">
        <f t="shared" ref="J99" si="49">H99+I99</f>
        <v>2199</v>
      </c>
      <c r="K99" s="362">
        <f t="shared" ref="K99" si="50">E99/H99</f>
        <v>2.7397260273972603E-3</v>
      </c>
      <c r="L99" s="362">
        <f t="shared" ref="L99" si="51">F99/I99</f>
        <v>4.528985507246377E-3</v>
      </c>
      <c r="M99" s="363">
        <v>64.3</v>
      </c>
      <c r="N99" s="364">
        <f t="shared" si="46"/>
        <v>141395.69999999998</v>
      </c>
      <c r="O99" s="365" t="str">
        <f t="shared" si="47"/>
        <v>3 / 1095</v>
      </c>
      <c r="P99" s="365" t="str">
        <f t="shared" si="48"/>
        <v>5 / 1104</v>
      </c>
    </row>
    <row r="100" spans="1:16" ht="18" hidden="1" customHeight="1" x14ac:dyDescent="0.2">
      <c r="A100" s="366">
        <f>COUNT(B98:B99)</f>
        <v>2</v>
      </c>
      <c r="B100" s="367">
        <f>SUM(B98:B99)</f>
        <v>2073</v>
      </c>
      <c r="C100" s="367">
        <f>SUM(C98:C99)</f>
        <v>1576</v>
      </c>
      <c r="D100" s="367">
        <f>SUM(D98:D99)</f>
        <v>3649</v>
      </c>
      <c r="E100" s="367">
        <f>SUM(E98:E99)</f>
        <v>9</v>
      </c>
      <c r="F100" s="367">
        <f>SUM(F98:F99)</f>
        <v>9</v>
      </c>
      <c r="G100" s="368">
        <f>J100/D100</f>
        <v>1</v>
      </c>
      <c r="H100" s="369">
        <f>SUM(H98:H99)</f>
        <v>2073</v>
      </c>
      <c r="I100" s="369">
        <f>SUM(I98:I99)</f>
        <v>1576</v>
      </c>
      <c r="J100" s="369">
        <f>H100+I100</f>
        <v>3649</v>
      </c>
      <c r="K100" s="370">
        <f>E100/H100</f>
        <v>4.3415340086830683E-3</v>
      </c>
      <c r="L100" s="371">
        <f>F100/I100</f>
        <v>5.7106598984771571E-3</v>
      </c>
      <c r="M100" s="372">
        <f>N100/D100</f>
        <v>64.498684571115376</v>
      </c>
      <c r="N100" s="373">
        <f>SUM(N98:N99)</f>
        <v>235355.69999999998</v>
      </c>
      <c r="O100" s="374" t="str">
        <f t="shared" si="47"/>
        <v>9 / 2073</v>
      </c>
      <c r="P100" s="374" t="str">
        <f t="shared" si="48"/>
        <v>9 / 1576</v>
      </c>
    </row>
    <row r="101" spans="1:16" ht="21" hidden="1" customHeight="1" x14ac:dyDescent="0.2">
      <c r="D101" s="375"/>
      <c r="E101" s="375"/>
      <c r="F101" s="376"/>
    </row>
    <row r="102" spans="1:16" ht="21" customHeight="1" thickBot="1" x14ac:dyDescent="0.25">
      <c r="D102" s="375"/>
      <c r="E102" s="375"/>
      <c r="J102" s="463"/>
      <c r="K102" s="463"/>
    </row>
    <row r="103" spans="1:16" ht="30" customHeight="1" thickBot="1" x14ac:dyDescent="0.25">
      <c r="A103" s="527" t="s">
        <v>296</v>
      </c>
      <c r="B103" s="528"/>
      <c r="C103" s="528"/>
      <c r="D103" s="528"/>
      <c r="E103" s="528"/>
      <c r="F103" s="528"/>
      <c r="G103" s="528"/>
      <c r="H103" s="528"/>
      <c r="I103" s="528"/>
      <c r="J103" s="528"/>
      <c r="K103" s="528"/>
      <c r="L103" s="528"/>
      <c r="M103" s="528"/>
      <c r="N103" s="528"/>
      <c r="O103" s="529"/>
    </row>
    <row r="104" spans="1:16" ht="38.25" customHeight="1" thickBot="1" x14ac:dyDescent="0.25">
      <c r="A104" s="519" t="s">
        <v>235</v>
      </c>
      <c r="B104" s="519" t="s">
        <v>236</v>
      </c>
      <c r="C104" s="530" t="s">
        <v>237</v>
      </c>
      <c r="D104" s="519" t="s">
        <v>238</v>
      </c>
      <c r="E104" s="519" t="s">
        <v>273</v>
      </c>
      <c r="F104" s="519" t="s">
        <v>275</v>
      </c>
      <c r="G104" s="519" t="s">
        <v>274</v>
      </c>
      <c r="H104" s="519" t="s">
        <v>276</v>
      </c>
      <c r="I104" s="519" t="s">
        <v>277</v>
      </c>
      <c r="J104" s="519" t="s">
        <v>375</v>
      </c>
      <c r="K104" s="519" t="s">
        <v>239</v>
      </c>
      <c r="L104" s="521" t="s">
        <v>240</v>
      </c>
      <c r="M104" s="522"/>
      <c r="N104" s="522"/>
      <c r="O104" s="523"/>
    </row>
    <row r="105" spans="1:16" ht="40.5" customHeight="1" thickBot="1" x14ac:dyDescent="0.25">
      <c r="A105" s="520"/>
      <c r="B105" s="520"/>
      <c r="C105" s="531"/>
      <c r="D105" s="520"/>
      <c r="E105" s="520"/>
      <c r="F105" s="520"/>
      <c r="G105" s="520"/>
      <c r="H105" s="520"/>
      <c r="I105" s="520"/>
      <c r="J105" s="520"/>
      <c r="K105" s="520"/>
      <c r="L105" s="377" t="s">
        <v>241</v>
      </c>
      <c r="M105" s="378" t="s">
        <v>96</v>
      </c>
      <c r="N105" s="379" t="s">
        <v>97</v>
      </c>
      <c r="O105" s="380" t="s">
        <v>242</v>
      </c>
    </row>
    <row r="106" spans="1:16" ht="30" customHeight="1" x14ac:dyDescent="0.25">
      <c r="A106" s="508">
        <v>8</v>
      </c>
      <c r="B106" s="381" t="s">
        <v>229</v>
      </c>
      <c r="C106" s="382" t="s">
        <v>243</v>
      </c>
      <c r="D106" s="383"/>
      <c r="E106" s="384">
        <f>G98</f>
        <v>1</v>
      </c>
      <c r="F106" s="385" t="str">
        <f>O98</f>
        <v>6 / 978</v>
      </c>
      <c r="G106" s="386">
        <f>K98</f>
        <v>6.1349693251533744E-3</v>
      </c>
      <c r="H106" s="385" t="str">
        <f>P98</f>
        <v>4 / 472</v>
      </c>
      <c r="I106" s="386">
        <f>L98</f>
        <v>8.4745762711864406E-3</v>
      </c>
      <c r="J106" s="384">
        <f>M98</f>
        <v>64.8</v>
      </c>
      <c r="K106" s="387">
        <v>0.56200000000000006</v>
      </c>
      <c r="L106" s="388" t="s">
        <v>142</v>
      </c>
      <c r="M106" s="389" t="s">
        <v>143</v>
      </c>
      <c r="N106" s="389" t="s">
        <v>144</v>
      </c>
      <c r="O106" s="390">
        <v>7.7299999999999994E-2</v>
      </c>
    </row>
    <row r="107" spans="1:16" ht="30" customHeight="1" x14ac:dyDescent="0.25">
      <c r="A107" s="509"/>
      <c r="B107" s="381" t="s">
        <v>230</v>
      </c>
      <c r="C107" s="385" t="s">
        <v>243</v>
      </c>
      <c r="D107" s="383"/>
      <c r="E107" s="384">
        <f>G99</f>
        <v>1</v>
      </c>
      <c r="F107" s="385" t="str">
        <f>O99</f>
        <v>3 / 1095</v>
      </c>
      <c r="G107" s="386">
        <f>K99</f>
        <v>2.7397260273972603E-3</v>
      </c>
      <c r="H107" s="385" t="str">
        <f>P99</f>
        <v>5 / 1104</v>
      </c>
      <c r="I107" s="386">
        <f>L99</f>
        <v>4.528985507246377E-3</v>
      </c>
      <c r="J107" s="384">
        <f>M99</f>
        <v>64.3</v>
      </c>
      <c r="K107" s="387">
        <v>0.438</v>
      </c>
      <c r="L107" s="388" t="s">
        <v>191</v>
      </c>
      <c r="M107" s="389" t="s">
        <v>192</v>
      </c>
      <c r="N107" s="389" t="s">
        <v>193</v>
      </c>
      <c r="O107" s="390" t="s">
        <v>194</v>
      </c>
    </row>
    <row r="108" spans="1:16" ht="30" customHeight="1" x14ac:dyDescent="0.2">
      <c r="A108" s="391" t="s">
        <v>244</v>
      </c>
      <c r="B108" s="392">
        <f>COUNT(G106:G107)</f>
        <v>2</v>
      </c>
      <c r="C108" s="393"/>
      <c r="D108" s="394" t="s">
        <v>245</v>
      </c>
      <c r="E108" s="395">
        <f t="shared" ref="E108" si="52">G100</f>
        <v>1</v>
      </c>
      <c r="F108" s="396" t="str">
        <f t="shared" ref="F108" si="53">O100</f>
        <v>9 / 2073</v>
      </c>
      <c r="G108" s="397">
        <f t="shared" ref="G108" si="54">K100</f>
        <v>4.3415340086830683E-3</v>
      </c>
      <c r="H108" s="396" t="str">
        <f t="shared" ref="H108" si="55">P100</f>
        <v>9 / 1576</v>
      </c>
      <c r="I108" s="397">
        <f t="shared" ref="I108" si="56">L100</f>
        <v>5.7106598984771571E-3</v>
      </c>
      <c r="J108" s="398">
        <f t="shared" ref="J108" si="57">M100</f>
        <v>64.498684571115376</v>
      </c>
      <c r="K108" s="399">
        <v>1</v>
      </c>
      <c r="L108" s="400" t="s">
        <v>299</v>
      </c>
      <c r="M108" s="375"/>
      <c r="N108" s="278"/>
      <c r="O108" s="278"/>
    </row>
    <row r="109" spans="1:16" ht="7.5" customHeight="1" thickBot="1" x14ac:dyDescent="0.25">
      <c r="A109" s="401"/>
      <c r="B109" s="401"/>
      <c r="C109" s="402"/>
      <c r="D109" s="403"/>
      <c r="E109" s="365"/>
      <c r="F109" s="404"/>
      <c r="G109" s="405"/>
      <c r="H109" s="404"/>
      <c r="I109" s="406"/>
      <c r="J109" s="407"/>
      <c r="L109" s="375"/>
      <c r="M109" s="278"/>
      <c r="N109" s="278"/>
    </row>
    <row r="110" spans="1:16" s="279" customFormat="1" ht="46.5" customHeight="1" thickBot="1" x14ac:dyDescent="0.25">
      <c r="A110" s="408"/>
      <c r="B110" s="510" t="s">
        <v>297</v>
      </c>
      <c r="C110" s="511"/>
      <c r="D110" s="511"/>
      <c r="E110" s="511"/>
      <c r="F110" s="511"/>
      <c r="G110" s="511"/>
      <c r="H110" s="511"/>
      <c r="I110" s="512"/>
      <c r="J110" s="409" t="s">
        <v>267</v>
      </c>
      <c r="K110" s="410" t="s">
        <v>268</v>
      </c>
      <c r="L110" s="411" t="s">
        <v>241</v>
      </c>
      <c r="M110" s="412" t="s">
        <v>96</v>
      </c>
      <c r="N110" s="413" t="s">
        <v>97</v>
      </c>
      <c r="O110" s="278"/>
    </row>
    <row r="111" spans="1:16" ht="29.25" customHeight="1" thickBot="1" x14ac:dyDescent="0.25">
      <c r="A111" s="449" t="s">
        <v>246</v>
      </c>
      <c r="B111" s="513" t="s">
        <v>298</v>
      </c>
      <c r="C111" s="514"/>
      <c r="D111" s="514"/>
      <c r="E111" s="514"/>
      <c r="F111" s="514"/>
      <c r="G111" s="514"/>
      <c r="H111" s="514"/>
      <c r="I111" s="515"/>
      <c r="J111" s="459">
        <v>3.8999999999999998E-3</v>
      </c>
      <c r="K111" s="459">
        <v>5.7000000000000002E-3</v>
      </c>
      <c r="L111" s="415" t="s">
        <v>299</v>
      </c>
      <c r="M111" s="416" t="s">
        <v>300</v>
      </c>
      <c r="N111" s="416" t="s">
        <v>301</v>
      </c>
      <c r="O111" s="450" t="s">
        <v>254</v>
      </c>
    </row>
    <row r="112" spans="1:16" ht="28.5" hidden="1" customHeight="1" thickBot="1" x14ac:dyDescent="0.25"/>
    <row r="113" spans="1:17" ht="28.5" hidden="1" customHeight="1" thickBot="1" x14ac:dyDescent="0.25">
      <c r="A113" s="417" t="s">
        <v>248</v>
      </c>
      <c r="B113" s="418">
        <f>I108</f>
        <v>5.7106598984771571E-3</v>
      </c>
      <c r="C113" s="516" t="s">
        <v>105</v>
      </c>
      <c r="D113" s="517"/>
      <c r="E113" s="518"/>
      <c r="G113" s="94"/>
    </row>
    <row r="114" spans="1:17" ht="28.5" hidden="1" customHeight="1" thickBot="1" x14ac:dyDescent="0.25">
      <c r="A114" s="419"/>
      <c r="B114" s="4"/>
      <c r="C114" s="420" t="s">
        <v>100</v>
      </c>
      <c r="D114" s="421" t="s">
        <v>101</v>
      </c>
      <c r="E114" s="420" t="s">
        <v>249</v>
      </c>
      <c r="H114" s="445" t="s">
        <v>102</v>
      </c>
      <c r="I114" s="445" t="s">
        <v>103</v>
      </c>
      <c r="J114" s="445" t="s">
        <v>95</v>
      </c>
      <c r="K114" s="445" t="s">
        <v>96</v>
      </c>
      <c r="L114" s="445" t="s">
        <v>97</v>
      </c>
    </row>
    <row r="115" spans="1:17" ht="28.5" hidden="1" customHeight="1" thickBot="1" x14ac:dyDescent="0.25">
      <c r="A115" s="422"/>
      <c r="B115" s="307"/>
      <c r="C115" s="423">
        <v>0.69</v>
      </c>
      <c r="D115" s="424">
        <v>0.27</v>
      </c>
      <c r="E115" s="425">
        <v>1.76</v>
      </c>
      <c r="F115" s="426" t="s">
        <v>259</v>
      </c>
      <c r="H115" s="448" t="str">
        <f>C123</f>
        <v>0,39%</v>
      </c>
      <c r="I115" s="448" t="str">
        <f>D123</f>
        <v>0,57%</v>
      </c>
      <c r="J115" s="448" t="str">
        <f>E123</f>
        <v>0,69 (0,27-1,76)</v>
      </c>
      <c r="K115" s="448" t="str">
        <f>F123</f>
        <v>0,18% (-0,43% a 0,42%)</v>
      </c>
      <c r="L115" s="448" t="str">
        <f>G123</f>
        <v>565 (240 a -230)</v>
      </c>
    </row>
    <row r="116" spans="1:17" ht="28.5" hidden="1" customHeight="1" thickBot="1" x14ac:dyDescent="0.25">
      <c r="A116" s="427"/>
      <c r="B116" s="419"/>
      <c r="C116" s="4"/>
      <c r="D116" s="4"/>
      <c r="E116" s="4"/>
      <c r="F116" s="4"/>
      <c r="G116" s="4"/>
    </row>
    <row r="117" spans="1:17" ht="28.5" hidden="1" customHeight="1" thickBot="1" x14ac:dyDescent="0.25">
      <c r="A117" s="427"/>
      <c r="B117" s="428" t="s">
        <v>250</v>
      </c>
      <c r="C117" s="429"/>
      <c r="D117" s="430">
        <f>B113*C115</f>
        <v>3.9403553299492385E-3</v>
      </c>
      <c r="E117" s="431">
        <f>B113*D115</f>
        <v>1.5418781725888325E-3</v>
      </c>
      <c r="F117" s="432">
        <f>B113*E115</f>
        <v>1.0050761421319797E-2</v>
      </c>
      <c r="G117" s="4"/>
      <c r="I117" s="451" t="s">
        <v>96</v>
      </c>
      <c r="J117" s="452">
        <f>B113-D117</f>
        <v>1.7703045685279186E-3</v>
      </c>
      <c r="K117" s="453">
        <f>B113-F117</f>
        <v>-4.3401015228426397E-3</v>
      </c>
      <c r="L117" s="454">
        <f>B113-E117</f>
        <v>4.168781725888325E-3</v>
      </c>
    </row>
    <row r="118" spans="1:17" ht="28.5" hidden="1" customHeight="1" x14ac:dyDescent="0.2">
      <c r="A118" s="427"/>
      <c r="B118" s="419"/>
      <c r="C118" s="4"/>
      <c r="D118" s="4"/>
      <c r="E118" s="4"/>
      <c r="F118" s="4"/>
      <c r="G118" s="4"/>
      <c r="I118" s="451" t="s">
        <v>97</v>
      </c>
      <c r="J118" s="455">
        <f>1/J117</f>
        <v>564.87455197132624</v>
      </c>
      <c r="K118" s="456">
        <f>1/L117</f>
        <v>239.87823439878233</v>
      </c>
      <c r="L118" s="457">
        <f>1/K117</f>
        <v>-230.40935672514618</v>
      </c>
    </row>
    <row r="119" spans="1:17" ht="28.5" hidden="1" customHeight="1" x14ac:dyDescent="0.2">
      <c r="A119" s="427"/>
      <c r="B119" s="433" t="s">
        <v>84</v>
      </c>
      <c r="C119" s="434"/>
      <c r="D119" s="434"/>
      <c r="E119" s="435">
        <f>ROUND(C115,2)</f>
        <v>0.69</v>
      </c>
      <c r="F119" s="436">
        <f>ROUND(J117,4)</f>
        <v>1.8E-3</v>
      </c>
      <c r="G119" s="437">
        <f>ROUND(J118,0)</f>
        <v>565</v>
      </c>
    </row>
    <row r="120" spans="1:17" ht="28.5" hidden="1" customHeight="1" x14ac:dyDescent="0.2">
      <c r="A120" s="427"/>
      <c r="B120" s="438" t="s">
        <v>85</v>
      </c>
      <c r="C120" s="439">
        <f>ROUND(D117,4)</f>
        <v>3.8999999999999998E-3</v>
      </c>
      <c r="D120" s="440">
        <f>ROUND(B113,4)</f>
        <v>5.7000000000000002E-3</v>
      </c>
      <c r="E120" s="441">
        <f>ROUND(D115,2)</f>
        <v>0.27</v>
      </c>
      <c r="F120" s="442">
        <f>ROUND(K117,4)</f>
        <v>-4.3E-3</v>
      </c>
      <c r="G120" s="443">
        <f>ROUND(K118,0)</f>
        <v>240</v>
      </c>
    </row>
    <row r="121" spans="1:17" ht="28.5" hidden="1" customHeight="1" x14ac:dyDescent="0.2">
      <c r="A121" s="427"/>
      <c r="B121" s="438" t="s">
        <v>86</v>
      </c>
      <c r="C121" s="444"/>
      <c r="D121" s="444"/>
      <c r="E121" s="441">
        <f>ROUND(E115,2)</f>
        <v>1.76</v>
      </c>
      <c r="F121" s="442">
        <f>ROUND(L117,4)</f>
        <v>4.1999999999999997E-3</v>
      </c>
      <c r="G121" s="443">
        <f>ROUND(L118,0)</f>
        <v>-230</v>
      </c>
    </row>
    <row r="122" spans="1:17" ht="28.5" hidden="1" customHeight="1" x14ac:dyDescent="0.2">
      <c r="A122" s="427"/>
      <c r="B122" s="438" t="s">
        <v>87</v>
      </c>
      <c r="C122" s="264" t="s">
        <v>102</v>
      </c>
      <c r="D122" s="264" t="s">
        <v>103</v>
      </c>
      <c r="E122" s="445" t="s">
        <v>95</v>
      </c>
      <c r="F122" s="445" t="s">
        <v>104</v>
      </c>
      <c r="G122" s="264" t="s">
        <v>97</v>
      </c>
    </row>
    <row r="123" spans="1:17" ht="28.5" hidden="1" customHeight="1" x14ac:dyDescent="0.2">
      <c r="A123" s="427"/>
      <c r="B123" s="446" t="s">
        <v>93</v>
      </c>
      <c r="C123" s="264" t="str">
        <f>CONCATENATE(C120*100,B122)</f>
        <v>0,39%</v>
      </c>
      <c r="D123" s="264" t="str">
        <f>CONCATENATE(D120*100,B122)</f>
        <v>0,57%</v>
      </c>
      <c r="E123" s="264" t="str">
        <f>CONCATENATE(E119," ",B119,E120,B120,E121,B121)</f>
        <v>0,69 (0,27-1,76)</v>
      </c>
      <c r="F123" s="264" t="str">
        <f>CONCATENATE(F119*100,B122," ",B119,F120*100,B122," ",B123," ",F121*100,B122,B121)</f>
        <v>0,18% (-0,43% a 0,42%)</v>
      </c>
      <c r="G123" s="264" t="str">
        <f>CONCATENATE(G119," ",B119,G120," ",B123," ",G121,B121)</f>
        <v>565 (240 a -230)</v>
      </c>
    </row>
    <row r="124" spans="1:17" ht="28.5" hidden="1" customHeight="1" x14ac:dyDescent="0.2"/>
    <row r="125" spans="1:17" ht="28.5" hidden="1" customHeight="1" x14ac:dyDescent="0.2"/>
    <row r="126" spans="1:17" ht="30" hidden="1" customHeight="1" x14ac:dyDescent="0.2">
      <c r="A126" s="348" t="s">
        <v>270</v>
      </c>
      <c r="B126" s="349"/>
      <c r="C126" s="349"/>
      <c r="O126" s="350"/>
      <c r="P126" s="351"/>
      <c r="Q126" s="279"/>
    </row>
    <row r="127" spans="1:17" ht="30" hidden="1" customHeight="1" x14ac:dyDescent="0.2">
      <c r="A127" s="352"/>
      <c r="B127" s="524" t="s">
        <v>231</v>
      </c>
      <c r="C127" s="525"/>
      <c r="D127" s="526"/>
      <c r="E127" s="524" t="s">
        <v>232</v>
      </c>
      <c r="F127" s="526"/>
      <c r="G127" s="353" t="s">
        <v>251</v>
      </c>
      <c r="H127" s="524" t="s">
        <v>252</v>
      </c>
      <c r="I127" s="525"/>
      <c r="J127" s="526"/>
      <c r="K127" s="524" t="s">
        <v>253</v>
      </c>
      <c r="L127" s="526"/>
      <c r="M127" s="353" t="s">
        <v>376</v>
      </c>
      <c r="N127" s="351"/>
    </row>
    <row r="128" spans="1:17" ht="30" hidden="1" customHeight="1" x14ac:dyDescent="0.2">
      <c r="A128" s="352" t="s">
        <v>233</v>
      </c>
      <c r="B128" s="354" t="s">
        <v>228</v>
      </c>
      <c r="C128" s="354" t="s">
        <v>227</v>
      </c>
      <c r="D128" s="354" t="s">
        <v>7</v>
      </c>
      <c r="E128" s="354" t="s">
        <v>228</v>
      </c>
      <c r="F128" s="354" t="s">
        <v>227</v>
      </c>
      <c r="G128" s="355" t="s">
        <v>234</v>
      </c>
      <c r="H128" s="356" t="s">
        <v>228</v>
      </c>
      <c r="I128" s="356" t="s">
        <v>227</v>
      </c>
      <c r="J128" s="356" t="s">
        <v>7</v>
      </c>
      <c r="K128" s="354" t="s">
        <v>228</v>
      </c>
      <c r="L128" s="354" t="s">
        <v>227</v>
      </c>
      <c r="M128" s="355" t="s">
        <v>234</v>
      </c>
      <c r="N128" s="351"/>
      <c r="O128" s="277" t="s">
        <v>94</v>
      </c>
      <c r="P128" s="277" t="s">
        <v>94</v>
      </c>
    </row>
    <row r="129" spans="1:16" ht="18" hidden="1" customHeight="1" x14ac:dyDescent="0.2">
      <c r="A129" s="357" t="s">
        <v>229</v>
      </c>
      <c r="B129" s="358">
        <v>978</v>
      </c>
      <c r="C129" s="358">
        <v>472</v>
      </c>
      <c r="D129" s="359">
        <f t="shared" ref="D129:D130" si="58">B129+C129</f>
        <v>1450</v>
      </c>
      <c r="E129" s="358">
        <v>2</v>
      </c>
      <c r="F129" s="358">
        <v>1</v>
      </c>
      <c r="G129" s="360">
        <v>1</v>
      </c>
      <c r="H129" s="361">
        <f t="shared" ref="H129:H130" si="59">B129*G129</f>
        <v>978</v>
      </c>
      <c r="I129" s="361">
        <f t="shared" ref="I129:I130" si="60">C129*G129</f>
        <v>472</v>
      </c>
      <c r="J129" s="361">
        <f>H129+I129</f>
        <v>1450</v>
      </c>
      <c r="K129" s="362">
        <f>E129/H129</f>
        <v>2.0449897750511249E-3</v>
      </c>
      <c r="L129" s="362">
        <f>F129/I129</f>
        <v>2.1186440677966102E-3</v>
      </c>
      <c r="M129" s="363">
        <v>64.8</v>
      </c>
      <c r="N129" s="364">
        <f t="shared" ref="N129:N130" si="61">M129*D129</f>
        <v>93960</v>
      </c>
      <c r="O129" s="365" t="str">
        <f t="shared" ref="O129:O131" si="62">CONCATENATE(E129," ",$O$4," ",B129)</f>
        <v>2 / 978</v>
      </c>
      <c r="P129" s="365" t="str">
        <f t="shared" ref="P129:P131" si="63">CONCATENATE(F129," ",$P$4," ",C129)</f>
        <v>1 / 472</v>
      </c>
    </row>
    <row r="130" spans="1:16" ht="18" hidden="1" customHeight="1" x14ac:dyDescent="0.2">
      <c r="A130" s="357" t="s">
        <v>230</v>
      </c>
      <c r="B130" s="358">
        <v>1095</v>
      </c>
      <c r="C130" s="358">
        <v>1104</v>
      </c>
      <c r="D130" s="359">
        <f t="shared" si="58"/>
        <v>2199</v>
      </c>
      <c r="E130" s="358">
        <v>0</v>
      </c>
      <c r="F130" s="358">
        <v>0</v>
      </c>
      <c r="G130" s="360">
        <v>1</v>
      </c>
      <c r="H130" s="361">
        <f t="shared" si="59"/>
        <v>1095</v>
      </c>
      <c r="I130" s="361">
        <f t="shared" si="60"/>
        <v>1104</v>
      </c>
      <c r="J130" s="361">
        <f t="shared" ref="J130" si="64">H130+I130</f>
        <v>2199</v>
      </c>
      <c r="K130" s="362">
        <f t="shared" ref="K130" si="65">E130/H130</f>
        <v>0</v>
      </c>
      <c r="L130" s="362">
        <f t="shared" ref="L130" si="66">F130/I130</f>
        <v>0</v>
      </c>
      <c r="M130" s="363">
        <v>64.3</v>
      </c>
      <c r="N130" s="364">
        <f t="shared" si="61"/>
        <v>141395.69999999998</v>
      </c>
      <c r="O130" s="365" t="str">
        <f t="shared" si="62"/>
        <v>0 / 1095</v>
      </c>
      <c r="P130" s="365" t="str">
        <f t="shared" si="63"/>
        <v>0 / 1104</v>
      </c>
    </row>
    <row r="131" spans="1:16" ht="18" hidden="1" customHeight="1" x14ac:dyDescent="0.2">
      <c r="A131" s="366">
        <f>COUNT(B129:B130)</f>
        <v>2</v>
      </c>
      <c r="B131" s="367">
        <f>SUM(B129:B130)</f>
        <v>2073</v>
      </c>
      <c r="C131" s="367">
        <f>SUM(C129:C130)</f>
        <v>1576</v>
      </c>
      <c r="D131" s="367">
        <f>SUM(D129:D130)</f>
        <v>3649</v>
      </c>
      <c r="E131" s="367">
        <f>SUM(E129:E130)</f>
        <v>2</v>
      </c>
      <c r="F131" s="367">
        <f>SUM(F129:F130)</f>
        <v>1</v>
      </c>
      <c r="G131" s="368">
        <f>J131/D131</f>
        <v>1</v>
      </c>
      <c r="H131" s="369">
        <f>SUM(H129:H130)</f>
        <v>2073</v>
      </c>
      <c r="I131" s="369">
        <f>SUM(I129:I130)</f>
        <v>1576</v>
      </c>
      <c r="J131" s="369">
        <f>H131+I131</f>
        <v>3649</v>
      </c>
      <c r="K131" s="370">
        <f>E131/H131</f>
        <v>9.6478533526290404E-4</v>
      </c>
      <c r="L131" s="371">
        <f>F131/I131</f>
        <v>6.3451776649746188E-4</v>
      </c>
      <c r="M131" s="372">
        <f>N131/D131</f>
        <v>64.498684571115376</v>
      </c>
      <c r="N131" s="373">
        <f>SUM(N129:N130)</f>
        <v>235355.69999999998</v>
      </c>
      <c r="O131" s="374" t="str">
        <f t="shared" si="62"/>
        <v>2 / 2073</v>
      </c>
      <c r="P131" s="374" t="str">
        <f t="shared" si="63"/>
        <v>1 / 1576</v>
      </c>
    </row>
    <row r="132" spans="1:16" ht="21" hidden="1" customHeight="1" x14ac:dyDescent="0.2">
      <c r="D132" s="375"/>
      <c r="E132" s="375"/>
      <c r="F132" s="376"/>
    </row>
    <row r="133" spans="1:16" ht="21" customHeight="1" thickBot="1" x14ac:dyDescent="0.25">
      <c r="D133" s="375"/>
      <c r="E133" s="375"/>
      <c r="J133" s="463"/>
      <c r="K133" s="463"/>
    </row>
    <row r="134" spans="1:16" ht="30" customHeight="1" thickBot="1" x14ac:dyDescent="0.25">
      <c r="A134" s="527" t="s">
        <v>271</v>
      </c>
      <c r="B134" s="528"/>
      <c r="C134" s="528"/>
      <c r="D134" s="528"/>
      <c r="E134" s="528"/>
      <c r="F134" s="528"/>
      <c r="G134" s="528"/>
      <c r="H134" s="528"/>
      <c r="I134" s="528"/>
      <c r="J134" s="528"/>
      <c r="K134" s="528"/>
      <c r="L134" s="528"/>
      <c r="M134" s="528"/>
      <c r="N134" s="528"/>
      <c r="O134" s="529"/>
    </row>
    <row r="135" spans="1:16" ht="38.25" customHeight="1" thickBot="1" x14ac:dyDescent="0.25">
      <c r="A135" s="519" t="s">
        <v>235</v>
      </c>
      <c r="B135" s="519" t="s">
        <v>236</v>
      </c>
      <c r="C135" s="530" t="s">
        <v>237</v>
      </c>
      <c r="D135" s="519" t="s">
        <v>238</v>
      </c>
      <c r="E135" s="519" t="s">
        <v>273</v>
      </c>
      <c r="F135" s="519" t="s">
        <v>275</v>
      </c>
      <c r="G135" s="519" t="s">
        <v>274</v>
      </c>
      <c r="H135" s="519" t="s">
        <v>276</v>
      </c>
      <c r="I135" s="519" t="s">
        <v>277</v>
      </c>
      <c r="J135" s="519" t="s">
        <v>375</v>
      </c>
      <c r="K135" s="519" t="s">
        <v>239</v>
      </c>
      <c r="L135" s="521" t="s">
        <v>240</v>
      </c>
      <c r="M135" s="522"/>
      <c r="N135" s="522"/>
      <c r="O135" s="523"/>
    </row>
    <row r="136" spans="1:16" ht="40.5" customHeight="1" thickBot="1" x14ac:dyDescent="0.25">
      <c r="A136" s="520"/>
      <c r="B136" s="520"/>
      <c r="C136" s="531"/>
      <c r="D136" s="520"/>
      <c r="E136" s="520"/>
      <c r="F136" s="520"/>
      <c r="G136" s="520"/>
      <c r="H136" s="520"/>
      <c r="I136" s="520"/>
      <c r="J136" s="520"/>
      <c r="K136" s="520"/>
      <c r="L136" s="377" t="s">
        <v>241</v>
      </c>
      <c r="M136" s="378" t="s">
        <v>96</v>
      </c>
      <c r="N136" s="379" t="s">
        <v>97</v>
      </c>
      <c r="O136" s="380" t="s">
        <v>242</v>
      </c>
    </row>
    <row r="137" spans="1:16" ht="30" customHeight="1" x14ac:dyDescent="0.25">
      <c r="A137" s="508">
        <v>9</v>
      </c>
      <c r="B137" s="381" t="s">
        <v>229</v>
      </c>
      <c r="C137" s="382" t="s">
        <v>243</v>
      </c>
      <c r="D137" s="383"/>
      <c r="E137" s="384">
        <f>G129</f>
        <v>1</v>
      </c>
      <c r="F137" s="385" t="str">
        <f>O129</f>
        <v>2 / 978</v>
      </c>
      <c r="G137" s="386">
        <f>K129</f>
        <v>2.0449897750511249E-3</v>
      </c>
      <c r="H137" s="385" t="str">
        <f>P129</f>
        <v>1 / 472</v>
      </c>
      <c r="I137" s="386">
        <f>L129</f>
        <v>2.1186440677966102E-3</v>
      </c>
      <c r="J137" s="384">
        <f>M129</f>
        <v>64.8</v>
      </c>
      <c r="K137" s="387">
        <v>0.56200000000000006</v>
      </c>
      <c r="L137" s="388" t="s">
        <v>148</v>
      </c>
      <c r="M137" s="389" t="s">
        <v>149</v>
      </c>
      <c r="N137" s="389" t="s">
        <v>150</v>
      </c>
      <c r="O137" s="390">
        <v>2.5399999999999999E-2</v>
      </c>
    </row>
    <row r="138" spans="1:16" ht="30" customHeight="1" x14ac:dyDescent="0.25">
      <c r="A138" s="509"/>
      <c r="B138" s="381" t="s">
        <v>230</v>
      </c>
      <c r="C138" s="385" t="s">
        <v>243</v>
      </c>
      <c r="D138" s="383"/>
      <c r="E138" s="384">
        <f>G130</f>
        <v>1</v>
      </c>
      <c r="F138" s="385" t="str">
        <f>O130</f>
        <v>0 / 1095</v>
      </c>
      <c r="G138" s="386">
        <f>K130</f>
        <v>0</v>
      </c>
      <c r="H138" s="385" t="str">
        <f>P130</f>
        <v>0 / 1104</v>
      </c>
      <c r="I138" s="386">
        <f>L130</f>
        <v>0</v>
      </c>
      <c r="J138" s="384">
        <f>M130</f>
        <v>64.3</v>
      </c>
      <c r="K138" s="387">
        <v>0.438</v>
      </c>
      <c r="L138" s="388" t="s">
        <v>197</v>
      </c>
      <c r="M138" s="388" t="s">
        <v>197</v>
      </c>
      <c r="N138" s="389" t="s">
        <v>197</v>
      </c>
      <c r="O138" s="390" t="s">
        <v>197</v>
      </c>
    </row>
    <row r="139" spans="1:16" ht="30" customHeight="1" x14ac:dyDescent="0.2">
      <c r="A139" s="391" t="s">
        <v>244</v>
      </c>
      <c r="B139" s="392">
        <f>COUNT(G137:G138)</f>
        <v>2</v>
      </c>
      <c r="C139" s="393"/>
      <c r="D139" s="394" t="s">
        <v>245</v>
      </c>
      <c r="E139" s="395">
        <f t="shared" ref="E139" si="67">G131</f>
        <v>1</v>
      </c>
      <c r="F139" s="396" t="str">
        <f t="shared" ref="F139" si="68">O131</f>
        <v>2 / 2073</v>
      </c>
      <c r="G139" s="397">
        <f t="shared" ref="G139" si="69">K131</f>
        <v>9.6478533526290404E-4</v>
      </c>
      <c r="H139" s="396" t="str">
        <f t="shared" ref="H139" si="70">P131</f>
        <v>1 / 1576</v>
      </c>
      <c r="I139" s="397">
        <f t="shared" ref="I139" si="71">L131</f>
        <v>6.3451776649746188E-4</v>
      </c>
      <c r="J139" s="398">
        <f t="shared" ref="J139" si="72">M131</f>
        <v>64.498684571115376</v>
      </c>
      <c r="K139" s="399">
        <v>1</v>
      </c>
      <c r="L139" s="400" t="s">
        <v>148</v>
      </c>
      <c r="M139" s="375"/>
      <c r="N139" s="278"/>
      <c r="O139" s="278"/>
    </row>
    <row r="140" spans="1:16" ht="7.5" customHeight="1" thickBot="1" x14ac:dyDescent="0.25">
      <c r="A140" s="401"/>
      <c r="B140" s="401"/>
      <c r="C140" s="402"/>
      <c r="D140" s="403"/>
      <c r="E140" s="365"/>
      <c r="F140" s="404"/>
      <c r="G140" s="405"/>
      <c r="H140" s="404"/>
      <c r="I140" s="406"/>
      <c r="J140" s="407"/>
      <c r="L140" s="375"/>
      <c r="M140" s="278"/>
      <c r="N140" s="278"/>
    </row>
    <row r="141" spans="1:16" s="279" customFormat="1" ht="46.5" customHeight="1" thickBot="1" x14ac:dyDescent="0.25">
      <c r="A141" s="408"/>
      <c r="B141" s="510" t="s">
        <v>302</v>
      </c>
      <c r="C141" s="511"/>
      <c r="D141" s="511"/>
      <c r="E141" s="511"/>
      <c r="F141" s="511"/>
      <c r="G141" s="511"/>
      <c r="H141" s="511"/>
      <c r="I141" s="512"/>
      <c r="J141" s="409" t="s">
        <v>267</v>
      </c>
      <c r="K141" s="410" t="s">
        <v>268</v>
      </c>
      <c r="L141" s="411" t="s">
        <v>241</v>
      </c>
      <c r="M141" s="412" t="s">
        <v>96</v>
      </c>
      <c r="N141" s="413" t="s">
        <v>97</v>
      </c>
      <c r="O141" s="278"/>
    </row>
    <row r="142" spans="1:16" ht="29.25" customHeight="1" thickBot="1" x14ac:dyDescent="0.25">
      <c r="A142" s="449" t="s">
        <v>246</v>
      </c>
      <c r="B142" s="513" t="s">
        <v>272</v>
      </c>
      <c r="C142" s="514"/>
      <c r="D142" s="514"/>
      <c r="E142" s="514"/>
      <c r="F142" s="514"/>
      <c r="G142" s="514"/>
      <c r="H142" s="514"/>
      <c r="I142" s="515"/>
      <c r="J142" s="459">
        <v>5.9999999999999995E-4</v>
      </c>
      <c r="K142" s="459">
        <v>5.9999999999999995E-4</v>
      </c>
      <c r="L142" s="415" t="s">
        <v>148</v>
      </c>
      <c r="M142" s="416" t="s">
        <v>303</v>
      </c>
      <c r="N142" s="416" t="s">
        <v>304</v>
      </c>
      <c r="O142" s="450" t="s">
        <v>254</v>
      </c>
    </row>
    <row r="143" spans="1:16" ht="28.5" hidden="1" customHeight="1" thickBot="1" x14ac:dyDescent="0.25"/>
    <row r="144" spans="1:16" ht="28.5" hidden="1" customHeight="1" thickBot="1" x14ac:dyDescent="0.25">
      <c r="A144" s="417" t="s">
        <v>248</v>
      </c>
      <c r="B144" s="418">
        <f>I139</f>
        <v>6.3451776649746188E-4</v>
      </c>
      <c r="C144" s="516" t="s">
        <v>105</v>
      </c>
      <c r="D144" s="517"/>
      <c r="E144" s="518"/>
      <c r="G144" s="94"/>
    </row>
    <row r="145" spans="1:12" ht="28.5" hidden="1" customHeight="1" thickBot="1" x14ac:dyDescent="0.25">
      <c r="A145" s="419"/>
      <c r="B145" s="4"/>
      <c r="C145" s="420" t="s">
        <v>100</v>
      </c>
      <c r="D145" s="421" t="s">
        <v>101</v>
      </c>
      <c r="E145" s="420" t="s">
        <v>249</v>
      </c>
      <c r="H145" s="445" t="s">
        <v>102</v>
      </c>
      <c r="I145" s="445" t="s">
        <v>103</v>
      </c>
      <c r="J145" s="445" t="s">
        <v>95</v>
      </c>
      <c r="K145" s="445" t="s">
        <v>96</v>
      </c>
      <c r="L145" s="445" t="s">
        <v>97</v>
      </c>
    </row>
    <row r="146" spans="1:12" ht="28.5" hidden="1" customHeight="1" thickBot="1" x14ac:dyDescent="0.25">
      <c r="A146" s="422"/>
      <c r="B146" s="307"/>
      <c r="C146" s="423">
        <v>1.01</v>
      </c>
      <c r="D146" s="424">
        <v>0.09</v>
      </c>
      <c r="E146" s="425">
        <v>11.07</v>
      </c>
      <c r="F146" s="426" t="s">
        <v>260</v>
      </c>
      <c r="H146" s="448" t="str">
        <f>C154</f>
        <v>0,06%</v>
      </c>
      <c r="I146" s="448" t="str">
        <f>D154</f>
        <v>0,06%</v>
      </c>
      <c r="J146" s="448" t="str">
        <f>E154</f>
        <v>1,01 (0,09-11,07)</v>
      </c>
      <c r="K146" s="448" t="str">
        <f>F154</f>
        <v>0% (-0,64% a 0,06%)</v>
      </c>
      <c r="L146" s="448" t="str">
        <f>G154</f>
        <v>-157600 (1732 a -157)</v>
      </c>
    </row>
    <row r="147" spans="1:12" ht="28.5" hidden="1" customHeight="1" thickBot="1" x14ac:dyDescent="0.25">
      <c r="A147" s="427"/>
      <c r="B147" s="419"/>
      <c r="C147" s="4"/>
      <c r="D147" s="4"/>
      <c r="E147" s="4"/>
      <c r="F147" s="4"/>
      <c r="G147" s="4"/>
    </row>
    <row r="148" spans="1:12" ht="28.5" hidden="1" customHeight="1" thickBot="1" x14ac:dyDescent="0.25">
      <c r="A148" s="427"/>
      <c r="B148" s="428" t="s">
        <v>250</v>
      </c>
      <c r="C148" s="429"/>
      <c r="D148" s="430">
        <f>B144*C146</f>
        <v>6.4086294416243646E-4</v>
      </c>
      <c r="E148" s="431">
        <f>B144*D146</f>
        <v>5.7106598984771564E-5</v>
      </c>
      <c r="F148" s="432">
        <f>B144*E146</f>
        <v>7.0241116751269036E-3</v>
      </c>
      <c r="G148" s="4"/>
      <c r="I148" s="451" t="s">
        <v>96</v>
      </c>
      <c r="J148" s="452">
        <f>B144-D148</f>
        <v>-6.3451776649745776E-6</v>
      </c>
      <c r="K148" s="453">
        <f>B144-F148</f>
        <v>-6.3895939086294415E-3</v>
      </c>
      <c r="L148" s="454">
        <f>B144-E148</f>
        <v>5.7741116751269036E-4</v>
      </c>
    </row>
    <row r="149" spans="1:12" ht="28.5" hidden="1" customHeight="1" x14ac:dyDescent="0.2">
      <c r="A149" s="427"/>
      <c r="B149" s="419"/>
      <c r="C149" s="4"/>
      <c r="D149" s="4"/>
      <c r="E149" s="4"/>
      <c r="F149" s="4"/>
      <c r="G149" s="4"/>
      <c r="I149" s="451" t="s">
        <v>97</v>
      </c>
      <c r="J149" s="455">
        <f>1/J148</f>
        <v>-157600.00000000105</v>
      </c>
      <c r="K149" s="456">
        <f>1/L148</f>
        <v>1731.868131868132</v>
      </c>
      <c r="L149" s="457">
        <f>1/K148</f>
        <v>-156.50446871896725</v>
      </c>
    </row>
    <row r="150" spans="1:12" ht="28.5" hidden="1" customHeight="1" x14ac:dyDescent="0.2">
      <c r="A150" s="427"/>
      <c r="B150" s="433" t="s">
        <v>84</v>
      </c>
      <c r="C150" s="434"/>
      <c r="D150" s="434"/>
      <c r="E150" s="435">
        <f>ROUND(C146,2)</f>
        <v>1.01</v>
      </c>
      <c r="F150" s="436">
        <f>ROUND(J148,4)</f>
        <v>0</v>
      </c>
      <c r="G150" s="437">
        <f>ROUND(J149,0)</f>
        <v>-157600</v>
      </c>
    </row>
    <row r="151" spans="1:12" ht="28.5" hidden="1" customHeight="1" x14ac:dyDescent="0.2">
      <c r="A151" s="427"/>
      <c r="B151" s="438" t="s">
        <v>85</v>
      </c>
      <c r="C151" s="439">
        <f>ROUND(D148,4)</f>
        <v>5.9999999999999995E-4</v>
      </c>
      <c r="D151" s="440">
        <f>ROUND(B144,4)</f>
        <v>5.9999999999999995E-4</v>
      </c>
      <c r="E151" s="441">
        <f>ROUND(D146,2)</f>
        <v>0.09</v>
      </c>
      <c r="F151" s="442">
        <f>ROUND(K148,4)</f>
        <v>-6.4000000000000003E-3</v>
      </c>
      <c r="G151" s="443">
        <f>ROUND(K149,0)</f>
        <v>1732</v>
      </c>
    </row>
    <row r="152" spans="1:12" ht="28.5" hidden="1" customHeight="1" x14ac:dyDescent="0.2">
      <c r="A152" s="427"/>
      <c r="B152" s="438" t="s">
        <v>86</v>
      </c>
      <c r="C152" s="444"/>
      <c r="D152" s="444"/>
      <c r="E152" s="441">
        <f>ROUND(E146,2)</f>
        <v>11.07</v>
      </c>
      <c r="F152" s="442">
        <f>ROUND(L148,4)</f>
        <v>5.9999999999999995E-4</v>
      </c>
      <c r="G152" s="443">
        <f>ROUND(L149,0)</f>
        <v>-157</v>
      </c>
    </row>
    <row r="153" spans="1:12" ht="28.5" hidden="1" customHeight="1" x14ac:dyDescent="0.2">
      <c r="A153" s="427"/>
      <c r="B153" s="438" t="s">
        <v>87</v>
      </c>
      <c r="C153" s="264" t="s">
        <v>102</v>
      </c>
      <c r="D153" s="264" t="s">
        <v>103</v>
      </c>
      <c r="E153" s="445" t="s">
        <v>95</v>
      </c>
      <c r="F153" s="445" t="s">
        <v>104</v>
      </c>
      <c r="G153" s="264" t="s">
        <v>97</v>
      </c>
    </row>
    <row r="154" spans="1:12" ht="28.5" hidden="1" customHeight="1" x14ac:dyDescent="0.2">
      <c r="A154" s="427"/>
      <c r="B154" s="446" t="s">
        <v>93</v>
      </c>
      <c r="C154" s="264" t="str">
        <f>CONCATENATE(C151*100,B153)</f>
        <v>0,06%</v>
      </c>
      <c r="D154" s="264" t="str">
        <f>CONCATENATE(D151*100,B153)</f>
        <v>0,06%</v>
      </c>
      <c r="E154" s="264" t="str">
        <f>CONCATENATE(E150," ",B150,E151,B151,E152,B152)</f>
        <v>1,01 (0,09-11,07)</v>
      </c>
      <c r="F154" s="264" t="str">
        <f>CONCATENATE(F150*100,B153," ",B150,F151*100,B153," ",B154," ",F152*100,B153,B152)</f>
        <v>0% (-0,64% a 0,06%)</v>
      </c>
      <c r="G154" s="264" t="str">
        <f>CONCATENATE(G150," ",B150,G151," ",B154," ",G152,B152)</f>
        <v>-157600 (1732 a -157)</v>
      </c>
    </row>
    <row r="155" spans="1:12" ht="28.5" customHeight="1" x14ac:dyDescent="0.2">
      <c r="J155" s="463"/>
      <c r="K155" s="463"/>
    </row>
  </sheetData>
  <mergeCells count="105">
    <mergeCell ref="K65:L65"/>
    <mergeCell ref="B49:I49"/>
    <mergeCell ref="B48:I48"/>
    <mergeCell ref="A44:A45"/>
    <mergeCell ref="C11:C12"/>
    <mergeCell ref="D11:D12"/>
    <mergeCell ref="E11:E12"/>
    <mergeCell ref="B3:D3"/>
    <mergeCell ref="E3:F3"/>
    <mergeCell ref="H3:J3"/>
    <mergeCell ref="K3:L3"/>
    <mergeCell ref="A10:O10"/>
    <mergeCell ref="L11:O11"/>
    <mergeCell ref="A13:A14"/>
    <mergeCell ref="B17:I17"/>
    <mergeCell ref="B18:I18"/>
    <mergeCell ref="F11:F12"/>
    <mergeCell ref="G11:G12"/>
    <mergeCell ref="H11:H12"/>
    <mergeCell ref="I11:I12"/>
    <mergeCell ref="J11:J12"/>
    <mergeCell ref="K11:K12"/>
    <mergeCell ref="A11:A12"/>
    <mergeCell ref="B11:B12"/>
    <mergeCell ref="E34:F34"/>
    <mergeCell ref="H34:J34"/>
    <mergeCell ref="A134:O134"/>
    <mergeCell ref="A135:A136"/>
    <mergeCell ref="B135:B136"/>
    <mergeCell ref="C135:C136"/>
    <mergeCell ref="D135:D136"/>
    <mergeCell ref="E135:E136"/>
    <mergeCell ref="F135:F136"/>
    <mergeCell ref="G135:G136"/>
    <mergeCell ref="H127:J127"/>
    <mergeCell ref="K127:L127"/>
    <mergeCell ref="A103:O103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K96:L96"/>
    <mergeCell ref="C20:E20"/>
    <mergeCell ref="B96:D96"/>
    <mergeCell ref="E96:F96"/>
    <mergeCell ref="H96:J96"/>
    <mergeCell ref="L73:O73"/>
    <mergeCell ref="A75:A76"/>
    <mergeCell ref="B79:I79"/>
    <mergeCell ref="B80:I80"/>
    <mergeCell ref="C82:E82"/>
    <mergeCell ref="K34:L34"/>
    <mergeCell ref="A41:O41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O42"/>
    <mergeCell ref="B34:D34"/>
    <mergeCell ref="C113:E113"/>
    <mergeCell ref="B127:D127"/>
    <mergeCell ref="E127:F127"/>
    <mergeCell ref="K104:K105"/>
    <mergeCell ref="L104:O104"/>
    <mergeCell ref="A106:A107"/>
    <mergeCell ref="B110:I110"/>
    <mergeCell ref="B111:I111"/>
    <mergeCell ref="C51:E51"/>
    <mergeCell ref="A73:A74"/>
    <mergeCell ref="A72:O72"/>
    <mergeCell ref="B73:B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B65:D65"/>
    <mergeCell ref="E65:F65"/>
    <mergeCell ref="H65:J65"/>
    <mergeCell ref="A137:A138"/>
    <mergeCell ref="B141:I141"/>
    <mergeCell ref="B142:I142"/>
    <mergeCell ref="C144:E144"/>
    <mergeCell ref="H135:H136"/>
    <mergeCell ref="I135:I136"/>
    <mergeCell ref="J135:J136"/>
    <mergeCell ref="K135:K136"/>
    <mergeCell ref="L135:O135"/>
  </mergeCells>
  <pageMargins left="0.7" right="0.7" top="0.75" bottom="0.75" header="0.3" footer="0.3"/>
  <pageSetup paperSize="9" orientation="portrait" horizontalDpi="0" verticalDpi="0" r:id="rId1"/>
  <ignoredErrors>
    <ignoredError sqref="G7" formula="1"/>
    <ignoredError sqref="J18:K18 J80:K80 O45 O76 O10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3" sqref="A3:G3"/>
    </sheetView>
  </sheetViews>
  <sheetFormatPr baseColWidth="10" defaultRowHeight="17.25" x14ac:dyDescent="0.3"/>
  <cols>
    <col min="1" max="1" width="15.140625" style="462" customWidth="1"/>
    <col min="2" max="2" width="2.7109375" style="4" customWidth="1"/>
    <col min="3" max="3" width="69.140625" style="4" customWidth="1"/>
    <col min="4" max="4" width="20.28515625" style="4" customWidth="1"/>
    <col min="5" max="5" width="20.140625" style="4" customWidth="1"/>
    <col min="6" max="6" width="1.140625" style="4" customWidth="1"/>
    <col min="7" max="7" width="16.5703125" style="4" customWidth="1"/>
    <col min="8" max="246" width="11.42578125" style="4"/>
    <col min="247" max="247" width="3.5703125" style="4" customWidth="1"/>
    <col min="248" max="248" width="71.140625" style="4" customWidth="1"/>
    <col min="249" max="249" width="18.140625" style="4" customWidth="1"/>
    <col min="250" max="250" width="20.140625" style="4" customWidth="1"/>
    <col min="251" max="251" width="19.140625" style="4" customWidth="1"/>
    <col min="252" max="252" width="23" style="4" customWidth="1"/>
    <col min="253" max="253" width="22.140625" style="4" customWidth="1"/>
    <col min="254" max="254" width="2.140625" style="4" customWidth="1"/>
    <col min="255" max="255" width="18.7109375" style="4" customWidth="1"/>
    <col min="256" max="256" width="19" style="4" customWidth="1"/>
    <col min="257" max="257" width="11.42578125" style="4"/>
    <col min="258" max="258" width="14.7109375" style="4" customWidth="1"/>
    <col min="259" max="259" width="15.140625" style="4" customWidth="1"/>
    <col min="260" max="502" width="11.42578125" style="4"/>
    <col min="503" max="503" width="3.5703125" style="4" customWidth="1"/>
    <col min="504" max="504" width="71.140625" style="4" customWidth="1"/>
    <col min="505" max="505" width="18.140625" style="4" customWidth="1"/>
    <col min="506" max="506" width="20.140625" style="4" customWidth="1"/>
    <col min="507" max="507" width="19.140625" style="4" customWidth="1"/>
    <col min="508" max="508" width="23" style="4" customWidth="1"/>
    <col min="509" max="509" width="22.140625" style="4" customWidth="1"/>
    <col min="510" max="510" width="2.140625" style="4" customWidth="1"/>
    <col min="511" max="511" width="18.7109375" style="4" customWidth="1"/>
    <col min="512" max="512" width="19" style="4" customWidth="1"/>
    <col min="513" max="513" width="11.42578125" style="4"/>
    <col min="514" max="514" width="14.7109375" style="4" customWidth="1"/>
    <col min="515" max="515" width="15.140625" style="4" customWidth="1"/>
    <col min="516" max="758" width="11.42578125" style="4"/>
    <col min="759" max="759" width="3.5703125" style="4" customWidth="1"/>
    <col min="760" max="760" width="71.140625" style="4" customWidth="1"/>
    <col min="761" max="761" width="18.140625" style="4" customWidth="1"/>
    <col min="762" max="762" width="20.140625" style="4" customWidth="1"/>
    <col min="763" max="763" width="19.140625" style="4" customWidth="1"/>
    <col min="764" max="764" width="23" style="4" customWidth="1"/>
    <col min="765" max="765" width="22.140625" style="4" customWidth="1"/>
    <col min="766" max="766" width="2.140625" style="4" customWidth="1"/>
    <col min="767" max="767" width="18.7109375" style="4" customWidth="1"/>
    <col min="768" max="768" width="19" style="4" customWidth="1"/>
    <col min="769" max="769" width="11.42578125" style="4"/>
    <col min="770" max="770" width="14.7109375" style="4" customWidth="1"/>
    <col min="771" max="771" width="15.140625" style="4" customWidth="1"/>
    <col min="772" max="1014" width="11.42578125" style="4"/>
    <col min="1015" max="1015" width="3.5703125" style="4" customWidth="1"/>
    <col min="1016" max="1016" width="71.140625" style="4" customWidth="1"/>
    <col min="1017" max="1017" width="18.140625" style="4" customWidth="1"/>
    <col min="1018" max="1018" width="20.140625" style="4" customWidth="1"/>
    <col min="1019" max="1019" width="19.140625" style="4" customWidth="1"/>
    <col min="1020" max="1020" width="23" style="4" customWidth="1"/>
    <col min="1021" max="1021" width="22.140625" style="4" customWidth="1"/>
    <col min="1022" max="1022" width="2.140625" style="4" customWidth="1"/>
    <col min="1023" max="1023" width="18.7109375" style="4" customWidth="1"/>
    <col min="1024" max="1024" width="19" style="4" customWidth="1"/>
    <col min="1025" max="1025" width="11.42578125" style="4"/>
    <col min="1026" max="1026" width="14.7109375" style="4" customWidth="1"/>
    <col min="1027" max="1027" width="15.140625" style="4" customWidth="1"/>
    <col min="1028" max="1270" width="11.42578125" style="4"/>
    <col min="1271" max="1271" width="3.5703125" style="4" customWidth="1"/>
    <col min="1272" max="1272" width="71.140625" style="4" customWidth="1"/>
    <col min="1273" max="1273" width="18.140625" style="4" customWidth="1"/>
    <col min="1274" max="1274" width="20.140625" style="4" customWidth="1"/>
    <col min="1275" max="1275" width="19.140625" style="4" customWidth="1"/>
    <col min="1276" max="1276" width="23" style="4" customWidth="1"/>
    <col min="1277" max="1277" width="22.140625" style="4" customWidth="1"/>
    <col min="1278" max="1278" width="2.140625" style="4" customWidth="1"/>
    <col min="1279" max="1279" width="18.7109375" style="4" customWidth="1"/>
    <col min="1280" max="1280" width="19" style="4" customWidth="1"/>
    <col min="1281" max="1281" width="11.42578125" style="4"/>
    <col min="1282" max="1282" width="14.7109375" style="4" customWidth="1"/>
    <col min="1283" max="1283" width="15.140625" style="4" customWidth="1"/>
    <col min="1284" max="1526" width="11.42578125" style="4"/>
    <col min="1527" max="1527" width="3.5703125" style="4" customWidth="1"/>
    <col min="1528" max="1528" width="71.140625" style="4" customWidth="1"/>
    <col min="1529" max="1529" width="18.140625" style="4" customWidth="1"/>
    <col min="1530" max="1530" width="20.140625" style="4" customWidth="1"/>
    <col min="1531" max="1531" width="19.140625" style="4" customWidth="1"/>
    <col min="1532" max="1532" width="23" style="4" customWidth="1"/>
    <col min="1533" max="1533" width="22.140625" style="4" customWidth="1"/>
    <col min="1534" max="1534" width="2.140625" style="4" customWidth="1"/>
    <col min="1535" max="1535" width="18.7109375" style="4" customWidth="1"/>
    <col min="1536" max="1536" width="19" style="4" customWidth="1"/>
    <col min="1537" max="1537" width="11.42578125" style="4"/>
    <col min="1538" max="1538" width="14.7109375" style="4" customWidth="1"/>
    <col min="1539" max="1539" width="15.140625" style="4" customWidth="1"/>
    <col min="1540" max="1782" width="11.42578125" style="4"/>
    <col min="1783" max="1783" width="3.5703125" style="4" customWidth="1"/>
    <col min="1784" max="1784" width="71.140625" style="4" customWidth="1"/>
    <col min="1785" max="1785" width="18.140625" style="4" customWidth="1"/>
    <col min="1786" max="1786" width="20.140625" style="4" customWidth="1"/>
    <col min="1787" max="1787" width="19.140625" style="4" customWidth="1"/>
    <col min="1788" max="1788" width="23" style="4" customWidth="1"/>
    <col min="1789" max="1789" width="22.140625" style="4" customWidth="1"/>
    <col min="1790" max="1790" width="2.140625" style="4" customWidth="1"/>
    <col min="1791" max="1791" width="18.7109375" style="4" customWidth="1"/>
    <col min="1792" max="1792" width="19" style="4" customWidth="1"/>
    <col min="1793" max="1793" width="11.42578125" style="4"/>
    <col min="1794" max="1794" width="14.7109375" style="4" customWidth="1"/>
    <col min="1795" max="1795" width="15.140625" style="4" customWidth="1"/>
    <col min="1796" max="2038" width="11.42578125" style="4"/>
    <col min="2039" max="2039" width="3.5703125" style="4" customWidth="1"/>
    <col min="2040" max="2040" width="71.140625" style="4" customWidth="1"/>
    <col min="2041" max="2041" width="18.140625" style="4" customWidth="1"/>
    <col min="2042" max="2042" width="20.140625" style="4" customWidth="1"/>
    <col min="2043" max="2043" width="19.140625" style="4" customWidth="1"/>
    <col min="2044" max="2044" width="23" style="4" customWidth="1"/>
    <col min="2045" max="2045" width="22.140625" style="4" customWidth="1"/>
    <col min="2046" max="2046" width="2.140625" style="4" customWidth="1"/>
    <col min="2047" max="2047" width="18.7109375" style="4" customWidth="1"/>
    <col min="2048" max="2048" width="19" style="4" customWidth="1"/>
    <col min="2049" max="2049" width="11.42578125" style="4"/>
    <col min="2050" max="2050" width="14.7109375" style="4" customWidth="1"/>
    <col min="2051" max="2051" width="15.140625" style="4" customWidth="1"/>
    <col min="2052" max="2294" width="11.42578125" style="4"/>
    <col min="2295" max="2295" width="3.5703125" style="4" customWidth="1"/>
    <col min="2296" max="2296" width="71.140625" style="4" customWidth="1"/>
    <col min="2297" max="2297" width="18.140625" style="4" customWidth="1"/>
    <col min="2298" max="2298" width="20.140625" style="4" customWidth="1"/>
    <col min="2299" max="2299" width="19.140625" style="4" customWidth="1"/>
    <col min="2300" max="2300" width="23" style="4" customWidth="1"/>
    <col min="2301" max="2301" width="22.140625" style="4" customWidth="1"/>
    <col min="2302" max="2302" width="2.140625" style="4" customWidth="1"/>
    <col min="2303" max="2303" width="18.7109375" style="4" customWidth="1"/>
    <col min="2304" max="2304" width="19" style="4" customWidth="1"/>
    <col min="2305" max="2305" width="11.42578125" style="4"/>
    <col min="2306" max="2306" width="14.7109375" style="4" customWidth="1"/>
    <col min="2307" max="2307" width="15.140625" style="4" customWidth="1"/>
    <col min="2308" max="2550" width="11.42578125" style="4"/>
    <col min="2551" max="2551" width="3.5703125" style="4" customWidth="1"/>
    <col min="2552" max="2552" width="71.140625" style="4" customWidth="1"/>
    <col min="2553" max="2553" width="18.140625" style="4" customWidth="1"/>
    <col min="2554" max="2554" width="20.140625" style="4" customWidth="1"/>
    <col min="2555" max="2555" width="19.140625" style="4" customWidth="1"/>
    <col min="2556" max="2556" width="23" style="4" customWidth="1"/>
    <col min="2557" max="2557" width="22.140625" style="4" customWidth="1"/>
    <col min="2558" max="2558" width="2.140625" style="4" customWidth="1"/>
    <col min="2559" max="2559" width="18.7109375" style="4" customWidth="1"/>
    <col min="2560" max="2560" width="19" style="4" customWidth="1"/>
    <col min="2561" max="2561" width="11.42578125" style="4"/>
    <col min="2562" max="2562" width="14.7109375" style="4" customWidth="1"/>
    <col min="2563" max="2563" width="15.140625" style="4" customWidth="1"/>
    <col min="2564" max="2806" width="11.42578125" style="4"/>
    <col min="2807" max="2807" width="3.5703125" style="4" customWidth="1"/>
    <col min="2808" max="2808" width="71.140625" style="4" customWidth="1"/>
    <col min="2809" max="2809" width="18.140625" style="4" customWidth="1"/>
    <col min="2810" max="2810" width="20.140625" style="4" customWidth="1"/>
    <col min="2811" max="2811" width="19.140625" style="4" customWidth="1"/>
    <col min="2812" max="2812" width="23" style="4" customWidth="1"/>
    <col min="2813" max="2813" width="22.140625" style="4" customWidth="1"/>
    <col min="2814" max="2814" width="2.140625" style="4" customWidth="1"/>
    <col min="2815" max="2815" width="18.7109375" style="4" customWidth="1"/>
    <col min="2816" max="2816" width="19" style="4" customWidth="1"/>
    <col min="2817" max="2817" width="11.42578125" style="4"/>
    <col min="2818" max="2818" width="14.7109375" style="4" customWidth="1"/>
    <col min="2819" max="2819" width="15.140625" style="4" customWidth="1"/>
    <col min="2820" max="3062" width="11.42578125" style="4"/>
    <col min="3063" max="3063" width="3.5703125" style="4" customWidth="1"/>
    <col min="3064" max="3064" width="71.140625" style="4" customWidth="1"/>
    <col min="3065" max="3065" width="18.140625" style="4" customWidth="1"/>
    <col min="3066" max="3066" width="20.140625" style="4" customWidth="1"/>
    <col min="3067" max="3067" width="19.140625" style="4" customWidth="1"/>
    <col min="3068" max="3068" width="23" style="4" customWidth="1"/>
    <col min="3069" max="3069" width="22.140625" style="4" customWidth="1"/>
    <col min="3070" max="3070" width="2.140625" style="4" customWidth="1"/>
    <col min="3071" max="3071" width="18.7109375" style="4" customWidth="1"/>
    <col min="3072" max="3072" width="19" style="4" customWidth="1"/>
    <col min="3073" max="3073" width="11.42578125" style="4"/>
    <col min="3074" max="3074" width="14.7109375" style="4" customWidth="1"/>
    <col min="3075" max="3075" width="15.140625" style="4" customWidth="1"/>
    <col min="3076" max="3318" width="11.42578125" style="4"/>
    <col min="3319" max="3319" width="3.5703125" style="4" customWidth="1"/>
    <col min="3320" max="3320" width="71.140625" style="4" customWidth="1"/>
    <col min="3321" max="3321" width="18.140625" style="4" customWidth="1"/>
    <col min="3322" max="3322" width="20.140625" style="4" customWidth="1"/>
    <col min="3323" max="3323" width="19.140625" style="4" customWidth="1"/>
    <col min="3324" max="3324" width="23" style="4" customWidth="1"/>
    <col min="3325" max="3325" width="22.140625" style="4" customWidth="1"/>
    <col min="3326" max="3326" width="2.140625" style="4" customWidth="1"/>
    <col min="3327" max="3327" width="18.7109375" style="4" customWidth="1"/>
    <col min="3328" max="3328" width="19" style="4" customWidth="1"/>
    <col min="3329" max="3329" width="11.42578125" style="4"/>
    <col min="3330" max="3330" width="14.7109375" style="4" customWidth="1"/>
    <col min="3331" max="3331" width="15.140625" style="4" customWidth="1"/>
    <col min="3332" max="3574" width="11.42578125" style="4"/>
    <col min="3575" max="3575" width="3.5703125" style="4" customWidth="1"/>
    <col min="3576" max="3576" width="71.140625" style="4" customWidth="1"/>
    <col min="3577" max="3577" width="18.140625" style="4" customWidth="1"/>
    <col min="3578" max="3578" width="20.140625" style="4" customWidth="1"/>
    <col min="3579" max="3579" width="19.140625" style="4" customWidth="1"/>
    <col min="3580" max="3580" width="23" style="4" customWidth="1"/>
    <col min="3581" max="3581" width="22.140625" style="4" customWidth="1"/>
    <col min="3582" max="3582" width="2.140625" style="4" customWidth="1"/>
    <col min="3583" max="3583" width="18.7109375" style="4" customWidth="1"/>
    <col min="3584" max="3584" width="19" style="4" customWidth="1"/>
    <col min="3585" max="3585" width="11.42578125" style="4"/>
    <col min="3586" max="3586" width="14.7109375" style="4" customWidth="1"/>
    <col min="3587" max="3587" width="15.140625" style="4" customWidth="1"/>
    <col min="3588" max="3830" width="11.42578125" style="4"/>
    <col min="3831" max="3831" width="3.5703125" style="4" customWidth="1"/>
    <col min="3832" max="3832" width="71.140625" style="4" customWidth="1"/>
    <col min="3833" max="3833" width="18.140625" style="4" customWidth="1"/>
    <col min="3834" max="3834" width="20.140625" style="4" customWidth="1"/>
    <col min="3835" max="3835" width="19.140625" style="4" customWidth="1"/>
    <col min="3836" max="3836" width="23" style="4" customWidth="1"/>
    <col min="3837" max="3837" width="22.140625" style="4" customWidth="1"/>
    <col min="3838" max="3838" width="2.140625" style="4" customWidth="1"/>
    <col min="3839" max="3839" width="18.7109375" style="4" customWidth="1"/>
    <col min="3840" max="3840" width="19" style="4" customWidth="1"/>
    <col min="3841" max="3841" width="11.42578125" style="4"/>
    <col min="3842" max="3842" width="14.7109375" style="4" customWidth="1"/>
    <col min="3843" max="3843" width="15.140625" style="4" customWidth="1"/>
    <col min="3844" max="4086" width="11.42578125" style="4"/>
    <col min="4087" max="4087" width="3.5703125" style="4" customWidth="1"/>
    <col min="4088" max="4088" width="71.140625" style="4" customWidth="1"/>
    <col min="4089" max="4089" width="18.140625" style="4" customWidth="1"/>
    <col min="4090" max="4090" width="20.140625" style="4" customWidth="1"/>
    <col min="4091" max="4091" width="19.140625" style="4" customWidth="1"/>
    <col min="4092" max="4092" width="23" style="4" customWidth="1"/>
    <col min="4093" max="4093" width="22.140625" style="4" customWidth="1"/>
    <col min="4094" max="4094" width="2.140625" style="4" customWidth="1"/>
    <col min="4095" max="4095" width="18.7109375" style="4" customWidth="1"/>
    <col min="4096" max="4096" width="19" style="4" customWidth="1"/>
    <col min="4097" max="4097" width="11.42578125" style="4"/>
    <col min="4098" max="4098" width="14.7109375" style="4" customWidth="1"/>
    <col min="4099" max="4099" width="15.140625" style="4" customWidth="1"/>
    <col min="4100" max="4342" width="11.42578125" style="4"/>
    <col min="4343" max="4343" width="3.5703125" style="4" customWidth="1"/>
    <col min="4344" max="4344" width="71.140625" style="4" customWidth="1"/>
    <col min="4345" max="4345" width="18.140625" style="4" customWidth="1"/>
    <col min="4346" max="4346" width="20.140625" style="4" customWidth="1"/>
    <col min="4347" max="4347" width="19.140625" style="4" customWidth="1"/>
    <col min="4348" max="4348" width="23" style="4" customWidth="1"/>
    <col min="4349" max="4349" width="22.140625" style="4" customWidth="1"/>
    <col min="4350" max="4350" width="2.140625" style="4" customWidth="1"/>
    <col min="4351" max="4351" width="18.7109375" style="4" customWidth="1"/>
    <col min="4352" max="4352" width="19" style="4" customWidth="1"/>
    <col min="4353" max="4353" width="11.42578125" style="4"/>
    <col min="4354" max="4354" width="14.7109375" style="4" customWidth="1"/>
    <col min="4355" max="4355" width="15.140625" style="4" customWidth="1"/>
    <col min="4356" max="4598" width="11.42578125" style="4"/>
    <col min="4599" max="4599" width="3.5703125" style="4" customWidth="1"/>
    <col min="4600" max="4600" width="71.140625" style="4" customWidth="1"/>
    <col min="4601" max="4601" width="18.140625" style="4" customWidth="1"/>
    <col min="4602" max="4602" width="20.140625" style="4" customWidth="1"/>
    <col min="4603" max="4603" width="19.140625" style="4" customWidth="1"/>
    <col min="4604" max="4604" width="23" style="4" customWidth="1"/>
    <col min="4605" max="4605" width="22.140625" style="4" customWidth="1"/>
    <col min="4606" max="4606" width="2.140625" style="4" customWidth="1"/>
    <col min="4607" max="4607" width="18.7109375" style="4" customWidth="1"/>
    <col min="4608" max="4608" width="19" style="4" customWidth="1"/>
    <col min="4609" max="4609" width="11.42578125" style="4"/>
    <col min="4610" max="4610" width="14.7109375" style="4" customWidth="1"/>
    <col min="4611" max="4611" width="15.140625" style="4" customWidth="1"/>
    <col min="4612" max="4854" width="11.42578125" style="4"/>
    <col min="4855" max="4855" width="3.5703125" style="4" customWidth="1"/>
    <col min="4856" max="4856" width="71.140625" style="4" customWidth="1"/>
    <col min="4857" max="4857" width="18.140625" style="4" customWidth="1"/>
    <col min="4858" max="4858" width="20.140625" style="4" customWidth="1"/>
    <col min="4859" max="4859" width="19.140625" style="4" customWidth="1"/>
    <col min="4860" max="4860" width="23" style="4" customWidth="1"/>
    <col min="4861" max="4861" width="22.140625" style="4" customWidth="1"/>
    <col min="4862" max="4862" width="2.140625" style="4" customWidth="1"/>
    <col min="4863" max="4863" width="18.7109375" style="4" customWidth="1"/>
    <col min="4864" max="4864" width="19" style="4" customWidth="1"/>
    <col min="4865" max="4865" width="11.42578125" style="4"/>
    <col min="4866" max="4866" width="14.7109375" style="4" customWidth="1"/>
    <col min="4867" max="4867" width="15.140625" style="4" customWidth="1"/>
    <col min="4868" max="5110" width="11.42578125" style="4"/>
    <col min="5111" max="5111" width="3.5703125" style="4" customWidth="1"/>
    <col min="5112" max="5112" width="71.140625" style="4" customWidth="1"/>
    <col min="5113" max="5113" width="18.140625" style="4" customWidth="1"/>
    <col min="5114" max="5114" width="20.140625" style="4" customWidth="1"/>
    <col min="5115" max="5115" width="19.140625" style="4" customWidth="1"/>
    <col min="5116" max="5116" width="23" style="4" customWidth="1"/>
    <col min="5117" max="5117" width="22.140625" style="4" customWidth="1"/>
    <col min="5118" max="5118" width="2.140625" style="4" customWidth="1"/>
    <col min="5119" max="5119" width="18.7109375" style="4" customWidth="1"/>
    <col min="5120" max="5120" width="19" style="4" customWidth="1"/>
    <col min="5121" max="5121" width="11.42578125" style="4"/>
    <col min="5122" max="5122" width="14.7109375" style="4" customWidth="1"/>
    <col min="5123" max="5123" width="15.140625" style="4" customWidth="1"/>
    <col min="5124" max="5366" width="11.42578125" style="4"/>
    <col min="5367" max="5367" width="3.5703125" style="4" customWidth="1"/>
    <col min="5368" max="5368" width="71.140625" style="4" customWidth="1"/>
    <col min="5369" max="5369" width="18.140625" style="4" customWidth="1"/>
    <col min="5370" max="5370" width="20.140625" style="4" customWidth="1"/>
    <col min="5371" max="5371" width="19.140625" style="4" customWidth="1"/>
    <col min="5372" max="5372" width="23" style="4" customWidth="1"/>
    <col min="5373" max="5373" width="22.140625" style="4" customWidth="1"/>
    <col min="5374" max="5374" width="2.140625" style="4" customWidth="1"/>
    <col min="5375" max="5375" width="18.7109375" style="4" customWidth="1"/>
    <col min="5376" max="5376" width="19" style="4" customWidth="1"/>
    <col min="5377" max="5377" width="11.42578125" style="4"/>
    <col min="5378" max="5378" width="14.7109375" style="4" customWidth="1"/>
    <col min="5379" max="5379" width="15.140625" style="4" customWidth="1"/>
    <col min="5380" max="5622" width="11.42578125" style="4"/>
    <col min="5623" max="5623" width="3.5703125" style="4" customWidth="1"/>
    <col min="5624" max="5624" width="71.140625" style="4" customWidth="1"/>
    <col min="5625" max="5625" width="18.140625" style="4" customWidth="1"/>
    <col min="5626" max="5626" width="20.140625" style="4" customWidth="1"/>
    <col min="5627" max="5627" width="19.140625" style="4" customWidth="1"/>
    <col min="5628" max="5628" width="23" style="4" customWidth="1"/>
    <col min="5629" max="5629" width="22.140625" style="4" customWidth="1"/>
    <col min="5630" max="5630" width="2.140625" style="4" customWidth="1"/>
    <col min="5631" max="5631" width="18.7109375" style="4" customWidth="1"/>
    <col min="5632" max="5632" width="19" style="4" customWidth="1"/>
    <col min="5633" max="5633" width="11.42578125" style="4"/>
    <col min="5634" max="5634" width="14.7109375" style="4" customWidth="1"/>
    <col min="5635" max="5635" width="15.140625" style="4" customWidth="1"/>
    <col min="5636" max="5878" width="11.42578125" style="4"/>
    <col min="5879" max="5879" width="3.5703125" style="4" customWidth="1"/>
    <col min="5880" max="5880" width="71.140625" style="4" customWidth="1"/>
    <col min="5881" max="5881" width="18.140625" style="4" customWidth="1"/>
    <col min="5882" max="5882" width="20.140625" style="4" customWidth="1"/>
    <col min="5883" max="5883" width="19.140625" style="4" customWidth="1"/>
    <col min="5884" max="5884" width="23" style="4" customWidth="1"/>
    <col min="5885" max="5885" width="22.140625" style="4" customWidth="1"/>
    <col min="5886" max="5886" width="2.140625" style="4" customWidth="1"/>
    <col min="5887" max="5887" width="18.7109375" style="4" customWidth="1"/>
    <col min="5888" max="5888" width="19" style="4" customWidth="1"/>
    <col min="5889" max="5889" width="11.42578125" style="4"/>
    <col min="5890" max="5890" width="14.7109375" style="4" customWidth="1"/>
    <col min="5891" max="5891" width="15.140625" style="4" customWidth="1"/>
    <col min="5892" max="6134" width="11.42578125" style="4"/>
    <col min="6135" max="6135" width="3.5703125" style="4" customWidth="1"/>
    <col min="6136" max="6136" width="71.140625" style="4" customWidth="1"/>
    <col min="6137" max="6137" width="18.140625" style="4" customWidth="1"/>
    <col min="6138" max="6138" width="20.140625" style="4" customWidth="1"/>
    <col min="6139" max="6139" width="19.140625" style="4" customWidth="1"/>
    <col min="6140" max="6140" width="23" style="4" customWidth="1"/>
    <col min="6141" max="6141" width="22.140625" style="4" customWidth="1"/>
    <col min="6142" max="6142" width="2.140625" style="4" customWidth="1"/>
    <col min="6143" max="6143" width="18.7109375" style="4" customWidth="1"/>
    <col min="6144" max="6144" width="19" style="4" customWidth="1"/>
    <col min="6145" max="6145" width="11.42578125" style="4"/>
    <col min="6146" max="6146" width="14.7109375" style="4" customWidth="1"/>
    <col min="6147" max="6147" width="15.140625" style="4" customWidth="1"/>
    <col min="6148" max="6390" width="11.42578125" style="4"/>
    <col min="6391" max="6391" width="3.5703125" style="4" customWidth="1"/>
    <col min="6392" max="6392" width="71.140625" style="4" customWidth="1"/>
    <col min="6393" max="6393" width="18.140625" style="4" customWidth="1"/>
    <col min="6394" max="6394" width="20.140625" style="4" customWidth="1"/>
    <col min="6395" max="6395" width="19.140625" style="4" customWidth="1"/>
    <col min="6396" max="6396" width="23" style="4" customWidth="1"/>
    <col min="6397" max="6397" width="22.140625" style="4" customWidth="1"/>
    <col min="6398" max="6398" width="2.140625" style="4" customWidth="1"/>
    <col min="6399" max="6399" width="18.7109375" style="4" customWidth="1"/>
    <col min="6400" max="6400" width="19" style="4" customWidth="1"/>
    <col min="6401" max="6401" width="11.42578125" style="4"/>
    <col min="6402" max="6402" width="14.7109375" style="4" customWidth="1"/>
    <col min="6403" max="6403" width="15.140625" style="4" customWidth="1"/>
    <col min="6404" max="6646" width="11.42578125" style="4"/>
    <col min="6647" max="6647" width="3.5703125" style="4" customWidth="1"/>
    <col min="6648" max="6648" width="71.140625" style="4" customWidth="1"/>
    <col min="6649" max="6649" width="18.140625" style="4" customWidth="1"/>
    <col min="6650" max="6650" width="20.140625" style="4" customWidth="1"/>
    <col min="6651" max="6651" width="19.140625" style="4" customWidth="1"/>
    <col min="6652" max="6652" width="23" style="4" customWidth="1"/>
    <col min="6653" max="6653" width="22.140625" style="4" customWidth="1"/>
    <col min="6654" max="6654" width="2.140625" style="4" customWidth="1"/>
    <col min="6655" max="6655" width="18.7109375" style="4" customWidth="1"/>
    <col min="6656" max="6656" width="19" style="4" customWidth="1"/>
    <col min="6657" max="6657" width="11.42578125" style="4"/>
    <col min="6658" max="6658" width="14.7109375" style="4" customWidth="1"/>
    <col min="6659" max="6659" width="15.140625" style="4" customWidth="1"/>
    <col min="6660" max="6902" width="11.42578125" style="4"/>
    <col min="6903" max="6903" width="3.5703125" style="4" customWidth="1"/>
    <col min="6904" max="6904" width="71.140625" style="4" customWidth="1"/>
    <col min="6905" max="6905" width="18.140625" style="4" customWidth="1"/>
    <col min="6906" max="6906" width="20.140625" style="4" customWidth="1"/>
    <col min="6907" max="6907" width="19.140625" style="4" customWidth="1"/>
    <col min="6908" max="6908" width="23" style="4" customWidth="1"/>
    <col min="6909" max="6909" width="22.140625" style="4" customWidth="1"/>
    <col min="6910" max="6910" width="2.140625" style="4" customWidth="1"/>
    <col min="6911" max="6911" width="18.7109375" style="4" customWidth="1"/>
    <col min="6912" max="6912" width="19" style="4" customWidth="1"/>
    <col min="6913" max="6913" width="11.42578125" style="4"/>
    <col min="6914" max="6914" width="14.7109375" style="4" customWidth="1"/>
    <col min="6915" max="6915" width="15.140625" style="4" customWidth="1"/>
    <col min="6916" max="7158" width="11.42578125" style="4"/>
    <col min="7159" max="7159" width="3.5703125" style="4" customWidth="1"/>
    <col min="7160" max="7160" width="71.140625" style="4" customWidth="1"/>
    <col min="7161" max="7161" width="18.140625" style="4" customWidth="1"/>
    <col min="7162" max="7162" width="20.140625" style="4" customWidth="1"/>
    <col min="7163" max="7163" width="19.140625" style="4" customWidth="1"/>
    <col min="7164" max="7164" width="23" style="4" customWidth="1"/>
    <col min="7165" max="7165" width="22.140625" style="4" customWidth="1"/>
    <col min="7166" max="7166" width="2.140625" style="4" customWidth="1"/>
    <col min="7167" max="7167" width="18.7109375" style="4" customWidth="1"/>
    <col min="7168" max="7168" width="19" style="4" customWidth="1"/>
    <col min="7169" max="7169" width="11.42578125" style="4"/>
    <col min="7170" max="7170" width="14.7109375" style="4" customWidth="1"/>
    <col min="7171" max="7171" width="15.140625" style="4" customWidth="1"/>
    <col min="7172" max="7414" width="11.42578125" style="4"/>
    <col min="7415" max="7415" width="3.5703125" style="4" customWidth="1"/>
    <col min="7416" max="7416" width="71.140625" style="4" customWidth="1"/>
    <col min="7417" max="7417" width="18.140625" style="4" customWidth="1"/>
    <col min="7418" max="7418" width="20.140625" style="4" customWidth="1"/>
    <col min="7419" max="7419" width="19.140625" style="4" customWidth="1"/>
    <col min="7420" max="7420" width="23" style="4" customWidth="1"/>
    <col min="7421" max="7421" width="22.140625" style="4" customWidth="1"/>
    <col min="7422" max="7422" width="2.140625" style="4" customWidth="1"/>
    <col min="7423" max="7423" width="18.7109375" style="4" customWidth="1"/>
    <col min="7424" max="7424" width="19" style="4" customWidth="1"/>
    <col min="7425" max="7425" width="11.42578125" style="4"/>
    <col min="7426" max="7426" width="14.7109375" style="4" customWidth="1"/>
    <col min="7427" max="7427" width="15.140625" style="4" customWidth="1"/>
    <col min="7428" max="7670" width="11.42578125" style="4"/>
    <col min="7671" max="7671" width="3.5703125" style="4" customWidth="1"/>
    <col min="7672" max="7672" width="71.140625" style="4" customWidth="1"/>
    <col min="7673" max="7673" width="18.140625" style="4" customWidth="1"/>
    <col min="7674" max="7674" width="20.140625" style="4" customWidth="1"/>
    <col min="7675" max="7675" width="19.140625" style="4" customWidth="1"/>
    <col min="7676" max="7676" width="23" style="4" customWidth="1"/>
    <col min="7677" max="7677" width="22.140625" style="4" customWidth="1"/>
    <col min="7678" max="7678" width="2.140625" style="4" customWidth="1"/>
    <col min="7679" max="7679" width="18.7109375" style="4" customWidth="1"/>
    <col min="7680" max="7680" width="19" style="4" customWidth="1"/>
    <col min="7681" max="7681" width="11.42578125" style="4"/>
    <col min="7682" max="7682" width="14.7109375" style="4" customWidth="1"/>
    <col min="7683" max="7683" width="15.140625" style="4" customWidth="1"/>
    <col min="7684" max="7926" width="11.42578125" style="4"/>
    <col min="7927" max="7927" width="3.5703125" style="4" customWidth="1"/>
    <col min="7928" max="7928" width="71.140625" style="4" customWidth="1"/>
    <col min="7929" max="7929" width="18.140625" style="4" customWidth="1"/>
    <col min="7930" max="7930" width="20.140625" style="4" customWidth="1"/>
    <col min="7931" max="7931" width="19.140625" style="4" customWidth="1"/>
    <col min="7932" max="7932" width="23" style="4" customWidth="1"/>
    <col min="7933" max="7933" width="22.140625" style="4" customWidth="1"/>
    <col min="7934" max="7934" width="2.140625" style="4" customWidth="1"/>
    <col min="7935" max="7935" width="18.7109375" style="4" customWidth="1"/>
    <col min="7936" max="7936" width="19" style="4" customWidth="1"/>
    <col min="7937" max="7937" width="11.42578125" style="4"/>
    <col min="7938" max="7938" width="14.7109375" style="4" customWidth="1"/>
    <col min="7939" max="7939" width="15.140625" style="4" customWidth="1"/>
    <col min="7940" max="8182" width="11.42578125" style="4"/>
    <col min="8183" max="8183" width="3.5703125" style="4" customWidth="1"/>
    <col min="8184" max="8184" width="71.140625" style="4" customWidth="1"/>
    <col min="8185" max="8185" width="18.140625" style="4" customWidth="1"/>
    <col min="8186" max="8186" width="20.140625" style="4" customWidth="1"/>
    <col min="8187" max="8187" width="19.140625" style="4" customWidth="1"/>
    <col min="8188" max="8188" width="23" style="4" customWidth="1"/>
    <col min="8189" max="8189" width="22.140625" style="4" customWidth="1"/>
    <col min="8190" max="8190" width="2.140625" style="4" customWidth="1"/>
    <col min="8191" max="8191" width="18.7109375" style="4" customWidth="1"/>
    <col min="8192" max="8192" width="19" style="4" customWidth="1"/>
    <col min="8193" max="8193" width="11.42578125" style="4"/>
    <col min="8194" max="8194" width="14.7109375" style="4" customWidth="1"/>
    <col min="8195" max="8195" width="15.140625" style="4" customWidth="1"/>
    <col min="8196" max="8438" width="11.42578125" style="4"/>
    <col min="8439" max="8439" width="3.5703125" style="4" customWidth="1"/>
    <col min="8440" max="8440" width="71.140625" style="4" customWidth="1"/>
    <col min="8441" max="8441" width="18.140625" style="4" customWidth="1"/>
    <col min="8442" max="8442" width="20.140625" style="4" customWidth="1"/>
    <col min="8443" max="8443" width="19.140625" style="4" customWidth="1"/>
    <col min="8444" max="8444" width="23" style="4" customWidth="1"/>
    <col min="8445" max="8445" width="22.140625" style="4" customWidth="1"/>
    <col min="8446" max="8446" width="2.140625" style="4" customWidth="1"/>
    <col min="8447" max="8447" width="18.7109375" style="4" customWidth="1"/>
    <col min="8448" max="8448" width="19" style="4" customWidth="1"/>
    <col min="8449" max="8449" width="11.42578125" style="4"/>
    <col min="8450" max="8450" width="14.7109375" style="4" customWidth="1"/>
    <col min="8451" max="8451" width="15.140625" style="4" customWidth="1"/>
    <col min="8452" max="8694" width="11.42578125" style="4"/>
    <col min="8695" max="8695" width="3.5703125" style="4" customWidth="1"/>
    <col min="8696" max="8696" width="71.140625" style="4" customWidth="1"/>
    <col min="8697" max="8697" width="18.140625" style="4" customWidth="1"/>
    <col min="8698" max="8698" width="20.140625" style="4" customWidth="1"/>
    <col min="8699" max="8699" width="19.140625" style="4" customWidth="1"/>
    <col min="8700" max="8700" width="23" style="4" customWidth="1"/>
    <col min="8701" max="8701" width="22.140625" style="4" customWidth="1"/>
    <col min="8702" max="8702" width="2.140625" style="4" customWidth="1"/>
    <col min="8703" max="8703" width="18.7109375" style="4" customWidth="1"/>
    <col min="8704" max="8704" width="19" style="4" customWidth="1"/>
    <col min="8705" max="8705" width="11.42578125" style="4"/>
    <col min="8706" max="8706" width="14.7109375" style="4" customWidth="1"/>
    <col min="8707" max="8707" width="15.140625" style="4" customWidth="1"/>
    <col min="8708" max="8950" width="11.42578125" style="4"/>
    <col min="8951" max="8951" width="3.5703125" style="4" customWidth="1"/>
    <col min="8952" max="8952" width="71.140625" style="4" customWidth="1"/>
    <col min="8953" max="8953" width="18.140625" style="4" customWidth="1"/>
    <col min="8954" max="8954" width="20.140625" style="4" customWidth="1"/>
    <col min="8955" max="8955" width="19.140625" style="4" customWidth="1"/>
    <col min="8956" max="8956" width="23" style="4" customWidth="1"/>
    <col min="8957" max="8957" width="22.140625" style="4" customWidth="1"/>
    <col min="8958" max="8958" width="2.140625" style="4" customWidth="1"/>
    <col min="8959" max="8959" width="18.7109375" style="4" customWidth="1"/>
    <col min="8960" max="8960" width="19" style="4" customWidth="1"/>
    <col min="8961" max="8961" width="11.42578125" style="4"/>
    <col min="8962" max="8962" width="14.7109375" style="4" customWidth="1"/>
    <col min="8963" max="8963" width="15.140625" style="4" customWidth="1"/>
    <col min="8964" max="9206" width="11.42578125" style="4"/>
    <col min="9207" max="9207" width="3.5703125" style="4" customWidth="1"/>
    <col min="9208" max="9208" width="71.140625" style="4" customWidth="1"/>
    <col min="9209" max="9209" width="18.140625" style="4" customWidth="1"/>
    <col min="9210" max="9210" width="20.140625" style="4" customWidth="1"/>
    <col min="9211" max="9211" width="19.140625" style="4" customWidth="1"/>
    <col min="9212" max="9212" width="23" style="4" customWidth="1"/>
    <col min="9213" max="9213" width="22.140625" style="4" customWidth="1"/>
    <col min="9214" max="9214" width="2.140625" style="4" customWidth="1"/>
    <col min="9215" max="9215" width="18.7109375" style="4" customWidth="1"/>
    <col min="9216" max="9216" width="19" style="4" customWidth="1"/>
    <col min="9217" max="9217" width="11.42578125" style="4"/>
    <col min="9218" max="9218" width="14.7109375" style="4" customWidth="1"/>
    <col min="9219" max="9219" width="15.140625" style="4" customWidth="1"/>
    <col min="9220" max="9462" width="11.42578125" style="4"/>
    <col min="9463" max="9463" width="3.5703125" style="4" customWidth="1"/>
    <col min="9464" max="9464" width="71.140625" style="4" customWidth="1"/>
    <col min="9465" max="9465" width="18.140625" style="4" customWidth="1"/>
    <col min="9466" max="9466" width="20.140625" style="4" customWidth="1"/>
    <col min="9467" max="9467" width="19.140625" style="4" customWidth="1"/>
    <col min="9468" max="9468" width="23" style="4" customWidth="1"/>
    <col min="9469" max="9469" width="22.140625" style="4" customWidth="1"/>
    <col min="9470" max="9470" width="2.140625" style="4" customWidth="1"/>
    <col min="9471" max="9471" width="18.7109375" style="4" customWidth="1"/>
    <col min="9472" max="9472" width="19" style="4" customWidth="1"/>
    <col min="9473" max="9473" width="11.42578125" style="4"/>
    <col min="9474" max="9474" width="14.7109375" style="4" customWidth="1"/>
    <col min="9475" max="9475" width="15.140625" style="4" customWidth="1"/>
    <col min="9476" max="9718" width="11.42578125" style="4"/>
    <col min="9719" max="9719" width="3.5703125" style="4" customWidth="1"/>
    <col min="9720" max="9720" width="71.140625" style="4" customWidth="1"/>
    <col min="9721" max="9721" width="18.140625" style="4" customWidth="1"/>
    <col min="9722" max="9722" width="20.140625" style="4" customWidth="1"/>
    <col min="9723" max="9723" width="19.140625" style="4" customWidth="1"/>
    <col min="9724" max="9724" width="23" style="4" customWidth="1"/>
    <col min="9725" max="9725" width="22.140625" style="4" customWidth="1"/>
    <col min="9726" max="9726" width="2.140625" style="4" customWidth="1"/>
    <col min="9727" max="9727" width="18.7109375" style="4" customWidth="1"/>
    <col min="9728" max="9728" width="19" style="4" customWidth="1"/>
    <col min="9729" max="9729" width="11.42578125" style="4"/>
    <col min="9730" max="9730" width="14.7109375" style="4" customWidth="1"/>
    <col min="9731" max="9731" width="15.140625" style="4" customWidth="1"/>
    <col min="9732" max="9974" width="11.42578125" style="4"/>
    <col min="9975" max="9975" width="3.5703125" style="4" customWidth="1"/>
    <col min="9976" max="9976" width="71.140625" style="4" customWidth="1"/>
    <col min="9977" max="9977" width="18.140625" style="4" customWidth="1"/>
    <col min="9978" max="9978" width="20.140625" style="4" customWidth="1"/>
    <col min="9979" max="9979" width="19.140625" style="4" customWidth="1"/>
    <col min="9980" max="9980" width="23" style="4" customWidth="1"/>
    <col min="9981" max="9981" width="22.140625" style="4" customWidth="1"/>
    <col min="9982" max="9982" width="2.140625" style="4" customWidth="1"/>
    <col min="9983" max="9983" width="18.7109375" style="4" customWidth="1"/>
    <col min="9984" max="9984" width="19" style="4" customWidth="1"/>
    <col min="9985" max="9985" width="11.42578125" style="4"/>
    <col min="9986" max="9986" width="14.7109375" style="4" customWidth="1"/>
    <col min="9987" max="9987" width="15.140625" style="4" customWidth="1"/>
    <col min="9988" max="10230" width="11.42578125" style="4"/>
    <col min="10231" max="10231" width="3.5703125" style="4" customWidth="1"/>
    <col min="10232" max="10232" width="71.140625" style="4" customWidth="1"/>
    <col min="10233" max="10233" width="18.140625" style="4" customWidth="1"/>
    <col min="10234" max="10234" width="20.140625" style="4" customWidth="1"/>
    <col min="10235" max="10235" width="19.140625" style="4" customWidth="1"/>
    <col min="10236" max="10236" width="23" style="4" customWidth="1"/>
    <col min="10237" max="10237" width="22.140625" style="4" customWidth="1"/>
    <col min="10238" max="10238" width="2.140625" style="4" customWidth="1"/>
    <col min="10239" max="10239" width="18.7109375" style="4" customWidth="1"/>
    <col min="10240" max="10240" width="19" style="4" customWidth="1"/>
    <col min="10241" max="10241" width="11.42578125" style="4"/>
    <col min="10242" max="10242" width="14.7109375" style="4" customWidth="1"/>
    <col min="10243" max="10243" width="15.140625" style="4" customWidth="1"/>
    <col min="10244" max="10486" width="11.42578125" style="4"/>
    <col min="10487" max="10487" width="3.5703125" style="4" customWidth="1"/>
    <col min="10488" max="10488" width="71.140625" style="4" customWidth="1"/>
    <col min="10489" max="10489" width="18.140625" style="4" customWidth="1"/>
    <col min="10490" max="10490" width="20.140625" style="4" customWidth="1"/>
    <col min="10491" max="10491" width="19.140625" style="4" customWidth="1"/>
    <col min="10492" max="10492" width="23" style="4" customWidth="1"/>
    <col min="10493" max="10493" width="22.140625" style="4" customWidth="1"/>
    <col min="10494" max="10494" width="2.140625" style="4" customWidth="1"/>
    <col min="10495" max="10495" width="18.7109375" style="4" customWidth="1"/>
    <col min="10496" max="10496" width="19" style="4" customWidth="1"/>
    <col min="10497" max="10497" width="11.42578125" style="4"/>
    <col min="10498" max="10498" width="14.7109375" style="4" customWidth="1"/>
    <col min="10499" max="10499" width="15.140625" style="4" customWidth="1"/>
    <col min="10500" max="10742" width="11.42578125" style="4"/>
    <col min="10743" max="10743" width="3.5703125" style="4" customWidth="1"/>
    <col min="10744" max="10744" width="71.140625" style="4" customWidth="1"/>
    <col min="10745" max="10745" width="18.140625" style="4" customWidth="1"/>
    <col min="10746" max="10746" width="20.140625" style="4" customWidth="1"/>
    <col min="10747" max="10747" width="19.140625" style="4" customWidth="1"/>
    <col min="10748" max="10748" width="23" style="4" customWidth="1"/>
    <col min="10749" max="10749" width="22.140625" style="4" customWidth="1"/>
    <col min="10750" max="10750" width="2.140625" style="4" customWidth="1"/>
    <col min="10751" max="10751" width="18.7109375" style="4" customWidth="1"/>
    <col min="10752" max="10752" width="19" style="4" customWidth="1"/>
    <col min="10753" max="10753" width="11.42578125" style="4"/>
    <col min="10754" max="10754" width="14.7109375" style="4" customWidth="1"/>
    <col min="10755" max="10755" width="15.140625" style="4" customWidth="1"/>
    <col min="10756" max="10998" width="11.42578125" style="4"/>
    <col min="10999" max="10999" width="3.5703125" style="4" customWidth="1"/>
    <col min="11000" max="11000" width="71.140625" style="4" customWidth="1"/>
    <col min="11001" max="11001" width="18.140625" style="4" customWidth="1"/>
    <col min="11002" max="11002" width="20.140625" style="4" customWidth="1"/>
    <col min="11003" max="11003" width="19.140625" style="4" customWidth="1"/>
    <col min="11004" max="11004" width="23" style="4" customWidth="1"/>
    <col min="11005" max="11005" width="22.140625" style="4" customWidth="1"/>
    <col min="11006" max="11006" width="2.140625" style="4" customWidth="1"/>
    <col min="11007" max="11007" width="18.7109375" style="4" customWidth="1"/>
    <col min="11008" max="11008" width="19" style="4" customWidth="1"/>
    <col min="11009" max="11009" width="11.42578125" style="4"/>
    <col min="11010" max="11010" width="14.7109375" style="4" customWidth="1"/>
    <col min="11011" max="11011" width="15.140625" style="4" customWidth="1"/>
    <col min="11012" max="11254" width="11.42578125" style="4"/>
    <col min="11255" max="11255" width="3.5703125" style="4" customWidth="1"/>
    <col min="11256" max="11256" width="71.140625" style="4" customWidth="1"/>
    <col min="11257" max="11257" width="18.140625" style="4" customWidth="1"/>
    <col min="11258" max="11258" width="20.140625" style="4" customWidth="1"/>
    <col min="11259" max="11259" width="19.140625" style="4" customWidth="1"/>
    <col min="11260" max="11260" width="23" style="4" customWidth="1"/>
    <col min="11261" max="11261" width="22.140625" style="4" customWidth="1"/>
    <col min="11262" max="11262" width="2.140625" style="4" customWidth="1"/>
    <col min="11263" max="11263" width="18.7109375" style="4" customWidth="1"/>
    <col min="11264" max="11264" width="19" style="4" customWidth="1"/>
    <col min="11265" max="11265" width="11.42578125" style="4"/>
    <col min="11266" max="11266" width="14.7109375" style="4" customWidth="1"/>
    <col min="11267" max="11267" width="15.140625" style="4" customWidth="1"/>
    <col min="11268" max="11510" width="11.42578125" style="4"/>
    <col min="11511" max="11511" width="3.5703125" style="4" customWidth="1"/>
    <col min="11512" max="11512" width="71.140625" style="4" customWidth="1"/>
    <col min="11513" max="11513" width="18.140625" style="4" customWidth="1"/>
    <col min="11514" max="11514" width="20.140625" style="4" customWidth="1"/>
    <col min="11515" max="11515" width="19.140625" style="4" customWidth="1"/>
    <col min="11516" max="11516" width="23" style="4" customWidth="1"/>
    <col min="11517" max="11517" width="22.140625" style="4" customWidth="1"/>
    <col min="11518" max="11518" width="2.140625" style="4" customWidth="1"/>
    <col min="11519" max="11519" width="18.7109375" style="4" customWidth="1"/>
    <col min="11520" max="11520" width="19" style="4" customWidth="1"/>
    <col min="11521" max="11521" width="11.42578125" style="4"/>
    <col min="11522" max="11522" width="14.7109375" style="4" customWidth="1"/>
    <col min="11523" max="11523" width="15.140625" style="4" customWidth="1"/>
    <col min="11524" max="11766" width="11.42578125" style="4"/>
    <col min="11767" max="11767" width="3.5703125" style="4" customWidth="1"/>
    <col min="11768" max="11768" width="71.140625" style="4" customWidth="1"/>
    <col min="11769" max="11769" width="18.140625" style="4" customWidth="1"/>
    <col min="11770" max="11770" width="20.140625" style="4" customWidth="1"/>
    <col min="11771" max="11771" width="19.140625" style="4" customWidth="1"/>
    <col min="11772" max="11772" width="23" style="4" customWidth="1"/>
    <col min="11773" max="11773" width="22.140625" style="4" customWidth="1"/>
    <col min="11774" max="11774" width="2.140625" style="4" customWidth="1"/>
    <col min="11775" max="11775" width="18.7109375" style="4" customWidth="1"/>
    <col min="11776" max="11776" width="19" style="4" customWidth="1"/>
    <col min="11777" max="11777" width="11.42578125" style="4"/>
    <col min="11778" max="11778" width="14.7109375" style="4" customWidth="1"/>
    <col min="11779" max="11779" width="15.140625" style="4" customWidth="1"/>
    <col min="11780" max="12022" width="11.42578125" style="4"/>
    <col min="12023" max="12023" width="3.5703125" style="4" customWidth="1"/>
    <col min="12024" max="12024" width="71.140625" style="4" customWidth="1"/>
    <col min="12025" max="12025" width="18.140625" style="4" customWidth="1"/>
    <col min="12026" max="12026" width="20.140625" style="4" customWidth="1"/>
    <col min="12027" max="12027" width="19.140625" style="4" customWidth="1"/>
    <col min="12028" max="12028" width="23" style="4" customWidth="1"/>
    <col min="12029" max="12029" width="22.140625" style="4" customWidth="1"/>
    <col min="12030" max="12030" width="2.140625" style="4" customWidth="1"/>
    <col min="12031" max="12031" width="18.7109375" style="4" customWidth="1"/>
    <col min="12032" max="12032" width="19" style="4" customWidth="1"/>
    <col min="12033" max="12033" width="11.42578125" style="4"/>
    <col min="12034" max="12034" width="14.7109375" style="4" customWidth="1"/>
    <col min="12035" max="12035" width="15.140625" style="4" customWidth="1"/>
    <col min="12036" max="12278" width="11.42578125" style="4"/>
    <col min="12279" max="12279" width="3.5703125" style="4" customWidth="1"/>
    <col min="12280" max="12280" width="71.140625" style="4" customWidth="1"/>
    <col min="12281" max="12281" width="18.140625" style="4" customWidth="1"/>
    <col min="12282" max="12282" width="20.140625" style="4" customWidth="1"/>
    <col min="12283" max="12283" width="19.140625" style="4" customWidth="1"/>
    <col min="12284" max="12284" width="23" style="4" customWidth="1"/>
    <col min="12285" max="12285" width="22.140625" style="4" customWidth="1"/>
    <col min="12286" max="12286" width="2.140625" style="4" customWidth="1"/>
    <col min="12287" max="12287" width="18.7109375" style="4" customWidth="1"/>
    <col min="12288" max="12288" width="19" style="4" customWidth="1"/>
    <col min="12289" max="12289" width="11.42578125" style="4"/>
    <col min="12290" max="12290" width="14.7109375" style="4" customWidth="1"/>
    <col min="12291" max="12291" width="15.140625" style="4" customWidth="1"/>
    <col min="12292" max="12534" width="11.42578125" style="4"/>
    <col min="12535" max="12535" width="3.5703125" style="4" customWidth="1"/>
    <col min="12536" max="12536" width="71.140625" style="4" customWidth="1"/>
    <col min="12537" max="12537" width="18.140625" style="4" customWidth="1"/>
    <col min="12538" max="12538" width="20.140625" style="4" customWidth="1"/>
    <col min="12539" max="12539" width="19.140625" style="4" customWidth="1"/>
    <col min="12540" max="12540" width="23" style="4" customWidth="1"/>
    <col min="12541" max="12541" width="22.140625" style="4" customWidth="1"/>
    <col min="12542" max="12542" width="2.140625" style="4" customWidth="1"/>
    <col min="12543" max="12543" width="18.7109375" style="4" customWidth="1"/>
    <col min="12544" max="12544" width="19" style="4" customWidth="1"/>
    <col min="12545" max="12545" width="11.42578125" style="4"/>
    <col min="12546" max="12546" width="14.7109375" style="4" customWidth="1"/>
    <col min="12547" max="12547" width="15.140625" style="4" customWidth="1"/>
    <col min="12548" max="12790" width="11.42578125" style="4"/>
    <col min="12791" max="12791" width="3.5703125" style="4" customWidth="1"/>
    <col min="12792" max="12792" width="71.140625" style="4" customWidth="1"/>
    <col min="12793" max="12793" width="18.140625" style="4" customWidth="1"/>
    <col min="12794" max="12794" width="20.140625" style="4" customWidth="1"/>
    <col min="12795" max="12795" width="19.140625" style="4" customWidth="1"/>
    <col min="12796" max="12796" width="23" style="4" customWidth="1"/>
    <col min="12797" max="12797" width="22.140625" style="4" customWidth="1"/>
    <col min="12798" max="12798" width="2.140625" style="4" customWidth="1"/>
    <col min="12799" max="12799" width="18.7109375" style="4" customWidth="1"/>
    <col min="12800" max="12800" width="19" style="4" customWidth="1"/>
    <col min="12801" max="12801" width="11.42578125" style="4"/>
    <col min="12802" max="12802" width="14.7109375" style="4" customWidth="1"/>
    <col min="12803" max="12803" width="15.140625" style="4" customWidth="1"/>
    <col min="12804" max="13046" width="11.42578125" style="4"/>
    <col min="13047" max="13047" width="3.5703125" style="4" customWidth="1"/>
    <col min="13048" max="13048" width="71.140625" style="4" customWidth="1"/>
    <col min="13049" max="13049" width="18.140625" style="4" customWidth="1"/>
    <col min="13050" max="13050" width="20.140625" style="4" customWidth="1"/>
    <col min="13051" max="13051" width="19.140625" style="4" customWidth="1"/>
    <col min="13052" max="13052" width="23" style="4" customWidth="1"/>
    <col min="13053" max="13053" width="22.140625" style="4" customWidth="1"/>
    <col min="13054" max="13054" width="2.140625" style="4" customWidth="1"/>
    <col min="13055" max="13055" width="18.7109375" style="4" customWidth="1"/>
    <col min="13056" max="13056" width="19" style="4" customWidth="1"/>
    <col min="13057" max="13057" width="11.42578125" style="4"/>
    <col min="13058" max="13058" width="14.7109375" style="4" customWidth="1"/>
    <col min="13059" max="13059" width="15.140625" style="4" customWidth="1"/>
    <col min="13060" max="13302" width="11.42578125" style="4"/>
    <col min="13303" max="13303" width="3.5703125" style="4" customWidth="1"/>
    <col min="13304" max="13304" width="71.140625" style="4" customWidth="1"/>
    <col min="13305" max="13305" width="18.140625" style="4" customWidth="1"/>
    <col min="13306" max="13306" width="20.140625" style="4" customWidth="1"/>
    <col min="13307" max="13307" width="19.140625" style="4" customWidth="1"/>
    <col min="13308" max="13308" width="23" style="4" customWidth="1"/>
    <col min="13309" max="13309" width="22.140625" style="4" customWidth="1"/>
    <col min="13310" max="13310" width="2.140625" style="4" customWidth="1"/>
    <col min="13311" max="13311" width="18.7109375" style="4" customWidth="1"/>
    <col min="13312" max="13312" width="19" style="4" customWidth="1"/>
    <col min="13313" max="13313" width="11.42578125" style="4"/>
    <col min="13314" max="13314" width="14.7109375" style="4" customWidth="1"/>
    <col min="13315" max="13315" width="15.140625" style="4" customWidth="1"/>
    <col min="13316" max="13558" width="11.42578125" style="4"/>
    <col min="13559" max="13559" width="3.5703125" style="4" customWidth="1"/>
    <col min="13560" max="13560" width="71.140625" style="4" customWidth="1"/>
    <col min="13561" max="13561" width="18.140625" style="4" customWidth="1"/>
    <col min="13562" max="13562" width="20.140625" style="4" customWidth="1"/>
    <col min="13563" max="13563" width="19.140625" style="4" customWidth="1"/>
    <col min="13564" max="13564" width="23" style="4" customWidth="1"/>
    <col min="13565" max="13565" width="22.140625" style="4" customWidth="1"/>
    <col min="13566" max="13566" width="2.140625" style="4" customWidth="1"/>
    <col min="13567" max="13567" width="18.7109375" style="4" customWidth="1"/>
    <col min="13568" max="13568" width="19" style="4" customWidth="1"/>
    <col min="13569" max="13569" width="11.42578125" style="4"/>
    <col min="13570" max="13570" width="14.7109375" style="4" customWidth="1"/>
    <col min="13571" max="13571" width="15.140625" style="4" customWidth="1"/>
    <col min="13572" max="13814" width="11.42578125" style="4"/>
    <col min="13815" max="13815" width="3.5703125" style="4" customWidth="1"/>
    <col min="13816" max="13816" width="71.140625" style="4" customWidth="1"/>
    <col min="13817" max="13817" width="18.140625" style="4" customWidth="1"/>
    <col min="13818" max="13818" width="20.140625" style="4" customWidth="1"/>
    <col min="13819" max="13819" width="19.140625" style="4" customWidth="1"/>
    <col min="13820" max="13820" width="23" style="4" customWidth="1"/>
    <col min="13821" max="13821" width="22.140625" style="4" customWidth="1"/>
    <col min="13822" max="13822" width="2.140625" style="4" customWidth="1"/>
    <col min="13823" max="13823" width="18.7109375" style="4" customWidth="1"/>
    <col min="13824" max="13824" width="19" style="4" customWidth="1"/>
    <col min="13825" max="13825" width="11.42578125" style="4"/>
    <col min="13826" max="13826" width="14.7109375" style="4" customWidth="1"/>
    <col min="13827" max="13827" width="15.140625" style="4" customWidth="1"/>
    <col min="13828" max="14070" width="11.42578125" style="4"/>
    <col min="14071" max="14071" width="3.5703125" style="4" customWidth="1"/>
    <col min="14072" max="14072" width="71.140625" style="4" customWidth="1"/>
    <col min="14073" max="14073" width="18.140625" style="4" customWidth="1"/>
    <col min="14074" max="14074" width="20.140625" style="4" customWidth="1"/>
    <col min="14075" max="14075" width="19.140625" style="4" customWidth="1"/>
    <col min="14076" max="14076" width="23" style="4" customWidth="1"/>
    <col min="14077" max="14077" width="22.140625" style="4" customWidth="1"/>
    <col min="14078" max="14078" width="2.140625" style="4" customWidth="1"/>
    <col min="14079" max="14079" width="18.7109375" style="4" customWidth="1"/>
    <col min="14080" max="14080" width="19" style="4" customWidth="1"/>
    <col min="14081" max="14081" width="11.42578125" style="4"/>
    <col min="14082" max="14082" width="14.7109375" style="4" customWidth="1"/>
    <col min="14083" max="14083" width="15.140625" style="4" customWidth="1"/>
    <col min="14084" max="14326" width="11.42578125" style="4"/>
    <col min="14327" max="14327" width="3.5703125" style="4" customWidth="1"/>
    <col min="14328" max="14328" width="71.140625" style="4" customWidth="1"/>
    <col min="14329" max="14329" width="18.140625" style="4" customWidth="1"/>
    <col min="14330" max="14330" width="20.140625" style="4" customWidth="1"/>
    <col min="14331" max="14331" width="19.140625" style="4" customWidth="1"/>
    <col min="14332" max="14332" width="23" style="4" customWidth="1"/>
    <col min="14333" max="14333" width="22.140625" style="4" customWidth="1"/>
    <col min="14334" max="14334" width="2.140625" style="4" customWidth="1"/>
    <col min="14335" max="14335" width="18.7109375" style="4" customWidth="1"/>
    <col min="14336" max="14336" width="19" style="4" customWidth="1"/>
    <col min="14337" max="14337" width="11.42578125" style="4"/>
    <col min="14338" max="14338" width="14.7109375" style="4" customWidth="1"/>
    <col min="14339" max="14339" width="15.140625" style="4" customWidth="1"/>
    <col min="14340" max="14582" width="11.42578125" style="4"/>
    <col min="14583" max="14583" width="3.5703125" style="4" customWidth="1"/>
    <col min="14584" max="14584" width="71.140625" style="4" customWidth="1"/>
    <col min="14585" max="14585" width="18.140625" style="4" customWidth="1"/>
    <col min="14586" max="14586" width="20.140625" style="4" customWidth="1"/>
    <col min="14587" max="14587" width="19.140625" style="4" customWidth="1"/>
    <col min="14588" max="14588" width="23" style="4" customWidth="1"/>
    <col min="14589" max="14589" width="22.140625" style="4" customWidth="1"/>
    <col min="14590" max="14590" width="2.140625" style="4" customWidth="1"/>
    <col min="14591" max="14591" width="18.7109375" style="4" customWidth="1"/>
    <col min="14592" max="14592" width="19" style="4" customWidth="1"/>
    <col min="14593" max="14593" width="11.42578125" style="4"/>
    <col min="14594" max="14594" width="14.7109375" style="4" customWidth="1"/>
    <col min="14595" max="14595" width="15.140625" style="4" customWidth="1"/>
    <col min="14596" max="14838" width="11.42578125" style="4"/>
    <col min="14839" max="14839" width="3.5703125" style="4" customWidth="1"/>
    <col min="14840" max="14840" width="71.140625" style="4" customWidth="1"/>
    <col min="14841" max="14841" width="18.140625" style="4" customWidth="1"/>
    <col min="14842" max="14842" width="20.140625" style="4" customWidth="1"/>
    <col min="14843" max="14843" width="19.140625" style="4" customWidth="1"/>
    <col min="14844" max="14844" width="23" style="4" customWidth="1"/>
    <col min="14845" max="14845" width="22.140625" style="4" customWidth="1"/>
    <col min="14846" max="14846" width="2.140625" style="4" customWidth="1"/>
    <col min="14847" max="14847" width="18.7109375" style="4" customWidth="1"/>
    <col min="14848" max="14848" width="19" style="4" customWidth="1"/>
    <col min="14849" max="14849" width="11.42578125" style="4"/>
    <col min="14850" max="14850" width="14.7109375" style="4" customWidth="1"/>
    <col min="14851" max="14851" width="15.140625" style="4" customWidth="1"/>
    <col min="14852" max="15094" width="11.42578125" style="4"/>
    <col min="15095" max="15095" width="3.5703125" style="4" customWidth="1"/>
    <col min="15096" max="15096" width="71.140625" style="4" customWidth="1"/>
    <col min="15097" max="15097" width="18.140625" style="4" customWidth="1"/>
    <col min="15098" max="15098" width="20.140625" style="4" customWidth="1"/>
    <col min="15099" max="15099" width="19.140625" style="4" customWidth="1"/>
    <col min="15100" max="15100" width="23" style="4" customWidth="1"/>
    <col min="15101" max="15101" width="22.140625" style="4" customWidth="1"/>
    <col min="15102" max="15102" width="2.140625" style="4" customWidth="1"/>
    <col min="15103" max="15103" width="18.7109375" style="4" customWidth="1"/>
    <col min="15104" max="15104" width="19" style="4" customWidth="1"/>
    <col min="15105" max="15105" width="11.42578125" style="4"/>
    <col min="15106" max="15106" width="14.7109375" style="4" customWidth="1"/>
    <col min="15107" max="15107" width="15.140625" style="4" customWidth="1"/>
    <col min="15108" max="15350" width="11.42578125" style="4"/>
    <col min="15351" max="15351" width="3.5703125" style="4" customWidth="1"/>
    <col min="15352" max="15352" width="71.140625" style="4" customWidth="1"/>
    <col min="15353" max="15353" width="18.140625" style="4" customWidth="1"/>
    <col min="15354" max="15354" width="20.140625" style="4" customWidth="1"/>
    <col min="15355" max="15355" width="19.140625" style="4" customWidth="1"/>
    <col min="15356" max="15356" width="23" style="4" customWidth="1"/>
    <col min="15357" max="15357" width="22.140625" style="4" customWidth="1"/>
    <col min="15358" max="15358" width="2.140625" style="4" customWidth="1"/>
    <col min="15359" max="15359" width="18.7109375" style="4" customWidth="1"/>
    <col min="15360" max="15360" width="19" style="4" customWidth="1"/>
    <col min="15361" max="15361" width="11.42578125" style="4"/>
    <col min="15362" max="15362" width="14.7109375" style="4" customWidth="1"/>
    <col min="15363" max="15363" width="15.140625" style="4" customWidth="1"/>
    <col min="15364" max="15606" width="11.42578125" style="4"/>
    <col min="15607" max="15607" width="3.5703125" style="4" customWidth="1"/>
    <col min="15608" max="15608" width="71.140625" style="4" customWidth="1"/>
    <col min="15609" max="15609" width="18.140625" style="4" customWidth="1"/>
    <col min="15610" max="15610" width="20.140625" style="4" customWidth="1"/>
    <col min="15611" max="15611" width="19.140625" style="4" customWidth="1"/>
    <col min="15612" max="15612" width="23" style="4" customWidth="1"/>
    <col min="15613" max="15613" width="22.140625" style="4" customWidth="1"/>
    <col min="15614" max="15614" width="2.140625" style="4" customWidth="1"/>
    <col min="15615" max="15615" width="18.7109375" style="4" customWidth="1"/>
    <col min="15616" max="15616" width="19" style="4" customWidth="1"/>
    <col min="15617" max="15617" width="11.42578125" style="4"/>
    <col min="15618" max="15618" width="14.7109375" style="4" customWidth="1"/>
    <col min="15619" max="15619" width="15.140625" style="4" customWidth="1"/>
    <col min="15620" max="15862" width="11.42578125" style="4"/>
    <col min="15863" max="15863" width="3.5703125" style="4" customWidth="1"/>
    <col min="15864" max="15864" width="71.140625" style="4" customWidth="1"/>
    <col min="15865" max="15865" width="18.140625" style="4" customWidth="1"/>
    <col min="15866" max="15866" width="20.140625" style="4" customWidth="1"/>
    <col min="15867" max="15867" width="19.140625" style="4" customWidth="1"/>
    <col min="15868" max="15868" width="23" style="4" customWidth="1"/>
    <col min="15869" max="15869" width="22.140625" style="4" customWidth="1"/>
    <col min="15870" max="15870" width="2.140625" style="4" customWidth="1"/>
    <col min="15871" max="15871" width="18.7109375" style="4" customWidth="1"/>
    <col min="15872" max="15872" width="19" style="4" customWidth="1"/>
    <col min="15873" max="15873" width="11.42578125" style="4"/>
    <col min="15874" max="15874" width="14.7109375" style="4" customWidth="1"/>
    <col min="15875" max="15875" width="15.140625" style="4" customWidth="1"/>
    <col min="15876" max="16118" width="11.42578125" style="4"/>
    <col min="16119" max="16119" width="3.5703125" style="4" customWidth="1"/>
    <col min="16120" max="16120" width="71.140625" style="4" customWidth="1"/>
    <col min="16121" max="16121" width="18.140625" style="4" customWidth="1"/>
    <col min="16122" max="16122" width="20.140625" style="4" customWidth="1"/>
    <col min="16123" max="16123" width="19.140625" style="4" customWidth="1"/>
    <col min="16124" max="16124" width="23" style="4" customWidth="1"/>
    <col min="16125" max="16125" width="22.140625" style="4" customWidth="1"/>
    <col min="16126" max="16126" width="2.140625" style="4" customWidth="1"/>
    <col min="16127" max="16127" width="18.7109375" style="4" customWidth="1"/>
    <col min="16128" max="16128" width="19" style="4" customWidth="1"/>
    <col min="16129" max="16129" width="11.42578125" style="4"/>
    <col min="16130" max="16130" width="14.7109375" style="4" customWidth="1"/>
    <col min="16131" max="16131" width="15.140625" style="4" customWidth="1"/>
    <col min="16132" max="16384" width="11.42578125" style="4"/>
  </cols>
  <sheetData>
    <row r="1" spans="1:7" x14ac:dyDescent="0.3">
      <c r="A1" s="505" t="s">
        <v>373</v>
      </c>
    </row>
    <row r="2" spans="1:7" ht="18" thickBot="1" x14ac:dyDescent="0.35">
      <c r="A2" s="504"/>
    </row>
    <row r="3" spans="1:7" ht="36" customHeight="1" thickBot="1" x14ac:dyDescent="0.25">
      <c r="A3" s="544" t="s">
        <v>331</v>
      </c>
      <c r="B3" s="545"/>
      <c r="C3" s="545"/>
      <c r="D3" s="545"/>
      <c r="E3" s="545"/>
      <c r="F3" s="545"/>
      <c r="G3" s="546"/>
    </row>
    <row r="4" spans="1:7" ht="9.75" customHeight="1" thickBot="1" x14ac:dyDescent="0.35">
      <c r="A4" s="468"/>
      <c r="B4" s="338"/>
      <c r="C4" s="469"/>
      <c r="D4" s="469"/>
      <c r="E4" s="469"/>
      <c r="F4" s="469"/>
      <c r="G4" s="469"/>
    </row>
    <row r="5" spans="1:7" ht="51" customHeight="1" thickBot="1" x14ac:dyDescent="0.25">
      <c r="A5" s="470" t="s">
        <v>332</v>
      </c>
      <c r="B5" s="338"/>
      <c r="C5" s="471" t="s">
        <v>333</v>
      </c>
      <c r="D5" s="472" t="s">
        <v>348</v>
      </c>
      <c r="E5" s="473" t="s">
        <v>334</v>
      </c>
      <c r="F5" s="469"/>
      <c r="G5" s="474" t="s">
        <v>335</v>
      </c>
    </row>
    <row r="6" spans="1:7" ht="9" customHeight="1" x14ac:dyDescent="0.3">
      <c r="A6" s="468"/>
      <c r="B6" s="338"/>
      <c r="C6" s="475"/>
      <c r="D6" s="476"/>
      <c r="E6" s="476"/>
      <c r="F6" s="469"/>
      <c r="G6" s="476"/>
    </row>
    <row r="7" spans="1:7" ht="18.600000000000001" customHeight="1" x14ac:dyDescent="0.2">
      <c r="A7" s="477">
        <v>9</v>
      </c>
      <c r="B7" s="338"/>
      <c r="C7" s="478" t="s">
        <v>374</v>
      </c>
      <c r="D7" s="479">
        <v>2.2999999999999998</v>
      </c>
      <c r="E7" s="479">
        <v>4.4000000000000004</v>
      </c>
      <c r="F7" s="469"/>
      <c r="G7" s="480" t="s">
        <v>336</v>
      </c>
    </row>
    <row r="8" spans="1:7" ht="9" customHeight="1" x14ac:dyDescent="0.2">
      <c r="A8" s="481"/>
      <c r="B8" s="338"/>
      <c r="C8" s="482"/>
      <c r="D8" s="476"/>
      <c r="E8" s="476"/>
      <c r="F8" s="469"/>
      <c r="G8" s="483"/>
    </row>
    <row r="9" spans="1:7" ht="18.600000000000001" customHeight="1" x14ac:dyDescent="0.2">
      <c r="A9" s="477">
        <v>9</v>
      </c>
      <c r="B9" s="338"/>
      <c r="C9" s="478" t="s">
        <v>363</v>
      </c>
      <c r="D9" s="479">
        <v>1.9</v>
      </c>
      <c r="E9" s="479">
        <v>3.2</v>
      </c>
      <c r="F9" s="469"/>
      <c r="G9" s="480" t="s">
        <v>336</v>
      </c>
    </row>
    <row r="10" spans="1:7" ht="18.600000000000001" customHeight="1" x14ac:dyDescent="0.2">
      <c r="A10" s="477">
        <v>8</v>
      </c>
      <c r="B10" s="338"/>
      <c r="C10" s="478" t="s">
        <v>325</v>
      </c>
      <c r="D10" s="479">
        <v>1.6</v>
      </c>
      <c r="E10" s="479">
        <v>2.5</v>
      </c>
      <c r="F10" s="469"/>
      <c r="G10" s="480" t="s">
        <v>336</v>
      </c>
    </row>
    <row r="11" spans="1:7" ht="9" customHeight="1" x14ac:dyDescent="0.2">
      <c r="A11" s="481"/>
      <c r="B11" s="338"/>
      <c r="C11" s="482"/>
      <c r="D11" s="484"/>
      <c r="E11" s="484"/>
      <c r="F11" s="469"/>
      <c r="G11" s="485"/>
    </row>
    <row r="12" spans="1:7" ht="18.600000000000001" customHeight="1" x14ac:dyDescent="0.2">
      <c r="A12" s="477">
        <v>8</v>
      </c>
      <c r="B12" s="338"/>
      <c r="C12" s="478" t="s">
        <v>326</v>
      </c>
      <c r="D12" s="479">
        <v>3.9</v>
      </c>
      <c r="E12" s="479">
        <v>5.7</v>
      </c>
      <c r="F12" s="469"/>
      <c r="G12" s="480" t="s">
        <v>336</v>
      </c>
    </row>
    <row r="13" spans="1:7" ht="18.600000000000001" customHeight="1" x14ac:dyDescent="0.2">
      <c r="A13" s="477">
        <v>8</v>
      </c>
      <c r="B13" s="338"/>
      <c r="C13" s="478" t="s">
        <v>349</v>
      </c>
      <c r="D13" s="479">
        <v>0.6</v>
      </c>
      <c r="E13" s="479">
        <v>0.6</v>
      </c>
      <c r="F13" s="469"/>
      <c r="G13" s="480" t="s">
        <v>336</v>
      </c>
    </row>
    <row r="14" spans="1:7" ht="9" customHeight="1" x14ac:dyDescent="0.2">
      <c r="A14" s="481"/>
      <c r="B14" s="338"/>
      <c r="C14" s="482"/>
      <c r="D14" s="484"/>
      <c r="E14" s="484"/>
      <c r="F14" s="484"/>
      <c r="G14" s="484"/>
    </row>
    <row r="15" spans="1:7" ht="18.600000000000001" customHeight="1" x14ac:dyDescent="0.2">
      <c r="A15" s="477">
        <v>8</v>
      </c>
      <c r="B15" s="338"/>
      <c r="C15" s="478" t="s">
        <v>319</v>
      </c>
      <c r="D15" s="479">
        <v>80</v>
      </c>
      <c r="E15" s="479">
        <v>80</v>
      </c>
      <c r="F15" s="486"/>
      <c r="G15" s="480" t="s">
        <v>336</v>
      </c>
    </row>
    <row r="16" spans="1:7" ht="18.600000000000001" customHeight="1" x14ac:dyDescent="0.2">
      <c r="A16" s="487" t="s">
        <v>337</v>
      </c>
      <c r="B16" s="338"/>
      <c r="C16" s="478" t="s">
        <v>362</v>
      </c>
      <c r="D16" s="479">
        <v>11</v>
      </c>
      <c r="E16" s="479">
        <v>11</v>
      </c>
      <c r="F16" s="484"/>
      <c r="G16" s="480" t="s">
        <v>336</v>
      </c>
    </row>
    <row r="17" spans="1:7" ht="18.600000000000001" customHeight="1" thickBot="1" x14ac:dyDescent="0.25">
      <c r="A17" s="488"/>
      <c r="B17" s="338"/>
      <c r="C17" s="482"/>
      <c r="D17" s="484"/>
      <c r="E17" s="484"/>
      <c r="F17" s="484"/>
      <c r="G17" s="484"/>
    </row>
    <row r="18" spans="1:7" ht="35.25" customHeight="1" thickBot="1" x14ac:dyDescent="0.35">
      <c r="A18" s="468"/>
      <c r="B18" s="338"/>
      <c r="C18" s="489" t="s">
        <v>338</v>
      </c>
      <c r="D18" s="472" t="s">
        <v>352</v>
      </c>
      <c r="E18" s="490" t="s">
        <v>339</v>
      </c>
      <c r="F18" s="491"/>
      <c r="G18" s="491"/>
    </row>
    <row r="19" spans="1:7" ht="6" customHeight="1" x14ac:dyDescent="0.3">
      <c r="A19" s="468"/>
      <c r="B19" s="338"/>
      <c r="C19" s="492"/>
      <c r="D19" s="491"/>
      <c r="E19" s="491"/>
      <c r="F19" s="491"/>
      <c r="G19" s="491"/>
    </row>
    <row r="20" spans="1:7" ht="30" customHeight="1" x14ac:dyDescent="0.2">
      <c r="A20" s="477">
        <v>6</v>
      </c>
      <c r="B20" s="338"/>
      <c r="C20" s="478" t="s">
        <v>340</v>
      </c>
      <c r="D20" s="479" t="s">
        <v>350</v>
      </c>
      <c r="E20" s="479" t="s">
        <v>351</v>
      </c>
      <c r="F20" s="484"/>
      <c r="G20" s="484"/>
    </row>
    <row r="21" spans="1:7" ht="6" customHeight="1" x14ac:dyDescent="0.2">
      <c r="A21" s="493"/>
      <c r="B21" s="338"/>
      <c r="C21" s="482"/>
      <c r="D21" s="484"/>
      <c r="E21" s="484"/>
      <c r="F21" s="484"/>
      <c r="G21" s="484"/>
    </row>
    <row r="22" spans="1:7" ht="39.75" customHeight="1" x14ac:dyDescent="0.2">
      <c r="A22" s="477">
        <v>7</v>
      </c>
      <c r="B22" s="338"/>
      <c r="C22" s="494" t="s">
        <v>341</v>
      </c>
      <c r="D22" s="479" t="s">
        <v>336</v>
      </c>
      <c r="E22" s="479" t="s">
        <v>342</v>
      </c>
      <c r="F22" s="484"/>
      <c r="G22" s="484"/>
    </row>
    <row r="23" spans="1:7" ht="55.5" customHeight="1" x14ac:dyDescent="0.2">
      <c r="A23" s="477">
        <v>8</v>
      </c>
      <c r="B23" s="338"/>
      <c r="C23" s="494" t="s">
        <v>343</v>
      </c>
      <c r="D23" s="479" t="s">
        <v>336</v>
      </c>
      <c r="E23" s="479" t="s">
        <v>342</v>
      </c>
      <c r="F23" s="484"/>
      <c r="G23" s="484"/>
    </row>
    <row r="24" spans="1:7" ht="18.600000000000001" customHeight="1" thickBot="1" x14ac:dyDescent="0.25">
      <c r="A24" s="493"/>
      <c r="B24" s="338"/>
      <c r="C24" s="482"/>
      <c r="D24" s="484"/>
      <c r="E24" s="484"/>
      <c r="F24" s="484"/>
      <c r="G24" s="484"/>
    </row>
    <row r="25" spans="1:7" ht="42" customHeight="1" x14ac:dyDescent="0.3">
      <c r="A25" s="468"/>
      <c r="B25" s="338"/>
      <c r="C25" s="495" t="s">
        <v>344</v>
      </c>
      <c r="D25" s="496" t="s">
        <v>354</v>
      </c>
      <c r="E25" s="496" t="s">
        <v>353</v>
      </c>
      <c r="F25" s="497"/>
      <c r="G25" s="497"/>
    </row>
    <row r="26" spans="1:7" ht="27.75" customHeight="1" x14ac:dyDescent="0.3">
      <c r="A26" s="468"/>
      <c r="B26" s="338"/>
      <c r="C26" s="498" t="s">
        <v>345</v>
      </c>
      <c r="D26" s="547" t="s">
        <v>346</v>
      </c>
      <c r="E26" s="549" t="s">
        <v>346</v>
      </c>
      <c r="F26" s="499"/>
      <c r="G26" s="499"/>
    </row>
    <row r="27" spans="1:7" ht="33.75" customHeight="1" thickBot="1" x14ac:dyDescent="0.35">
      <c r="A27" s="468"/>
      <c r="B27" s="338"/>
      <c r="C27" s="500" t="s">
        <v>347</v>
      </c>
      <c r="D27" s="548"/>
      <c r="E27" s="550"/>
      <c r="F27" s="499"/>
      <c r="G27" s="499"/>
    </row>
    <row r="28" spans="1:7" ht="9" customHeight="1" x14ac:dyDescent="0.3">
      <c r="A28" s="468"/>
      <c r="B28" s="338"/>
      <c r="C28" s="338"/>
      <c r="D28" s="338"/>
      <c r="E28" s="338"/>
      <c r="F28" s="338"/>
      <c r="G28" s="338"/>
    </row>
    <row r="29" spans="1:7" ht="45" customHeight="1" x14ac:dyDescent="0.2">
      <c r="A29" s="532" t="s">
        <v>367</v>
      </c>
      <c r="B29" s="533"/>
      <c r="C29" s="533"/>
      <c r="D29" s="533"/>
      <c r="E29" s="533"/>
      <c r="F29" s="533"/>
      <c r="G29" s="534"/>
    </row>
    <row r="30" spans="1:7" ht="12.75" x14ac:dyDescent="0.2">
      <c r="A30" s="535" t="s">
        <v>364</v>
      </c>
      <c r="B30" s="536"/>
      <c r="C30" s="536"/>
      <c r="D30" s="536"/>
      <c r="E30" s="536"/>
      <c r="F30" s="536"/>
      <c r="G30" s="537"/>
    </row>
    <row r="31" spans="1:7" ht="27.75" customHeight="1" x14ac:dyDescent="0.2">
      <c r="A31" s="538" t="s">
        <v>365</v>
      </c>
      <c r="B31" s="539"/>
      <c r="C31" s="539"/>
      <c r="D31" s="539"/>
      <c r="E31" s="539"/>
      <c r="F31" s="539"/>
      <c r="G31" s="540"/>
    </row>
    <row r="32" spans="1:7" ht="26.25" customHeight="1" x14ac:dyDescent="0.2">
      <c r="A32" s="541" t="s">
        <v>366</v>
      </c>
      <c r="B32" s="542"/>
      <c r="C32" s="542"/>
      <c r="D32" s="542"/>
      <c r="E32" s="542"/>
      <c r="F32" s="542"/>
      <c r="G32" s="543"/>
    </row>
  </sheetData>
  <mergeCells count="7">
    <mergeCell ref="A29:G29"/>
    <mergeCell ref="A30:G30"/>
    <mergeCell ref="A31:G31"/>
    <mergeCell ref="A32:G32"/>
    <mergeCell ref="A3:G3"/>
    <mergeCell ref="D26:D27"/>
    <mergeCell ref="E26:E2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3"/>
  <sheetViews>
    <sheetView workbookViewId="0">
      <selection activeCell="B1" sqref="B1"/>
    </sheetView>
  </sheetViews>
  <sheetFormatPr baseColWidth="10" defaultRowHeight="12.75" x14ac:dyDescent="0.2"/>
  <cols>
    <col min="1" max="1" width="2.85546875" style="4" customWidth="1"/>
    <col min="2" max="2" width="69.140625" style="4" customWidth="1"/>
    <col min="3" max="3" width="20.28515625" style="4" customWidth="1"/>
    <col min="4" max="4" width="20.140625" style="4" customWidth="1"/>
    <col min="5" max="243" width="11.42578125" style="4"/>
    <col min="244" max="244" width="3.5703125" style="4" customWidth="1"/>
    <col min="245" max="245" width="71.140625" style="4" customWidth="1"/>
    <col min="246" max="246" width="18.140625" style="4" customWidth="1"/>
    <col min="247" max="247" width="20.140625" style="4" customWidth="1"/>
    <col min="248" max="248" width="19.140625" style="4" customWidth="1"/>
    <col min="249" max="249" width="23" style="4" customWidth="1"/>
    <col min="250" max="250" width="22.140625" style="4" customWidth="1"/>
    <col min="251" max="251" width="2.140625" style="4" customWidth="1"/>
    <col min="252" max="252" width="18.7109375" style="4" customWidth="1"/>
    <col min="253" max="253" width="19" style="4" customWidth="1"/>
    <col min="254" max="254" width="11.42578125" style="4"/>
    <col min="255" max="255" width="14.7109375" style="4" customWidth="1"/>
    <col min="256" max="256" width="15.140625" style="4" customWidth="1"/>
    <col min="257" max="499" width="11.42578125" style="4"/>
    <col min="500" max="500" width="3.5703125" style="4" customWidth="1"/>
    <col min="501" max="501" width="71.140625" style="4" customWidth="1"/>
    <col min="502" max="502" width="18.140625" style="4" customWidth="1"/>
    <col min="503" max="503" width="20.140625" style="4" customWidth="1"/>
    <col min="504" max="504" width="19.140625" style="4" customWidth="1"/>
    <col min="505" max="505" width="23" style="4" customWidth="1"/>
    <col min="506" max="506" width="22.140625" style="4" customWidth="1"/>
    <col min="507" max="507" width="2.140625" style="4" customWidth="1"/>
    <col min="508" max="508" width="18.7109375" style="4" customWidth="1"/>
    <col min="509" max="509" width="19" style="4" customWidth="1"/>
    <col min="510" max="510" width="11.42578125" style="4"/>
    <col min="511" max="511" width="14.7109375" style="4" customWidth="1"/>
    <col min="512" max="512" width="15.140625" style="4" customWidth="1"/>
    <col min="513" max="755" width="11.42578125" style="4"/>
    <col min="756" max="756" width="3.5703125" style="4" customWidth="1"/>
    <col min="757" max="757" width="71.140625" style="4" customWidth="1"/>
    <col min="758" max="758" width="18.140625" style="4" customWidth="1"/>
    <col min="759" max="759" width="20.140625" style="4" customWidth="1"/>
    <col min="760" max="760" width="19.140625" style="4" customWidth="1"/>
    <col min="761" max="761" width="23" style="4" customWidth="1"/>
    <col min="762" max="762" width="22.140625" style="4" customWidth="1"/>
    <col min="763" max="763" width="2.140625" style="4" customWidth="1"/>
    <col min="764" max="764" width="18.7109375" style="4" customWidth="1"/>
    <col min="765" max="765" width="19" style="4" customWidth="1"/>
    <col min="766" max="766" width="11.42578125" style="4"/>
    <col min="767" max="767" width="14.7109375" style="4" customWidth="1"/>
    <col min="768" max="768" width="15.140625" style="4" customWidth="1"/>
    <col min="769" max="1011" width="11.42578125" style="4"/>
    <col min="1012" max="1012" width="3.5703125" style="4" customWidth="1"/>
    <col min="1013" max="1013" width="71.140625" style="4" customWidth="1"/>
    <col min="1014" max="1014" width="18.140625" style="4" customWidth="1"/>
    <col min="1015" max="1015" width="20.140625" style="4" customWidth="1"/>
    <col min="1016" max="1016" width="19.140625" style="4" customWidth="1"/>
    <col min="1017" max="1017" width="23" style="4" customWidth="1"/>
    <col min="1018" max="1018" width="22.140625" style="4" customWidth="1"/>
    <col min="1019" max="1019" width="2.140625" style="4" customWidth="1"/>
    <col min="1020" max="1020" width="18.7109375" style="4" customWidth="1"/>
    <col min="1021" max="1021" width="19" style="4" customWidth="1"/>
    <col min="1022" max="1022" width="11.42578125" style="4"/>
    <col min="1023" max="1023" width="14.7109375" style="4" customWidth="1"/>
    <col min="1024" max="1024" width="15.140625" style="4" customWidth="1"/>
    <col min="1025" max="1267" width="11.42578125" style="4"/>
    <col min="1268" max="1268" width="3.5703125" style="4" customWidth="1"/>
    <col min="1269" max="1269" width="71.140625" style="4" customWidth="1"/>
    <col min="1270" max="1270" width="18.140625" style="4" customWidth="1"/>
    <col min="1271" max="1271" width="20.140625" style="4" customWidth="1"/>
    <col min="1272" max="1272" width="19.140625" style="4" customWidth="1"/>
    <col min="1273" max="1273" width="23" style="4" customWidth="1"/>
    <col min="1274" max="1274" width="22.140625" style="4" customWidth="1"/>
    <col min="1275" max="1275" width="2.140625" style="4" customWidth="1"/>
    <col min="1276" max="1276" width="18.7109375" style="4" customWidth="1"/>
    <col min="1277" max="1277" width="19" style="4" customWidth="1"/>
    <col min="1278" max="1278" width="11.42578125" style="4"/>
    <col min="1279" max="1279" width="14.7109375" style="4" customWidth="1"/>
    <col min="1280" max="1280" width="15.140625" style="4" customWidth="1"/>
    <col min="1281" max="1523" width="11.42578125" style="4"/>
    <col min="1524" max="1524" width="3.5703125" style="4" customWidth="1"/>
    <col min="1525" max="1525" width="71.140625" style="4" customWidth="1"/>
    <col min="1526" max="1526" width="18.140625" style="4" customWidth="1"/>
    <col min="1527" max="1527" width="20.140625" style="4" customWidth="1"/>
    <col min="1528" max="1528" width="19.140625" style="4" customWidth="1"/>
    <col min="1529" max="1529" width="23" style="4" customWidth="1"/>
    <col min="1530" max="1530" width="22.140625" style="4" customWidth="1"/>
    <col min="1531" max="1531" width="2.140625" style="4" customWidth="1"/>
    <col min="1532" max="1532" width="18.7109375" style="4" customWidth="1"/>
    <col min="1533" max="1533" width="19" style="4" customWidth="1"/>
    <col min="1534" max="1534" width="11.42578125" style="4"/>
    <col min="1535" max="1535" width="14.7109375" style="4" customWidth="1"/>
    <col min="1536" max="1536" width="15.140625" style="4" customWidth="1"/>
    <col min="1537" max="1779" width="11.42578125" style="4"/>
    <col min="1780" max="1780" width="3.5703125" style="4" customWidth="1"/>
    <col min="1781" max="1781" width="71.140625" style="4" customWidth="1"/>
    <col min="1782" max="1782" width="18.140625" style="4" customWidth="1"/>
    <col min="1783" max="1783" width="20.140625" style="4" customWidth="1"/>
    <col min="1784" max="1784" width="19.140625" style="4" customWidth="1"/>
    <col min="1785" max="1785" width="23" style="4" customWidth="1"/>
    <col min="1786" max="1786" width="22.140625" style="4" customWidth="1"/>
    <col min="1787" max="1787" width="2.140625" style="4" customWidth="1"/>
    <col min="1788" max="1788" width="18.7109375" style="4" customWidth="1"/>
    <col min="1789" max="1789" width="19" style="4" customWidth="1"/>
    <col min="1790" max="1790" width="11.42578125" style="4"/>
    <col min="1791" max="1791" width="14.7109375" style="4" customWidth="1"/>
    <col min="1792" max="1792" width="15.140625" style="4" customWidth="1"/>
    <col min="1793" max="2035" width="11.42578125" style="4"/>
    <col min="2036" max="2036" width="3.5703125" style="4" customWidth="1"/>
    <col min="2037" max="2037" width="71.140625" style="4" customWidth="1"/>
    <col min="2038" max="2038" width="18.140625" style="4" customWidth="1"/>
    <col min="2039" max="2039" width="20.140625" style="4" customWidth="1"/>
    <col min="2040" max="2040" width="19.140625" style="4" customWidth="1"/>
    <col min="2041" max="2041" width="23" style="4" customWidth="1"/>
    <col min="2042" max="2042" width="22.140625" style="4" customWidth="1"/>
    <col min="2043" max="2043" width="2.140625" style="4" customWidth="1"/>
    <col min="2044" max="2044" width="18.7109375" style="4" customWidth="1"/>
    <col min="2045" max="2045" width="19" style="4" customWidth="1"/>
    <col min="2046" max="2046" width="11.42578125" style="4"/>
    <col min="2047" max="2047" width="14.7109375" style="4" customWidth="1"/>
    <col min="2048" max="2048" width="15.140625" style="4" customWidth="1"/>
    <col min="2049" max="2291" width="11.42578125" style="4"/>
    <col min="2292" max="2292" width="3.5703125" style="4" customWidth="1"/>
    <col min="2293" max="2293" width="71.140625" style="4" customWidth="1"/>
    <col min="2294" max="2294" width="18.140625" style="4" customWidth="1"/>
    <col min="2295" max="2295" width="20.140625" style="4" customWidth="1"/>
    <col min="2296" max="2296" width="19.140625" style="4" customWidth="1"/>
    <col min="2297" max="2297" width="23" style="4" customWidth="1"/>
    <col min="2298" max="2298" width="22.140625" style="4" customWidth="1"/>
    <col min="2299" max="2299" width="2.140625" style="4" customWidth="1"/>
    <col min="2300" max="2300" width="18.7109375" style="4" customWidth="1"/>
    <col min="2301" max="2301" width="19" style="4" customWidth="1"/>
    <col min="2302" max="2302" width="11.42578125" style="4"/>
    <col min="2303" max="2303" width="14.7109375" style="4" customWidth="1"/>
    <col min="2304" max="2304" width="15.140625" style="4" customWidth="1"/>
    <col min="2305" max="2547" width="11.42578125" style="4"/>
    <col min="2548" max="2548" width="3.5703125" style="4" customWidth="1"/>
    <col min="2549" max="2549" width="71.140625" style="4" customWidth="1"/>
    <col min="2550" max="2550" width="18.140625" style="4" customWidth="1"/>
    <col min="2551" max="2551" width="20.140625" style="4" customWidth="1"/>
    <col min="2552" max="2552" width="19.140625" style="4" customWidth="1"/>
    <col min="2553" max="2553" width="23" style="4" customWidth="1"/>
    <col min="2554" max="2554" width="22.140625" style="4" customWidth="1"/>
    <col min="2555" max="2555" width="2.140625" style="4" customWidth="1"/>
    <col min="2556" max="2556" width="18.7109375" style="4" customWidth="1"/>
    <col min="2557" max="2557" width="19" style="4" customWidth="1"/>
    <col min="2558" max="2558" width="11.42578125" style="4"/>
    <col min="2559" max="2559" width="14.7109375" style="4" customWidth="1"/>
    <col min="2560" max="2560" width="15.140625" style="4" customWidth="1"/>
    <col min="2561" max="2803" width="11.42578125" style="4"/>
    <col min="2804" max="2804" width="3.5703125" style="4" customWidth="1"/>
    <col min="2805" max="2805" width="71.140625" style="4" customWidth="1"/>
    <col min="2806" max="2806" width="18.140625" style="4" customWidth="1"/>
    <col min="2807" max="2807" width="20.140625" style="4" customWidth="1"/>
    <col min="2808" max="2808" width="19.140625" style="4" customWidth="1"/>
    <col min="2809" max="2809" width="23" style="4" customWidth="1"/>
    <col min="2810" max="2810" width="22.140625" style="4" customWidth="1"/>
    <col min="2811" max="2811" width="2.140625" style="4" customWidth="1"/>
    <col min="2812" max="2812" width="18.7109375" style="4" customWidth="1"/>
    <col min="2813" max="2813" width="19" style="4" customWidth="1"/>
    <col min="2814" max="2814" width="11.42578125" style="4"/>
    <col min="2815" max="2815" width="14.7109375" style="4" customWidth="1"/>
    <col min="2816" max="2816" width="15.140625" style="4" customWidth="1"/>
    <col min="2817" max="3059" width="11.42578125" style="4"/>
    <col min="3060" max="3060" width="3.5703125" style="4" customWidth="1"/>
    <col min="3061" max="3061" width="71.140625" style="4" customWidth="1"/>
    <col min="3062" max="3062" width="18.140625" style="4" customWidth="1"/>
    <col min="3063" max="3063" width="20.140625" style="4" customWidth="1"/>
    <col min="3064" max="3064" width="19.140625" style="4" customWidth="1"/>
    <col min="3065" max="3065" width="23" style="4" customWidth="1"/>
    <col min="3066" max="3066" width="22.140625" style="4" customWidth="1"/>
    <col min="3067" max="3067" width="2.140625" style="4" customWidth="1"/>
    <col min="3068" max="3068" width="18.7109375" style="4" customWidth="1"/>
    <col min="3069" max="3069" width="19" style="4" customWidth="1"/>
    <col min="3070" max="3070" width="11.42578125" style="4"/>
    <col min="3071" max="3071" width="14.7109375" style="4" customWidth="1"/>
    <col min="3072" max="3072" width="15.140625" style="4" customWidth="1"/>
    <col min="3073" max="3315" width="11.42578125" style="4"/>
    <col min="3316" max="3316" width="3.5703125" style="4" customWidth="1"/>
    <col min="3317" max="3317" width="71.140625" style="4" customWidth="1"/>
    <col min="3318" max="3318" width="18.140625" style="4" customWidth="1"/>
    <col min="3319" max="3319" width="20.140625" style="4" customWidth="1"/>
    <col min="3320" max="3320" width="19.140625" style="4" customWidth="1"/>
    <col min="3321" max="3321" width="23" style="4" customWidth="1"/>
    <col min="3322" max="3322" width="22.140625" style="4" customWidth="1"/>
    <col min="3323" max="3323" width="2.140625" style="4" customWidth="1"/>
    <col min="3324" max="3324" width="18.7109375" style="4" customWidth="1"/>
    <col min="3325" max="3325" width="19" style="4" customWidth="1"/>
    <col min="3326" max="3326" width="11.42578125" style="4"/>
    <col min="3327" max="3327" width="14.7109375" style="4" customWidth="1"/>
    <col min="3328" max="3328" width="15.140625" style="4" customWidth="1"/>
    <col min="3329" max="3571" width="11.42578125" style="4"/>
    <col min="3572" max="3572" width="3.5703125" style="4" customWidth="1"/>
    <col min="3573" max="3573" width="71.140625" style="4" customWidth="1"/>
    <col min="3574" max="3574" width="18.140625" style="4" customWidth="1"/>
    <col min="3575" max="3575" width="20.140625" style="4" customWidth="1"/>
    <col min="3576" max="3576" width="19.140625" style="4" customWidth="1"/>
    <col min="3577" max="3577" width="23" style="4" customWidth="1"/>
    <col min="3578" max="3578" width="22.140625" style="4" customWidth="1"/>
    <col min="3579" max="3579" width="2.140625" style="4" customWidth="1"/>
    <col min="3580" max="3580" width="18.7109375" style="4" customWidth="1"/>
    <col min="3581" max="3581" width="19" style="4" customWidth="1"/>
    <col min="3582" max="3582" width="11.42578125" style="4"/>
    <col min="3583" max="3583" width="14.7109375" style="4" customWidth="1"/>
    <col min="3584" max="3584" width="15.140625" style="4" customWidth="1"/>
    <col min="3585" max="3827" width="11.42578125" style="4"/>
    <col min="3828" max="3828" width="3.5703125" style="4" customWidth="1"/>
    <col min="3829" max="3829" width="71.140625" style="4" customWidth="1"/>
    <col min="3830" max="3830" width="18.140625" style="4" customWidth="1"/>
    <col min="3831" max="3831" width="20.140625" style="4" customWidth="1"/>
    <col min="3832" max="3832" width="19.140625" style="4" customWidth="1"/>
    <col min="3833" max="3833" width="23" style="4" customWidth="1"/>
    <col min="3834" max="3834" width="22.140625" style="4" customWidth="1"/>
    <col min="3835" max="3835" width="2.140625" style="4" customWidth="1"/>
    <col min="3836" max="3836" width="18.7109375" style="4" customWidth="1"/>
    <col min="3837" max="3837" width="19" style="4" customWidth="1"/>
    <col min="3838" max="3838" width="11.42578125" style="4"/>
    <col min="3839" max="3839" width="14.7109375" style="4" customWidth="1"/>
    <col min="3840" max="3840" width="15.140625" style="4" customWidth="1"/>
    <col min="3841" max="4083" width="11.42578125" style="4"/>
    <col min="4084" max="4084" width="3.5703125" style="4" customWidth="1"/>
    <col min="4085" max="4085" width="71.140625" style="4" customWidth="1"/>
    <col min="4086" max="4086" width="18.140625" style="4" customWidth="1"/>
    <col min="4087" max="4087" width="20.140625" style="4" customWidth="1"/>
    <col min="4088" max="4088" width="19.140625" style="4" customWidth="1"/>
    <col min="4089" max="4089" width="23" style="4" customWidth="1"/>
    <col min="4090" max="4090" width="22.140625" style="4" customWidth="1"/>
    <col min="4091" max="4091" width="2.140625" style="4" customWidth="1"/>
    <col min="4092" max="4092" width="18.7109375" style="4" customWidth="1"/>
    <col min="4093" max="4093" width="19" style="4" customWidth="1"/>
    <col min="4094" max="4094" width="11.42578125" style="4"/>
    <col min="4095" max="4095" width="14.7109375" style="4" customWidth="1"/>
    <col min="4096" max="4096" width="15.140625" style="4" customWidth="1"/>
    <col min="4097" max="4339" width="11.42578125" style="4"/>
    <col min="4340" max="4340" width="3.5703125" style="4" customWidth="1"/>
    <col min="4341" max="4341" width="71.140625" style="4" customWidth="1"/>
    <col min="4342" max="4342" width="18.140625" style="4" customWidth="1"/>
    <col min="4343" max="4343" width="20.140625" style="4" customWidth="1"/>
    <col min="4344" max="4344" width="19.140625" style="4" customWidth="1"/>
    <col min="4345" max="4345" width="23" style="4" customWidth="1"/>
    <col min="4346" max="4346" width="22.140625" style="4" customWidth="1"/>
    <col min="4347" max="4347" width="2.140625" style="4" customWidth="1"/>
    <col min="4348" max="4348" width="18.7109375" style="4" customWidth="1"/>
    <col min="4349" max="4349" width="19" style="4" customWidth="1"/>
    <col min="4350" max="4350" width="11.42578125" style="4"/>
    <col min="4351" max="4351" width="14.7109375" style="4" customWidth="1"/>
    <col min="4352" max="4352" width="15.140625" style="4" customWidth="1"/>
    <col min="4353" max="4595" width="11.42578125" style="4"/>
    <col min="4596" max="4596" width="3.5703125" style="4" customWidth="1"/>
    <col min="4597" max="4597" width="71.140625" style="4" customWidth="1"/>
    <col min="4598" max="4598" width="18.140625" style="4" customWidth="1"/>
    <col min="4599" max="4599" width="20.140625" style="4" customWidth="1"/>
    <col min="4600" max="4600" width="19.140625" style="4" customWidth="1"/>
    <col min="4601" max="4601" width="23" style="4" customWidth="1"/>
    <col min="4602" max="4602" width="22.140625" style="4" customWidth="1"/>
    <col min="4603" max="4603" width="2.140625" style="4" customWidth="1"/>
    <col min="4604" max="4604" width="18.7109375" style="4" customWidth="1"/>
    <col min="4605" max="4605" width="19" style="4" customWidth="1"/>
    <col min="4606" max="4606" width="11.42578125" style="4"/>
    <col min="4607" max="4607" width="14.7109375" style="4" customWidth="1"/>
    <col min="4608" max="4608" width="15.140625" style="4" customWidth="1"/>
    <col min="4609" max="4851" width="11.42578125" style="4"/>
    <col min="4852" max="4852" width="3.5703125" style="4" customWidth="1"/>
    <col min="4853" max="4853" width="71.140625" style="4" customWidth="1"/>
    <col min="4854" max="4854" width="18.140625" style="4" customWidth="1"/>
    <col min="4855" max="4855" width="20.140625" style="4" customWidth="1"/>
    <col min="4856" max="4856" width="19.140625" style="4" customWidth="1"/>
    <col min="4857" max="4857" width="23" style="4" customWidth="1"/>
    <col min="4858" max="4858" width="22.140625" style="4" customWidth="1"/>
    <col min="4859" max="4859" width="2.140625" style="4" customWidth="1"/>
    <col min="4860" max="4860" width="18.7109375" style="4" customWidth="1"/>
    <col min="4861" max="4861" width="19" style="4" customWidth="1"/>
    <col min="4862" max="4862" width="11.42578125" style="4"/>
    <col min="4863" max="4863" width="14.7109375" style="4" customWidth="1"/>
    <col min="4864" max="4864" width="15.140625" style="4" customWidth="1"/>
    <col min="4865" max="5107" width="11.42578125" style="4"/>
    <col min="5108" max="5108" width="3.5703125" style="4" customWidth="1"/>
    <col min="5109" max="5109" width="71.140625" style="4" customWidth="1"/>
    <col min="5110" max="5110" width="18.140625" style="4" customWidth="1"/>
    <col min="5111" max="5111" width="20.140625" style="4" customWidth="1"/>
    <col min="5112" max="5112" width="19.140625" style="4" customWidth="1"/>
    <col min="5113" max="5113" width="23" style="4" customWidth="1"/>
    <col min="5114" max="5114" width="22.140625" style="4" customWidth="1"/>
    <col min="5115" max="5115" width="2.140625" style="4" customWidth="1"/>
    <col min="5116" max="5116" width="18.7109375" style="4" customWidth="1"/>
    <col min="5117" max="5117" width="19" style="4" customWidth="1"/>
    <col min="5118" max="5118" width="11.42578125" style="4"/>
    <col min="5119" max="5119" width="14.7109375" style="4" customWidth="1"/>
    <col min="5120" max="5120" width="15.140625" style="4" customWidth="1"/>
    <col min="5121" max="5363" width="11.42578125" style="4"/>
    <col min="5364" max="5364" width="3.5703125" style="4" customWidth="1"/>
    <col min="5365" max="5365" width="71.140625" style="4" customWidth="1"/>
    <col min="5366" max="5366" width="18.140625" style="4" customWidth="1"/>
    <col min="5367" max="5367" width="20.140625" style="4" customWidth="1"/>
    <col min="5368" max="5368" width="19.140625" style="4" customWidth="1"/>
    <col min="5369" max="5369" width="23" style="4" customWidth="1"/>
    <col min="5370" max="5370" width="22.140625" style="4" customWidth="1"/>
    <col min="5371" max="5371" width="2.140625" style="4" customWidth="1"/>
    <col min="5372" max="5372" width="18.7109375" style="4" customWidth="1"/>
    <col min="5373" max="5373" width="19" style="4" customWidth="1"/>
    <col min="5374" max="5374" width="11.42578125" style="4"/>
    <col min="5375" max="5375" width="14.7109375" style="4" customWidth="1"/>
    <col min="5376" max="5376" width="15.140625" style="4" customWidth="1"/>
    <col min="5377" max="5619" width="11.42578125" style="4"/>
    <col min="5620" max="5620" width="3.5703125" style="4" customWidth="1"/>
    <col min="5621" max="5621" width="71.140625" style="4" customWidth="1"/>
    <col min="5622" max="5622" width="18.140625" style="4" customWidth="1"/>
    <col min="5623" max="5623" width="20.140625" style="4" customWidth="1"/>
    <col min="5624" max="5624" width="19.140625" style="4" customWidth="1"/>
    <col min="5625" max="5625" width="23" style="4" customWidth="1"/>
    <col min="5626" max="5626" width="22.140625" style="4" customWidth="1"/>
    <col min="5627" max="5627" width="2.140625" style="4" customWidth="1"/>
    <col min="5628" max="5628" width="18.7109375" style="4" customWidth="1"/>
    <col min="5629" max="5629" width="19" style="4" customWidth="1"/>
    <col min="5630" max="5630" width="11.42578125" style="4"/>
    <col min="5631" max="5631" width="14.7109375" style="4" customWidth="1"/>
    <col min="5632" max="5632" width="15.140625" style="4" customWidth="1"/>
    <col min="5633" max="5875" width="11.42578125" style="4"/>
    <col min="5876" max="5876" width="3.5703125" style="4" customWidth="1"/>
    <col min="5877" max="5877" width="71.140625" style="4" customWidth="1"/>
    <col min="5878" max="5878" width="18.140625" style="4" customWidth="1"/>
    <col min="5879" max="5879" width="20.140625" style="4" customWidth="1"/>
    <col min="5880" max="5880" width="19.140625" style="4" customWidth="1"/>
    <col min="5881" max="5881" width="23" style="4" customWidth="1"/>
    <col min="5882" max="5882" width="22.140625" style="4" customWidth="1"/>
    <col min="5883" max="5883" width="2.140625" style="4" customWidth="1"/>
    <col min="5884" max="5884" width="18.7109375" style="4" customWidth="1"/>
    <col min="5885" max="5885" width="19" style="4" customWidth="1"/>
    <col min="5886" max="5886" width="11.42578125" style="4"/>
    <col min="5887" max="5887" width="14.7109375" style="4" customWidth="1"/>
    <col min="5888" max="5888" width="15.140625" style="4" customWidth="1"/>
    <col min="5889" max="6131" width="11.42578125" style="4"/>
    <col min="6132" max="6132" width="3.5703125" style="4" customWidth="1"/>
    <col min="6133" max="6133" width="71.140625" style="4" customWidth="1"/>
    <col min="6134" max="6134" width="18.140625" style="4" customWidth="1"/>
    <col min="6135" max="6135" width="20.140625" style="4" customWidth="1"/>
    <col min="6136" max="6136" width="19.140625" style="4" customWidth="1"/>
    <col min="6137" max="6137" width="23" style="4" customWidth="1"/>
    <col min="6138" max="6138" width="22.140625" style="4" customWidth="1"/>
    <col min="6139" max="6139" width="2.140625" style="4" customWidth="1"/>
    <col min="6140" max="6140" width="18.7109375" style="4" customWidth="1"/>
    <col min="6141" max="6141" width="19" style="4" customWidth="1"/>
    <col min="6142" max="6142" width="11.42578125" style="4"/>
    <col min="6143" max="6143" width="14.7109375" style="4" customWidth="1"/>
    <col min="6144" max="6144" width="15.140625" style="4" customWidth="1"/>
    <col min="6145" max="6387" width="11.42578125" style="4"/>
    <col min="6388" max="6388" width="3.5703125" style="4" customWidth="1"/>
    <col min="6389" max="6389" width="71.140625" style="4" customWidth="1"/>
    <col min="6390" max="6390" width="18.140625" style="4" customWidth="1"/>
    <col min="6391" max="6391" width="20.140625" style="4" customWidth="1"/>
    <col min="6392" max="6392" width="19.140625" style="4" customWidth="1"/>
    <col min="6393" max="6393" width="23" style="4" customWidth="1"/>
    <col min="6394" max="6394" width="22.140625" style="4" customWidth="1"/>
    <col min="6395" max="6395" width="2.140625" style="4" customWidth="1"/>
    <col min="6396" max="6396" width="18.7109375" style="4" customWidth="1"/>
    <col min="6397" max="6397" width="19" style="4" customWidth="1"/>
    <col min="6398" max="6398" width="11.42578125" style="4"/>
    <col min="6399" max="6399" width="14.7109375" style="4" customWidth="1"/>
    <col min="6400" max="6400" width="15.140625" style="4" customWidth="1"/>
    <col min="6401" max="6643" width="11.42578125" style="4"/>
    <col min="6644" max="6644" width="3.5703125" style="4" customWidth="1"/>
    <col min="6645" max="6645" width="71.140625" style="4" customWidth="1"/>
    <col min="6646" max="6646" width="18.140625" style="4" customWidth="1"/>
    <col min="6647" max="6647" width="20.140625" style="4" customWidth="1"/>
    <col min="6648" max="6648" width="19.140625" style="4" customWidth="1"/>
    <col min="6649" max="6649" width="23" style="4" customWidth="1"/>
    <col min="6650" max="6650" width="22.140625" style="4" customWidth="1"/>
    <col min="6651" max="6651" width="2.140625" style="4" customWidth="1"/>
    <col min="6652" max="6652" width="18.7109375" style="4" customWidth="1"/>
    <col min="6653" max="6653" width="19" style="4" customWidth="1"/>
    <col min="6654" max="6654" width="11.42578125" style="4"/>
    <col min="6655" max="6655" width="14.7109375" style="4" customWidth="1"/>
    <col min="6656" max="6656" width="15.140625" style="4" customWidth="1"/>
    <col min="6657" max="6899" width="11.42578125" style="4"/>
    <col min="6900" max="6900" width="3.5703125" style="4" customWidth="1"/>
    <col min="6901" max="6901" width="71.140625" style="4" customWidth="1"/>
    <col min="6902" max="6902" width="18.140625" style="4" customWidth="1"/>
    <col min="6903" max="6903" width="20.140625" style="4" customWidth="1"/>
    <col min="6904" max="6904" width="19.140625" style="4" customWidth="1"/>
    <col min="6905" max="6905" width="23" style="4" customWidth="1"/>
    <col min="6906" max="6906" width="22.140625" style="4" customWidth="1"/>
    <col min="6907" max="6907" width="2.140625" style="4" customWidth="1"/>
    <col min="6908" max="6908" width="18.7109375" style="4" customWidth="1"/>
    <col min="6909" max="6909" width="19" style="4" customWidth="1"/>
    <col min="6910" max="6910" width="11.42578125" style="4"/>
    <col min="6911" max="6911" width="14.7109375" style="4" customWidth="1"/>
    <col min="6912" max="6912" width="15.140625" style="4" customWidth="1"/>
    <col min="6913" max="7155" width="11.42578125" style="4"/>
    <col min="7156" max="7156" width="3.5703125" style="4" customWidth="1"/>
    <col min="7157" max="7157" width="71.140625" style="4" customWidth="1"/>
    <col min="7158" max="7158" width="18.140625" style="4" customWidth="1"/>
    <col min="7159" max="7159" width="20.140625" style="4" customWidth="1"/>
    <col min="7160" max="7160" width="19.140625" style="4" customWidth="1"/>
    <col min="7161" max="7161" width="23" style="4" customWidth="1"/>
    <col min="7162" max="7162" width="22.140625" style="4" customWidth="1"/>
    <col min="7163" max="7163" width="2.140625" style="4" customWidth="1"/>
    <col min="7164" max="7164" width="18.7109375" style="4" customWidth="1"/>
    <col min="7165" max="7165" width="19" style="4" customWidth="1"/>
    <col min="7166" max="7166" width="11.42578125" style="4"/>
    <col min="7167" max="7167" width="14.7109375" style="4" customWidth="1"/>
    <col min="7168" max="7168" width="15.140625" style="4" customWidth="1"/>
    <col min="7169" max="7411" width="11.42578125" style="4"/>
    <col min="7412" max="7412" width="3.5703125" style="4" customWidth="1"/>
    <col min="7413" max="7413" width="71.140625" style="4" customWidth="1"/>
    <col min="7414" max="7414" width="18.140625" style="4" customWidth="1"/>
    <col min="7415" max="7415" width="20.140625" style="4" customWidth="1"/>
    <col min="7416" max="7416" width="19.140625" style="4" customWidth="1"/>
    <col min="7417" max="7417" width="23" style="4" customWidth="1"/>
    <col min="7418" max="7418" width="22.140625" style="4" customWidth="1"/>
    <col min="7419" max="7419" width="2.140625" style="4" customWidth="1"/>
    <col min="7420" max="7420" width="18.7109375" style="4" customWidth="1"/>
    <col min="7421" max="7421" width="19" style="4" customWidth="1"/>
    <col min="7422" max="7422" width="11.42578125" style="4"/>
    <col min="7423" max="7423" width="14.7109375" style="4" customWidth="1"/>
    <col min="7424" max="7424" width="15.140625" style="4" customWidth="1"/>
    <col min="7425" max="7667" width="11.42578125" style="4"/>
    <col min="7668" max="7668" width="3.5703125" style="4" customWidth="1"/>
    <col min="7669" max="7669" width="71.140625" style="4" customWidth="1"/>
    <col min="7670" max="7670" width="18.140625" style="4" customWidth="1"/>
    <col min="7671" max="7671" width="20.140625" style="4" customWidth="1"/>
    <col min="7672" max="7672" width="19.140625" style="4" customWidth="1"/>
    <col min="7673" max="7673" width="23" style="4" customWidth="1"/>
    <col min="7674" max="7674" width="22.140625" style="4" customWidth="1"/>
    <col min="7675" max="7675" width="2.140625" style="4" customWidth="1"/>
    <col min="7676" max="7676" width="18.7109375" style="4" customWidth="1"/>
    <col min="7677" max="7677" width="19" style="4" customWidth="1"/>
    <col min="7678" max="7678" width="11.42578125" style="4"/>
    <col min="7679" max="7679" width="14.7109375" style="4" customWidth="1"/>
    <col min="7680" max="7680" width="15.140625" style="4" customWidth="1"/>
    <col min="7681" max="7923" width="11.42578125" style="4"/>
    <col min="7924" max="7924" width="3.5703125" style="4" customWidth="1"/>
    <col min="7925" max="7925" width="71.140625" style="4" customWidth="1"/>
    <col min="7926" max="7926" width="18.140625" style="4" customWidth="1"/>
    <col min="7927" max="7927" width="20.140625" style="4" customWidth="1"/>
    <col min="7928" max="7928" width="19.140625" style="4" customWidth="1"/>
    <col min="7929" max="7929" width="23" style="4" customWidth="1"/>
    <col min="7930" max="7930" width="22.140625" style="4" customWidth="1"/>
    <col min="7931" max="7931" width="2.140625" style="4" customWidth="1"/>
    <col min="7932" max="7932" width="18.7109375" style="4" customWidth="1"/>
    <col min="7933" max="7933" width="19" style="4" customWidth="1"/>
    <col min="7934" max="7934" width="11.42578125" style="4"/>
    <col min="7935" max="7935" width="14.7109375" style="4" customWidth="1"/>
    <col min="7936" max="7936" width="15.140625" style="4" customWidth="1"/>
    <col min="7937" max="8179" width="11.42578125" style="4"/>
    <col min="8180" max="8180" width="3.5703125" style="4" customWidth="1"/>
    <col min="8181" max="8181" width="71.140625" style="4" customWidth="1"/>
    <col min="8182" max="8182" width="18.140625" style="4" customWidth="1"/>
    <col min="8183" max="8183" width="20.140625" style="4" customWidth="1"/>
    <col min="8184" max="8184" width="19.140625" style="4" customWidth="1"/>
    <col min="8185" max="8185" width="23" style="4" customWidth="1"/>
    <col min="8186" max="8186" width="22.140625" style="4" customWidth="1"/>
    <col min="8187" max="8187" width="2.140625" style="4" customWidth="1"/>
    <col min="8188" max="8188" width="18.7109375" style="4" customWidth="1"/>
    <col min="8189" max="8189" width="19" style="4" customWidth="1"/>
    <col min="8190" max="8190" width="11.42578125" style="4"/>
    <col min="8191" max="8191" width="14.7109375" style="4" customWidth="1"/>
    <col min="8192" max="8192" width="15.140625" style="4" customWidth="1"/>
    <col min="8193" max="8435" width="11.42578125" style="4"/>
    <col min="8436" max="8436" width="3.5703125" style="4" customWidth="1"/>
    <col min="8437" max="8437" width="71.140625" style="4" customWidth="1"/>
    <col min="8438" max="8438" width="18.140625" style="4" customWidth="1"/>
    <col min="8439" max="8439" width="20.140625" style="4" customWidth="1"/>
    <col min="8440" max="8440" width="19.140625" style="4" customWidth="1"/>
    <col min="8441" max="8441" width="23" style="4" customWidth="1"/>
    <col min="8442" max="8442" width="22.140625" style="4" customWidth="1"/>
    <col min="8443" max="8443" width="2.140625" style="4" customWidth="1"/>
    <col min="8444" max="8444" width="18.7109375" style="4" customWidth="1"/>
    <col min="8445" max="8445" width="19" style="4" customWidth="1"/>
    <col min="8446" max="8446" width="11.42578125" style="4"/>
    <col min="8447" max="8447" width="14.7109375" style="4" customWidth="1"/>
    <col min="8448" max="8448" width="15.140625" style="4" customWidth="1"/>
    <col min="8449" max="8691" width="11.42578125" style="4"/>
    <col min="8692" max="8692" width="3.5703125" style="4" customWidth="1"/>
    <col min="8693" max="8693" width="71.140625" style="4" customWidth="1"/>
    <col min="8694" max="8694" width="18.140625" style="4" customWidth="1"/>
    <col min="8695" max="8695" width="20.140625" style="4" customWidth="1"/>
    <col min="8696" max="8696" width="19.140625" style="4" customWidth="1"/>
    <col min="8697" max="8697" width="23" style="4" customWidth="1"/>
    <col min="8698" max="8698" width="22.140625" style="4" customWidth="1"/>
    <col min="8699" max="8699" width="2.140625" style="4" customWidth="1"/>
    <col min="8700" max="8700" width="18.7109375" style="4" customWidth="1"/>
    <col min="8701" max="8701" width="19" style="4" customWidth="1"/>
    <col min="8702" max="8702" width="11.42578125" style="4"/>
    <col min="8703" max="8703" width="14.7109375" style="4" customWidth="1"/>
    <col min="8704" max="8704" width="15.140625" style="4" customWidth="1"/>
    <col min="8705" max="8947" width="11.42578125" style="4"/>
    <col min="8948" max="8948" width="3.5703125" style="4" customWidth="1"/>
    <col min="8949" max="8949" width="71.140625" style="4" customWidth="1"/>
    <col min="8950" max="8950" width="18.140625" style="4" customWidth="1"/>
    <col min="8951" max="8951" width="20.140625" style="4" customWidth="1"/>
    <col min="8952" max="8952" width="19.140625" style="4" customWidth="1"/>
    <col min="8953" max="8953" width="23" style="4" customWidth="1"/>
    <col min="8954" max="8954" width="22.140625" style="4" customWidth="1"/>
    <col min="8955" max="8955" width="2.140625" style="4" customWidth="1"/>
    <col min="8956" max="8956" width="18.7109375" style="4" customWidth="1"/>
    <col min="8957" max="8957" width="19" style="4" customWidth="1"/>
    <col min="8958" max="8958" width="11.42578125" style="4"/>
    <col min="8959" max="8959" width="14.7109375" style="4" customWidth="1"/>
    <col min="8960" max="8960" width="15.140625" style="4" customWidth="1"/>
    <col min="8961" max="9203" width="11.42578125" style="4"/>
    <col min="9204" max="9204" width="3.5703125" style="4" customWidth="1"/>
    <col min="9205" max="9205" width="71.140625" style="4" customWidth="1"/>
    <col min="9206" max="9206" width="18.140625" style="4" customWidth="1"/>
    <col min="9207" max="9207" width="20.140625" style="4" customWidth="1"/>
    <col min="9208" max="9208" width="19.140625" style="4" customWidth="1"/>
    <col min="9209" max="9209" width="23" style="4" customWidth="1"/>
    <col min="9210" max="9210" width="22.140625" style="4" customWidth="1"/>
    <col min="9211" max="9211" width="2.140625" style="4" customWidth="1"/>
    <col min="9212" max="9212" width="18.7109375" style="4" customWidth="1"/>
    <col min="9213" max="9213" width="19" style="4" customWidth="1"/>
    <col min="9214" max="9214" width="11.42578125" style="4"/>
    <col min="9215" max="9215" width="14.7109375" style="4" customWidth="1"/>
    <col min="9216" max="9216" width="15.140625" style="4" customWidth="1"/>
    <col min="9217" max="9459" width="11.42578125" style="4"/>
    <col min="9460" max="9460" width="3.5703125" style="4" customWidth="1"/>
    <col min="9461" max="9461" width="71.140625" style="4" customWidth="1"/>
    <col min="9462" max="9462" width="18.140625" style="4" customWidth="1"/>
    <col min="9463" max="9463" width="20.140625" style="4" customWidth="1"/>
    <col min="9464" max="9464" width="19.140625" style="4" customWidth="1"/>
    <col min="9465" max="9465" width="23" style="4" customWidth="1"/>
    <col min="9466" max="9466" width="22.140625" style="4" customWidth="1"/>
    <col min="9467" max="9467" width="2.140625" style="4" customWidth="1"/>
    <col min="9468" max="9468" width="18.7109375" style="4" customWidth="1"/>
    <col min="9469" max="9469" width="19" style="4" customWidth="1"/>
    <col min="9470" max="9470" width="11.42578125" style="4"/>
    <col min="9471" max="9471" width="14.7109375" style="4" customWidth="1"/>
    <col min="9472" max="9472" width="15.140625" style="4" customWidth="1"/>
    <col min="9473" max="9715" width="11.42578125" style="4"/>
    <col min="9716" max="9716" width="3.5703125" style="4" customWidth="1"/>
    <col min="9717" max="9717" width="71.140625" style="4" customWidth="1"/>
    <col min="9718" max="9718" width="18.140625" style="4" customWidth="1"/>
    <col min="9719" max="9719" width="20.140625" style="4" customWidth="1"/>
    <col min="9720" max="9720" width="19.140625" style="4" customWidth="1"/>
    <col min="9721" max="9721" width="23" style="4" customWidth="1"/>
    <col min="9722" max="9722" width="22.140625" style="4" customWidth="1"/>
    <col min="9723" max="9723" width="2.140625" style="4" customWidth="1"/>
    <col min="9724" max="9724" width="18.7109375" style="4" customWidth="1"/>
    <col min="9725" max="9725" width="19" style="4" customWidth="1"/>
    <col min="9726" max="9726" width="11.42578125" style="4"/>
    <col min="9727" max="9727" width="14.7109375" style="4" customWidth="1"/>
    <col min="9728" max="9728" width="15.140625" style="4" customWidth="1"/>
    <col min="9729" max="9971" width="11.42578125" style="4"/>
    <col min="9972" max="9972" width="3.5703125" style="4" customWidth="1"/>
    <col min="9973" max="9973" width="71.140625" style="4" customWidth="1"/>
    <col min="9974" max="9974" width="18.140625" style="4" customWidth="1"/>
    <col min="9975" max="9975" width="20.140625" style="4" customWidth="1"/>
    <col min="9976" max="9976" width="19.140625" style="4" customWidth="1"/>
    <col min="9977" max="9977" width="23" style="4" customWidth="1"/>
    <col min="9978" max="9978" width="22.140625" style="4" customWidth="1"/>
    <col min="9979" max="9979" width="2.140625" style="4" customWidth="1"/>
    <col min="9980" max="9980" width="18.7109375" style="4" customWidth="1"/>
    <col min="9981" max="9981" width="19" style="4" customWidth="1"/>
    <col min="9982" max="9982" width="11.42578125" style="4"/>
    <col min="9983" max="9983" width="14.7109375" style="4" customWidth="1"/>
    <col min="9984" max="9984" width="15.140625" style="4" customWidth="1"/>
    <col min="9985" max="10227" width="11.42578125" style="4"/>
    <col min="10228" max="10228" width="3.5703125" style="4" customWidth="1"/>
    <col min="10229" max="10229" width="71.140625" style="4" customWidth="1"/>
    <col min="10230" max="10230" width="18.140625" style="4" customWidth="1"/>
    <col min="10231" max="10231" width="20.140625" style="4" customWidth="1"/>
    <col min="10232" max="10232" width="19.140625" style="4" customWidth="1"/>
    <col min="10233" max="10233" width="23" style="4" customWidth="1"/>
    <col min="10234" max="10234" width="22.140625" style="4" customWidth="1"/>
    <col min="10235" max="10235" width="2.140625" style="4" customWidth="1"/>
    <col min="10236" max="10236" width="18.7109375" style="4" customWidth="1"/>
    <col min="10237" max="10237" width="19" style="4" customWidth="1"/>
    <col min="10238" max="10238" width="11.42578125" style="4"/>
    <col min="10239" max="10239" width="14.7109375" style="4" customWidth="1"/>
    <col min="10240" max="10240" width="15.140625" style="4" customWidth="1"/>
    <col min="10241" max="10483" width="11.42578125" style="4"/>
    <col min="10484" max="10484" width="3.5703125" style="4" customWidth="1"/>
    <col min="10485" max="10485" width="71.140625" style="4" customWidth="1"/>
    <col min="10486" max="10486" width="18.140625" style="4" customWidth="1"/>
    <col min="10487" max="10487" width="20.140625" style="4" customWidth="1"/>
    <col min="10488" max="10488" width="19.140625" style="4" customWidth="1"/>
    <col min="10489" max="10489" width="23" style="4" customWidth="1"/>
    <col min="10490" max="10490" width="22.140625" style="4" customWidth="1"/>
    <col min="10491" max="10491" width="2.140625" style="4" customWidth="1"/>
    <col min="10492" max="10492" width="18.7109375" style="4" customWidth="1"/>
    <col min="10493" max="10493" width="19" style="4" customWidth="1"/>
    <col min="10494" max="10494" width="11.42578125" style="4"/>
    <col min="10495" max="10495" width="14.7109375" style="4" customWidth="1"/>
    <col min="10496" max="10496" width="15.140625" style="4" customWidth="1"/>
    <col min="10497" max="10739" width="11.42578125" style="4"/>
    <col min="10740" max="10740" width="3.5703125" style="4" customWidth="1"/>
    <col min="10741" max="10741" width="71.140625" style="4" customWidth="1"/>
    <col min="10742" max="10742" width="18.140625" style="4" customWidth="1"/>
    <col min="10743" max="10743" width="20.140625" style="4" customWidth="1"/>
    <col min="10744" max="10744" width="19.140625" style="4" customWidth="1"/>
    <col min="10745" max="10745" width="23" style="4" customWidth="1"/>
    <col min="10746" max="10746" width="22.140625" style="4" customWidth="1"/>
    <col min="10747" max="10747" width="2.140625" style="4" customWidth="1"/>
    <col min="10748" max="10748" width="18.7109375" style="4" customWidth="1"/>
    <col min="10749" max="10749" width="19" style="4" customWidth="1"/>
    <col min="10750" max="10750" width="11.42578125" style="4"/>
    <col min="10751" max="10751" width="14.7109375" style="4" customWidth="1"/>
    <col min="10752" max="10752" width="15.140625" style="4" customWidth="1"/>
    <col min="10753" max="10995" width="11.42578125" style="4"/>
    <col min="10996" max="10996" width="3.5703125" style="4" customWidth="1"/>
    <col min="10997" max="10997" width="71.140625" style="4" customWidth="1"/>
    <col min="10998" max="10998" width="18.140625" style="4" customWidth="1"/>
    <col min="10999" max="10999" width="20.140625" style="4" customWidth="1"/>
    <col min="11000" max="11000" width="19.140625" style="4" customWidth="1"/>
    <col min="11001" max="11001" width="23" style="4" customWidth="1"/>
    <col min="11002" max="11002" width="22.140625" style="4" customWidth="1"/>
    <col min="11003" max="11003" width="2.140625" style="4" customWidth="1"/>
    <col min="11004" max="11004" width="18.7109375" style="4" customWidth="1"/>
    <col min="11005" max="11005" width="19" style="4" customWidth="1"/>
    <col min="11006" max="11006" width="11.42578125" style="4"/>
    <col min="11007" max="11007" width="14.7109375" style="4" customWidth="1"/>
    <col min="11008" max="11008" width="15.140625" style="4" customWidth="1"/>
    <col min="11009" max="11251" width="11.42578125" style="4"/>
    <col min="11252" max="11252" width="3.5703125" style="4" customWidth="1"/>
    <col min="11253" max="11253" width="71.140625" style="4" customWidth="1"/>
    <col min="11254" max="11254" width="18.140625" style="4" customWidth="1"/>
    <col min="11255" max="11255" width="20.140625" style="4" customWidth="1"/>
    <col min="11256" max="11256" width="19.140625" style="4" customWidth="1"/>
    <col min="11257" max="11257" width="23" style="4" customWidth="1"/>
    <col min="11258" max="11258" width="22.140625" style="4" customWidth="1"/>
    <col min="11259" max="11259" width="2.140625" style="4" customWidth="1"/>
    <col min="11260" max="11260" width="18.7109375" style="4" customWidth="1"/>
    <col min="11261" max="11261" width="19" style="4" customWidth="1"/>
    <col min="11262" max="11262" width="11.42578125" style="4"/>
    <col min="11263" max="11263" width="14.7109375" style="4" customWidth="1"/>
    <col min="11264" max="11264" width="15.140625" style="4" customWidth="1"/>
    <col min="11265" max="11507" width="11.42578125" style="4"/>
    <col min="11508" max="11508" width="3.5703125" style="4" customWidth="1"/>
    <col min="11509" max="11509" width="71.140625" style="4" customWidth="1"/>
    <col min="11510" max="11510" width="18.140625" style="4" customWidth="1"/>
    <col min="11511" max="11511" width="20.140625" style="4" customWidth="1"/>
    <col min="11512" max="11512" width="19.140625" style="4" customWidth="1"/>
    <col min="11513" max="11513" width="23" style="4" customWidth="1"/>
    <col min="11514" max="11514" width="22.140625" style="4" customWidth="1"/>
    <col min="11515" max="11515" width="2.140625" style="4" customWidth="1"/>
    <col min="11516" max="11516" width="18.7109375" style="4" customWidth="1"/>
    <col min="11517" max="11517" width="19" style="4" customWidth="1"/>
    <col min="11518" max="11518" width="11.42578125" style="4"/>
    <col min="11519" max="11519" width="14.7109375" style="4" customWidth="1"/>
    <col min="11520" max="11520" width="15.140625" style="4" customWidth="1"/>
    <col min="11521" max="11763" width="11.42578125" style="4"/>
    <col min="11764" max="11764" width="3.5703125" style="4" customWidth="1"/>
    <col min="11765" max="11765" width="71.140625" style="4" customWidth="1"/>
    <col min="11766" max="11766" width="18.140625" style="4" customWidth="1"/>
    <col min="11767" max="11767" width="20.140625" style="4" customWidth="1"/>
    <col min="11768" max="11768" width="19.140625" style="4" customWidth="1"/>
    <col min="11769" max="11769" width="23" style="4" customWidth="1"/>
    <col min="11770" max="11770" width="22.140625" style="4" customWidth="1"/>
    <col min="11771" max="11771" width="2.140625" style="4" customWidth="1"/>
    <col min="11772" max="11772" width="18.7109375" style="4" customWidth="1"/>
    <col min="11773" max="11773" width="19" style="4" customWidth="1"/>
    <col min="11774" max="11774" width="11.42578125" style="4"/>
    <col min="11775" max="11775" width="14.7109375" style="4" customWidth="1"/>
    <col min="11776" max="11776" width="15.140625" style="4" customWidth="1"/>
    <col min="11777" max="12019" width="11.42578125" style="4"/>
    <col min="12020" max="12020" width="3.5703125" style="4" customWidth="1"/>
    <col min="12021" max="12021" width="71.140625" style="4" customWidth="1"/>
    <col min="12022" max="12022" width="18.140625" style="4" customWidth="1"/>
    <col min="12023" max="12023" width="20.140625" style="4" customWidth="1"/>
    <col min="12024" max="12024" width="19.140625" style="4" customWidth="1"/>
    <col min="12025" max="12025" width="23" style="4" customWidth="1"/>
    <col min="12026" max="12026" width="22.140625" style="4" customWidth="1"/>
    <col min="12027" max="12027" width="2.140625" style="4" customWidth="1"/>
    <col min="12028" max="12028" width="18.7109375" style="4" customWidth="1"/>
    <col min="12029" max="12029" width="19" style="4" customWidth="1"/>
    <col min="12030" max="12030" width="11.42578125" style="4"/>
    <col min="12031" max="12031" width="14.7109375" style="4" customWidth="1"/>
    <col min="12032" max="12032" width="15.140625" style="4" customWidth="1"/>
    <col min="12033" max="12275" width="11.42578125" style="4"/>
    <col min="12276" max="12276" width="3.5703125" style="4" customWidth="1"/>
    <col min="12277" max="12277" width="71.140625" style="4" customWidth="1"/>
    <col min="12278" max="12278" width="18.140625" style="4" customWidth="1"/>
    <col min="12279" max="12279" width="20.140625" style="4" customWidth="1"/>
    <col min="12280" max="12280" width="19.140625" style="4" customWidth="1"/>
    <col min="12281" max="12281" width="23" style="4" customWidth="1"/>
    <col min="12282" max="12282" width="22.140625" style="4" customWidth="1"/>
    <col min="12283" max="12283" width="2.140625" style="4" customWidth="1"/>
    <col min="12284" max="12284" width="18.7109375" style="4" customWidth="1"/>
    <col min="12285" max="12285" width="19" style="4" customWidth="1"/>
    <col min="12286" max="12286" width="11.42578125" style="4"/>
    <col min="12287" max="12287" width="14.7109375" style="4" customWidth="1"/>
    <col min="12288" max="12288" width="15.140625" style="4" customWidth="1"/>
    <col min="12289" max="12531" width="11.42578125" style="4"/>
    <col min="12532" max="12532" width="3.5703125" style="4" customWidth="1"/>
    <col min="12533" max="12533" width="71.140625" style="4" customWidth="1"/>
    <col min="12534" max="12534" width="18.140625" style="4" customWidth="1"/>
    <col min="12535" max="12535" width="20.140625" style="4" customWidth="1"/>
    <col min="12536" max="12536" width="19.140625" style="4" customWidth="1"/>
    <col min="12537" max="12537" width="23" style="4" customWidth="1"/>
    <col min="12538" max="12538" width="22.140625" style="4" customWidth="1"/>
    <col min="12539" max="12539" width="2.140625" style="4" customWidth="1"/>
    <col min="12540" max="12540" width="18.7109375" style="4" customWidth="1"/>
    <col min="12541" max="12541" width="19" style="4" customWidth="1"/>
    <col min="12542" max="12542" width="11.42578125" style="4"/>
    <col min="12543" max="12543" width="14.7109375" style="4" customWidth="1"/>
    <col min="12544" max="12544" width="15.140625" style="4" customWidth="1"/>
    <col min="12545" max="12787" width="11.42578125" style="4"/>
    <col min="12788" max="12788" width="3.5703125" style="4" customWidth="1"/>
    <col min="12789" max="12789" width="71.140625" style="4" customWidth="1"/>
    <col min="12790" max="12790" width="18.140625" style="4" customWidth="1"/>
    <col min="12791" max="12791" width="20.140625" style="4" customWidth="1"/>
    <col min="12792" max="12792" width="19.140625" style="4" customWidth="1"/>
    <col min="12793" max="12793" width="23" style="4" customWidth="1"/>
    <col min="12794" max="12794" width="22.140625" style="4" customWidth="1"/>
    <col min="12795" max="12795" width="2.140625" style="4" customWidth="1"/>
    <col min="12796" max="12796" width="18.7109375" style="4" customWidth="1"/>
    <col min="12797" max="12797" width="19" style="4" customWidth="1"/>
    <col min="12798" max="12798" width="11.42578125" style="4"/>
    <col min="12799" max="12799" width="14.7109375" style="4" customWidth="1"/>
    <col min="12800" max="12800" width="15.140625" style="4" customWidth="1"/>
    <col min="12801" max="13043" width="11.42578125" style="4"/>
    <col min="13044" max="13044" width="3.5703125" style="4" customWidth="1"/>
    <col min="13045" max="13045" width="71.140625" style="4" customWidth="1"/>
    <col min="13046" max="13046" width="18.140625" style="4" customWidth="1"/>
    <col min="13047" max="13047" width="20.140625" style="4" customWidth="1"/>
    <col min="13048" max="13048" width="19.140625" style="4" customWidth="1"/>
    <col min="13049" max="13049" width="23" style="4" customWidth="1"/>
    <col min="13050" max="13050" width="22.140625" style="4" customWidth="1"/>
    <col min="13051" max="13051" width="2.140625" style="4" customWidth="1"/>
    <col min="13052" max="13052" width="18.7109375" style="4" customWidth="1"/>
    <col min="13053" max="13053" width="19" style="4" customWidth="1"/>
    <col min="13054" max="13054" width="11.42578125" style="4"/>
    <col min="13055" max="13055" width="14.7109375" style="4" customWidth="1"/>
    <col min="13056" max="13056" width="15.140625" style="4" customWidth="1"/>
    <col min="13057" max="13299" width="11.42578125" style="4"/>
    <col min="13300" max="13300" width="3.5703125" style="4" customWidth="1"/>
    <col min="13301" max="13301" width="71.140625" style="4" customWidth="1"/>
    <col min="13302" max="13302" width="18.140625" style="4" customWidth="1"/>
    <col min="13303" max="13303" width="20.140625" style="4" customWidth="1"/>
    <col min="13304" max="13304" width="19.140625" style="4" customWidth="1"/>
    <col min="13305" max="13305" width="23" style="4" customWidth="1"/>
    <col min="13306" max="13306" width="22.140625" style="4" customWidth="1"/>
    <col min="13307" max="13307" width="2.140625" style="4" customWidth="1"/>
    <col min="13308" max="13308" width="18.7109375" style="4" customWidth="1"/>
    <col min="13309" max="13309" width="19" style="4" customWidth="1"/>
    <col min="13310" max="13310" width="11.42578125" style="4"/>
    <col min="13311" max="13311" width="14.7109375" style="4" customWidth="1"/>
    <col min="13312" max="13312" width="15.140625" style="4" customWidth="1"/>
    <col min="13313" max="13555" width="11.42578125" style="4"/>
    <col min="13556" max="13556" width="3.5703125" style="4" customWidth="1"/>
    <col min="13557" max="13557" width="71.140625" style="4" customWidth="1"/>
    <col min="13558" max="13558" width="18.140625" style="4" customWidth="1"/>
    <col min="13559" max="13559" width="20.140625" style="4" customWidth="1"/>
    <col min="13560" max="13560" width="19.140625" style="4" customWidth="1"/>
    <col min="13561" max="13561" width="23" style="4" customWidth="1"/>
    <col min="13562" max="13562" width="22.140625" style="4" customWidth="1"/>
    <col min="13563" max="13563" width="2.140625" style="4" customWidth="1"/>
    <col min="13564" max="13564" width="18.7109375" style="4" customWidth="1"/>
    <col min="13565" max="13565" width="19" style="4" customWidth="1"/>
    <col min="13566" max="13566" width="11.42578125" style="4"/>
    <col min="13567" max="13567" width="14.7109375" style="4" customWidth="1"/>
    <col min="13568" max="13568" width="15.140625" style="4" customWidth="1"/>
    <col min="13569" max="13811" width="11.42578125" style="4"/>
    <col min="13812" max="13812" width="3.5703125" style="4" customWidth="1"/>
    <col min="13813" max="13813" width="71.140625" style="4" customWidth="1"/>
    <col min="13814" max="13814" width="18.140625" style="4" customWidth="1"/>
    <col min="13815" max="13815" width="20.140625" style="4" customWidth="1"/>
    <col min="13816" max="13816" width="19.140625" style="4" customWidth="1"/>
    <col min="13817" max="13817" width="23" style="4" customWidth="1"/>
    <col min="13818" max="13818" width="22.140625" style="4" customWidth="1"/>
    <col min="13819" max="13819" width="2.140625" style="4" customWidth="1"/>
    <col min="13820" max="13820" width="18.7109375" style="4" customWidth="1"/>
    <col min="13821" max="13821" width="19" style="4" customWidth="1"/>
    <col min="13822" max="13822" width="11.42578125" style="4"/>
    <col min="13823" max="13823" width="14.7109375" style="4" customWidth="1"/>
    <col min="13824" max="13824" width="15.140625" style="4" customWidth="1"/>
    <col min="13825" max="14067" width="11.42578125" style="4"/>
    <col min="14068" max="14068" width="3.5703125" style="4" customWidth="1"/>
    <col min="14069" max="14069" width="71.140625" style="4" customWidth="1"/>
    <col min="14070" max="14070" width="18.140625" style="4" customWidth="1"/>
    <col min="14071" max="14071" width="20.140625" style="4" customWidth="1"/>
    <col min="14072" max="14072" width="19.140625" style="4" customWidth="1"/>
    <col min="14073" max="14073" width="23" style="4" customWidth="1"/>
    <col min="14074" max="14074" width="22.140625" style="4" customWidth="1"/>
    <col min="14075" max="14075" width="2.140625" style="4" customWidth="1"/>
    <col min="14076" max="14076" width="18.7109375" style="4" customWidth="1"/>
    <col min="14077" max="14077" width="19" style="4" customWidth="1"/>
    <col min="14078" max="14078" width="11.42578125" style="4"/>
    <col min="14079" max="14079" width="14.7109375" style="4" customWidth="1"/>
    <col min="14080" max="14080" width="15.140625" style="4" customWidth="1"/>
    <col min="14081" max="14323" width="11.42578125" style="4"/>
    <col min="14324" max="14324" width="3.5703125" style="4" customWidth="1"/>
    <col min="14325" max="14325" width="71.140625" style="4" customWidth="1"/>
    <col min="14326" max="14326" width="18.140625" style="4" customWidth="1"/>
    <col min="14327" max="14327" width="20.140625" style="4" customWidth="1"/>
    <col min="14328" max="14328" width="19.140625" style="4" customWidth="1"/>
    <col min="14329" max="14329" width="23" style="4" customWidth="1"/>
    <col min="14330" max="14330" width="22.140625" style="4" customWidth="1"/>
    <col min="14331" max="14331" width="2.140625" style="4" customWidth="1"/>
    <col min="14332" max="14332" width="18.7109375" style="4" customWidth="1"/>
    <col min="14333" max="14333" width="19" style="4" customWidth="1"/>
    <col min="14334" max="14334" width="11.42578125" style="4"/>
    <col min="14335" max="14335" width="14.7109375" style="4" customWidth="1"/>
    <col min="14336" max="14336" width="15.140625" style="4" customWidth="1"/>
    <col min="14337" max="14579" width="11.42578125" style="4"/>
    <col min="14580" max="14580" width="3.5703125" style="4" customWidth="1"/>
    <col min="14581" max="14581" width="71.140625" style="4" customWidth="1"/>
    <col min="14582" max="14582" width="18.140625" style="4" customWidth="1"/>
    <col min="14583" max="14583" width="20.140625" style="4" customWidth="1"/>
    <col min="14584" max="14584" width="19.140625" style="4" customWidth="1"/>
    <col min="14585" max="14585" width="23" style="4" customWidth="1"/>
    <col min="14586" max="14586" width="22.140625" style="4" customWidth="1"/>
    <col min="14587" max="14587" width="2.140625" style="4" customWidth="1"/>
    <col min="14588" max="14588" width="18.7109375" style="4" customWidth="1"/>
    <col min="14589" max="14589" width="19" style="4" customWidth="1"/>
    <col min="14590" max="14590" width="11.42578125" style="4"/>
    <col min="14591" max="14591" width="14.7109375" style="4" customWidth="1"/>
    <col min="14592" max="14592" width="15.140625" style="4" customWidth="1"/>
    <col min="14593" max="14835" width="11.42578125" style="4"/>
    <col min="14836" max="14836" width="3.5703125" style="4" customWidth="1"/>
    <col min="14837" max="14837" width="71.140625" style="4" customWidth="1"/>
    <col min="14838" max="14838" width="18.140625" style="4" customWidth="1"/>
    <col min="14839" max="14839" width="20.140625" style="4" customWidth="1"/>
    <col min="14840" max="14840" width="19.140625" style="4" customWidth="1"/>
    <col min="14841" max="14841" width="23" style="4" customWidth="1"/>
    <col min="14842" max="14842" width="22.140625" style="4" customWidth="1"/>
    <col min="14843" max="14843" width="2.140625" style="4" customWidth="1"/>
    <col min="14844" max="14844" width="18.7109375" style="4" customWidth="1"/>
    <col min="14845" max="14845" width="19" style="4" customWidth="1"/>
    <col min="14846" max="14846" width="11.42578125" style="4"/>
    <col min="14847" max="14847" width="14.7109375" style="4" customWidth="1"/>
    <col min="14848" max="14848" width="15.140625" style="4" customWidth="1"/>
    <col min="14849" max="15091" width="11.42578125" style="4"/>
    <col min="15092" max="15092" width="3.5703125" style="4" customWidth="1"/>
    <col min="15093" max="15093" width="71.140625" style="4" customWidth="1"/>
    <col min="15094" max="15094" width="18.140625" style="4" customWidth="1"/>
    <col min="15095" max="15095" width="20.140625" style="4" customWidth="1"/>
    <col min="15096" max="15096" width="19.140625" style="4" customWidth="1"/>
    <col min="15097" max="15097" width="23" style="4" customWidth="1"/>
    <col min="15098" max="15098" width="22.140625" style="4" customWidth="1"/>
    <col min="15099" max="15099" width="2.140625" style="4" customWidth="1"/>
    <col min="15100" max="15100" width="18.7109375" style="4" customWidth="1"/>
    <col min="15101" max="15101" width="19" style="4" customWidth="1"/>
    <col min="15102" max="15102" width="11.42578125" style="4"/>
    <col min="15103" max="15103" width="14.7109375" style="4" customWidth="1"/>
    <col min="15104" max="15104" width="15.140625" style="4" customWidth="1"/>
    <col min="15105" max="15347" width="11.42578125" style="4"/>
    <col min="15348" max="15348" width="3.5703125" style="4" customWidth="1"/>
    <col min="15349" max="15349" width="71.140625" style="4" customWidth="1"/>
    <col min="15350" max="15350" width="18.140625" style="4" customWidth="1"/>
    <col min="15351" max="15351" width="20.140625" style="4" customWidth="1"/>
    <col min="15352" max="15352" width="19.140625" style="4" customWidth="1"/>
    <col min="15353" max="15353" width="23" style="4" customWidth="1"/>
    <col min="15354" max="15354" width="22.140625" style="4" customWidth="1"/>
    <col min="15355" max="15355" width="2.140625" style="4" customWidth="1"/>
    <col min="15356" max="15356" width="18.7109375" style="4" customWidth="1"/>
    <col min="15357" max="15357" width="19" style="4" customWidth="1"/>
    <col min="15358" max="15358" width="11.42578125" style="4"/>
    <col min="15359" max="15359" width="14.7109375" style="4" customWidth="1"/>
    <col min="15360" max="15360" width="15.140625" style="4" customWidth="1"/>
    <col min="15361" max="15603" width="11.42578125" style="4"/>
    <col min="15604" max="15604" width="3.5703125" style="4" customWidth="1"/>
    <col min="15605" max="15605" width="71.140625" style="4" customWidth="1"/>
    <col min="15606" max="15606" width="18.140625" style="4" customWidth="1"/>
    <col min="15607" max="15607" width="20.140625" style="4" customWidth="1"/>
    <col min="15608" max="15608" width="19.140625" style="4" customWidth="1"/>
    <col min="15609" max="15609" width="23" style="4" customWidth="1"/>
    <col min="15610" max="15610" width="22.140625" style="4" customWidth="1"/>
    <col min="15611" max="15611" width="2.140625" style="4" customWidth="1"/>
    <col min="15612" max="15612" width="18.7109375" style="4" customWidth="1"/>
    <col min="15613" max="15613" width="19" style="4" customWidth="1"/>
    <col min="15614" max="15614" width="11.42578125" style="4"/>
    <col min="15615" max="15615" width="14.7109375" style="4" customWidth="1"/>
    <col min="15616" max="15616" width="15.140625" style="4" customWidth="1"/>
    <col min="15617" max="15859" width="11.42578125" style="4"/>
    <col min="15860" max="15860" width="3.5703125" style="4" customWidth="1"/>
    <col min="15861" max="15861" width="71.140625" style="4" customWidth="1"/>
    <col min="15862" max="15862" width="18.140625" style="4" customWidth="1"/>
    <col min="15863" max="15863" width="20.140625" style="4" customWidth="1"/>
    <col min="15864" max="15864" width="19.140625" style="4" customWidth="1"/>
    <col min="15865" max="15865" width="23" style="4" customWidth="1"/>
    <col min="15866" max="15866" width="22.140625" style="4" customWidth="1"/>
    <col min="15867" max="15867" width="2.140625" style="4" customWidth="1"/>
    <col min="15868" max="15868" width="18.7109375" style="4" customWidth="1"/>
    <col min="15869" max="15869" width="19" style="4" customWidth="1"/>
    <col min="15870" max="15870" width="11.42578125" style="4"/>
    <col min="15871" max="15871" width="14.7109375" style="4" customWidth="1"/>
    <col min="15872" max="15872" width="15.140625" style="4" customWidth="1"/>
    <col min="15873" max="16115" width="11.42578125" style="4"/>
    <col min="16116" max="16116" width="3.5703125" style="4" customWidth="1"/>
    <col min="16117" max="16117" width="71.140625" style="4" customWidth="1"/>
    <col min="16118" max="16118" width="18.140625" style="4" customWidth="1"/>
    <col min="16119" max="16119" width="20.140625" style="4" customWidth="1"/>
    <col min="16120" max="16120" width="19.140625" style="4" customWidth="1"/>
    <col min="16121" max="16121" width="23" style="4" customWidth="1"/>
    <col min="16122" max="16122" width="22.140625" style="4" customWidth="1"/>
    <col min="16123" max="16123" width="2.140625" style="4" customWidth="1"/>
    <col min="16124" max="16124" width="18.7109375" style="4" customWidth="1"/>
    <col min="16125" max="16125" width="19" style="4" customWidth="1"/>
    <col min="16126" max="16126" width="11.42578125" style="4"/>
    <col min="16127" max="16127" width="14.7109375" style="4" customWidth="1"/>
    <col min="16128" max="16128" width="15.140625" style="4" customWidth="1"/>
    <col min="16129" max="16384" width="11.42578125" style="4"/>
  </cols>
  <sheetData>
    <row r="1" spans="2:4" ht="17.25" x14ac:dyDescent="0.3">
      <c r="B1" s="506" t="s">
        <v>373</v>
      </c>
    </row>
    <row r="2" spans="2:4" ht="13.5" thickBot="1" x14ac:dyDescent="0.25"/>
    <row r="3" spans="2:4" ht="36" customHeight="1" thickBot="1" x14ac:dyDescent="0.25">
      <c r="B3" s="501" t="s">
        <v>331</v>
      </c>
      <c r="C3" s="502"/>
      <c r="D3" s="503"/>
    </row>
    <row r="4" spans="2:4" ht="9.75" customHeight="1" thickBot="1" x14ac:dyDescent="0.25">
      <c r="B4" s="469"/>
      <c r="C4" s="469"/>
      <c r="D4" s="469"/>
    </row>
    <row r="5" spans="2:4" ht="51" customHeight="1" thickBot="1" x14ac:dyDescent="0.25">
      <c r="B5" s="471" t="s">
        <v>333</v>
      </c>
      <c r="C5" s="472" t="s">
        <v>348</v>
      </c>
      <c r="D5" s="473" t="s">
        <v>334</v>
      </c>
    </row>
    <row r="6" spans="2:4" ht="9" customHeight="1" x14ac:dyDescent="0.2">
      <c r="B6" s="475"/>
      <c r="C6" s="476"/>
      <c r="D6" s="476"/>
    </row>
    <row r="7" spans="2:4" ht="18.600000000000001" customHeight="1" x14ac:dyDescent="0.2">
      <c r="B7" s="478" t="s">
        <v>374</v>
      </c>
      <c r="C7" s="554" t="s">
        <v>368</v>
      </c>
      <c r="D7" s="555"/>
    </row>
    <row r="8" spans="2:4" ht="9" customHeight="1" x14ac:dyDescent="0.2">
      <c r="B8" s="482"/>
      <c r="C8" s="476"/>
      <c r="D8" s="476"/>
    </row>
    <row r="9" spans="2:4" ht="18.600000000000001" customHeight="1" x14ac:dyDescent="0.2">
      <c r="B9" s="478" t="s">
        <v>363</v>
      </c>
      <c r="C9" s="554" t="s">
        <v>369</v>
      </c>
      <c r="D9" s="555">
        <v>3.2</v>
      </c>
    </row>
    <row r="10" spans="2:4" ht="18.600000000000001" customHeight="1" x14ac:dyDescent="0.2">
      <c r="B10" s="478" t="s">
        <v>325</v>
      </c>
      <c r="C10" s="554" t="s">
        <v>370</v>
      </c>
      <c r="D10" s="555">
        <v>2.5</v>
      </c>
    </row>
    <row r="11" spans="2:4" ht="9" customHeight="1" x14ac:dyDescent="0.2">
      <c r="B11" s="482"/>
      <c r="C11" s="484"/>
      <c r="D11" s="484"/>
    </row>
    <row r="12" spans="2:4" ht="18.600000000000001" customHeight="1" x14ac:dyDescent="0.2">
      <c r="B12" s="478" t="s">
        <v>326</v>
      </c>
      <c r="C12" s="554" t="s">
        <v>371</v>
      </c>
      <c r="D12" s="555">
        <v>5.7</v>
      </c>
    </row>
    <row r="13" spans="2:4" ht="18.600000000000001" customHeight="1" x14ac:dyDescent="0.2">
      <c r="B13" s="478" t="s">
        <v>349</v>
      </c>
      <c r="C13" s="554">
        <v>0.6</v>
      </c>
      <c r="D13" s="555">
        <v>0.6</v>
      </c>
    </row>
    <row r="14" spans="2:4" ht="9" customHeight="1" x14ac:dyDescent="0.2">
      <c r="B14" s="482"/>
      <c r="C14" s="484"/>
      <c r="D14" s="484"/>
    </row>
    <row r="15" spans="2:4" ht="18.600000000000001" customHeight="1" x14ac:dyDescent="0.2">
      <c r="B15" s="478" t="s">
        <v>319</v>
      </c>
      <c r="C15" s="554" t="s">
        <v>372</v>
      </c>
      <c r="D15" s="555">
        <v>80</v>
      </c>
    </row>
    <row r="16" spans="2:4" ht="18.600000000000001" customHeight="1" x14ac:dyDescent="0.2">
      <c r="B16" s="478" t="s">
        <v>362</v>
      </c>
      <c r="C16" s="554">
        <v>11</v>
      </c>
      <c r="D16" s="555">
        <v>11</v>
      </c>
    </row>
    <row r="17" spans="2:5" ht="18.600000000000001" customHeight="1" thickBot="1" x14ac:dyDescent="0.25">
      <c r="B17" s="482"/>
      <c r="C17" s="484"/>
      <c r="D17" s="484"/>
    </row>
    <row r="18" spans="2:5" ht="35.25" customHeight="1" thickBot="1" x14ac:dyDescent="0.25">
      <c r="B18" s="489" t="s">
        <v>338</v>
      </c>
      <c r="C18" s="472" t="s">
        <v>352</v>
      </c>
      <c r="D18" s="490" t="s">
        <v>339</v>
      </c>
    </row>
    <row r="19" spans="2:5" ht="6" customHeight="1" x14ac:dyDescent="0.2">
      <c r="B19" s="492"/>
      <c r="C19" s="491"/>
      <c r="D19" s="491"/>
    </row>
    <row r="20" spans="2:5" ht="30" customHeight="1" x14ac:dyDescent="0.2">
      <c r="B20" s="478" t="s">
        <v>340</v>
      </c>
      <c r="C20" s="479" t="s">
        <v>350</v>
      </c>
      <c r="D20" s="479" t="s">
        <v>351</v>
      </c>
    </row>
    <row r="21" spans="2:5" ht="18.600000000000001" customHeight="1" thickBot="1" x14ac:dyDescent="0.25">
      <c r="B21" s="482"/>
      <c r="C21" s="484"/>
      <c r="D21" s="484"/>
    </row>
    <row r="22" spans="2:5" ht="42" customHeight="1" x14ac:dyDescent="0.2">
      <c r="B22" s="495" t="s">
        <v>344</v>
      </c>
      <c r="C22" s="496" t="s">
        <v>354</v>
      </c>
      <c r="D22" s="496" t="s">
        <v>353</v>
      </c>
    </row>
    <row r="23" spans="2:5" ht="27.75" customHeight="1" x14ac:dyDescent="0.2">
      <c r="B23" s="498" t="s">
        <v>345</v>
      </c>
      <c r="C23" s="556" t="s">
        <v>346</v>
      </c>
      <c r="D23" s="557"/>
    </row>
    <row r="24" spans="2:5" ht="33.75" customHeight="1" thickBot="1" x14ac:dyDescent="0.25">
      <c r="B24" s="500" t="s">
        <v>347</v>
      </c>
      <c r="C24" s="558"/>
      <c r="D24" s="559"/>
    </row>
    <row r="25" spans="2:5" ht="9" customHeight="1" x14ac:dyDescent="0.2">
      <c r="B25" s="338"/>
      <c r="C25" s="338"/>
      <c r="D25" s="338"/>
    </row>
    <row r="26" spans="2:5" ht="54" customHeight="1" x14ac:dyDescent="0.2">
      <c r="B26" s="532" t="s">
        <v>367</v>
      </c>
      <c r="C26" s="533"/>
      <c r="D26" s="534"/>
    </row>
    <row r="27" spans="2:5" x14ac:dyDescent="0.2">
      <c r="B27" s="560" t="s">
        <v>364</v>
      </c>
      <c r="C27" s="561"/>
      <c r="D27" s="562"/>
    </row>
    <row r="28" spans="2:5" ht="28.5" customHeight="1" x14ac:dyDescent="0.2">
      <c r="B28" s="563" t="s">
        <v>365</v>
      </c>
      <c r="C28" s="564"/>
      <c r="D28" s="565"/>
    </row>
    <row r="29" spans="2:5" ht="29.25" customHeight="1" x14ac:dyDescent="0.2">
      <c r="B29" s="551" t="s">
        <v>366</v>
      </c>
      <c r="C29" s="552"/>
      <c r="D29" s="553"/>
    </row>
    <row r="30" spans="2:5" x14ac:dyDescent="0.2">
      <c r="D30" s="16"/>
      <c r="E30" s="16"/>
    </row>
    <row r="31" spans="2:5" x14ac:dyDescent="0.2">
      <c r="D31" s="16"/>
      <c r="E31" s="16"/>
    </row>
    <row r="32" spans="2:5" x14ac:dyDescent="0.2">
      <c r="D32" s="16"/>
      <c r="E32" s="16"/>
    </row>
    <row r="33" spans="4:5" x14ac:dyDescent="0.2">
      <c r="D33" s="16"/>
      <c r="E33" s="16"/>
    </row>
  </sheetData>
  <mergeCells count="12">
    <mergeCell ref="C7:D7"/>
    <mergeCell ref="C9:D9"/>
    <mergeCell ref="C10:D10"/>
    <mergeCell ref="C12:D12"/>
    <mergeCell ref="C13:D13"/>
    <mergeCell ref="B29:D29"/>
    <mergeCell ref="B26:D26"/>
    <mergeCell ref="C15:D15"/>
    <mergeCell ref="C16:D16"/>
    <mergeCell ref="C23:D24"/>
    <mergeCell ref="B27:D27"/>
    <mergeCell ref="B28:D2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workbookViewId="0">
      <selection activeCell="A2" sqref="A2:I2"/>
    </sheetView>
  </sheetViews>
  <sheetFormatPr baseColWidth="10" defaultRowHeight="12.75" x14ac:dyDescent="0.2"/>
  <cols>
    <col min="1" max="1" width="29.42578125" style="4" customWidth="1"/>
    <col min="2" max="2" width="20.85546875" style="4" customWidth="1"/>
    <col min="3" max="3" width="21.28515625" style="4" customWidth="1"/>
    <col min="4" max="4" width="16" style="4" customWidth="1"/>
    <col min="5" max="5" width="23.5703125" style="4" customWidth="1"/>
    <col min="6" max="6" width="19.5703125" style="4" customWidth="1"/>
    <col min="7" max="7" width="14.140625" style="4" customWidth="1"/>
    <col min="8" max="8" width="9.5703125" style="4" customWidth="1"/>
    <col min="9" max="9" width="14.42578125" style="4" customWidth="1"/>
    <col min="10" max="10" width="16.140625" style="4" customWidth="1"/>
    <col min="11" max="11" width="14.42578125" style="4" customWidth="1"/>
    <col min="12" max="12" width="13.42578125" style="4" customWidth="1"/>
    <col min="13" max="13" width="14.7109375" style="4" customWidth="1"/>
    <col min="14" max="15" width="14.28515625" style="16" customWidth="1"/>
    <col min="16" max="16" width="14" style="4" customWidth="1"/>
    <col min="17" max="17" width="11.5703125" style="4" customWidth="1"/>
    <col min="18" max="18" width="13.85546875" style="4" customWidth="1"/>
    <col min="19" max="19" width="11.42578125" style="4"/>
    <col min="20" max="21" width="11.42578125" style="16"/>
    <col min="22" max="256" width="11.42578125" style="4"/>
    <col min="257" max="258" width="20.42578125" style="4" customWidth="1"/>
    <col min="259" max="259" width="21.28515625" style="4" customWidth="1"/>
    <col min="260" max="260" width="16" style="4" customWidth="1"/>
    <col min="261" max="261" width="23.5703125" style="4" customWidth="1"/>
    <col min="262" max="262" width="19.5703125" style="4" customWidth="1"/>
    <col min="263" max="263" width="14.140625" style="4" customWidth="1"/>
    <col min="264" max="264" width="9.5703125" style="4" customWidth="1"/>
    <col min="265" max="265" width="14.42578125" style="4" customWidth="1"/>
    <col min="266" max="266" width="16.140625" style="4" customWidth="1"/>
    <col min="267" max="267" width="14.42578125" style="4" customWidth="1"/>
    <col min="268" max="268" width="13.42578125" style="4" customWidth="1"/>
    <col min="269" max="269" width="14.7109375" style="4" customWidth="1"/>
    <col min="270" max="271" width="14.28515625" style="4" customWidth="1"/>
    <col min="272" max="272" width="14" style="4" customWidth="1"/>
    <col min="273" max="273" width="11.5703125" style="4" customWidth="1"/>
    <col min="274" max="274" width="13.85546875" style="4" customWidth="1"/>
    <col min="275" max="512" width="11.42578125" style="4"/>
    <col min="513" max="514" width="20.42578125" style="4" customWidth="1"/>
    <col min="515" max="515" width="21.28515625" style="4" customWidth="1"/>
    <col min="516" max="516" width="16" style="4" customWidth="1"/>
    <col min="517" max="517" width="23.5703125" style="4" customWidth="1"/>
    <col min="518" max="518" width="19.5703125" style="4" customWidth="1"/>
    <col min="519" max="519" width="14.140625" style="4" customWidth="1"/>
    <col min="520" max="520" width="9.5703125" style="4" customWidth="1"/>
    <col min="521" max="521" width="14.42578125" style="4" customWidth="1"/>
    <col min="522" max="522" width="16.140625" style="4" customWidth="1"/>
    <col min="523" max="523" width="14.42578125" style="4" customWidth="1"/>
    <col min="524" max="524" width="13.42578125" style="4" customWidth="1"/>
    <col min="525" max="525" width="14.7109375" style="4" customWidth="1"/>
    <col min="526" max="527" width="14.28515625" style="4" customWidth="1"/>
    <col min="528" max="528" width="14" style="4" customWidth="1"/>
    <col min="529" max="529" width="11.5703125" style="4" customWidth="1"/>
    <col min="530" max="530" width="13.85546875" style="4" customWidth="1"/>
    <col min="531" max="768" width="11.42578125" style="4"/>
    <col min="769" max="770" width="20.42578125" style="4" customWidth="1"/>
    <col min="771" max="771" width="21.28515625" style="4" customWidth="1"/>
    <col min="772" max="772" width="16" style="4" customWidth="1"/>
    <col min="773" max="773" width="23.5703125" style="4" customWidth="1"/>
    <col min="774" max="774" width="19.5703125" style="4" customWidth="1"/>
    <col min="775" max="775" width="14.140625" style="4" customWidth="1"/>
    <col min="776" max="776" width="9.5703125" style="4" customWidth="1"/>
    <col min="777" max="777" width="14.42578125" style="4" customWidth="1"/>
    <col min="778" max="778" width="16.140625" style="4" customWidth="1"/>
    <col min="779" max="779" width="14.42578125" style="4" customWidth="1"/>
    <col min="780" max="780" width="13.42578125" style="4" customWidth="1"/>
    <col min="781" max="781" width="14.7109375" style="4" customWidth="1"/>
    <col min="782" max="783" width="14.28515625" style="4" customWidth="1"/>
    <col min="784" max="784" width="14" style="4" customWidth="1"/>
    <col min="785" max="785" width="11.5703125" style="4" customWidth="1"/>
    <col min="786" max="786" width="13.85546875" style="4" customWidth="1"/>
    <col min="787" max="1024" width="11.42578125" style="4"/>
    <col min="1025" max="1026" width="20.42578125" style="4" customWidth="1"/>
    <col min="1027" max="1027" width="21.28515625" style="4" customWidth="1"/>
    <col min="1028" max="1028" width="16" style="4" customWidth="1"/>
    <col min="1029" max="1029" width="23.5703125" style="4" customWidth="1"/>
    <col min="1030" max="1030" width="19.5703125" style="4" customWidth="1"/>
    <col min="1031" max="1031" width="14.140625" style="4" customWidth="1"/>
    <col min="1032" max="1032" width="9.5703125" style="4" customWidth="1"/>
    <col min="1033" max="1033" width="14.42578125" style="4" customWidth="1"/>
    <col min="1034" max="1034" width="16.140625" style="4" customWidth="1"/>
    <col min="1035" max="1035" width="14.42578125" style="4" customWidth="1"/>
    <col min="1036" max="1036" width="13.42578125" style="4" customWidth="1"/>
    <col min="1037" max="1037" width="14.7109375" style="4" customWidth="1"/>
    <col min="1038" max="1039" width="14.28515625" style="4" customWidth="1"/>
    <col min="1040" max="1040" width="14" style="4" customWidth="1"/>
    <col min="1041" max="1041" width="11.5703125" style="4" customWidth="1"/>
    <col min="1042" max="1042" width="13.85546875" style="4" customWidth="1"/>
    <col min="1043" max="1280" width="11.42578125" style="4"/>
    <col min="1281" max="1282" width="20.42578125" style="4" customWidth="1"/>
    <col min="1283" max="1283" width="21.28515625" style="4" customWidth="1"/>
    <col min="1284" max="1284" width="16" style="4" customWidth="1"/>
    <col min="1285" max="1285" width="23.5703125" style="4" customWidth="1"/>
    <col min="1286" max="1286" width="19.5703125" style="4" customWidth="1"/>
    <col min="1287" max="1287" width="14.140625" style="4" customWidth="1"/>
    <col min="1288" max="1288" width="9.5703125" style="4" customWidth="1"/>
    <col min="1289" max="1289" width="14.42578125" style="4" customWidth="1"/>
    <col min="1290" max="1290" width="16.140625" style="4" customWidth="1"/>
    <col min="1291" max="1291" width="14.42578125" style="4" customWidth="1"/>
    <col min="1292" max="1292" width="13.42578125" style="4" customWidth="1"/>
    <col min="1293" max="1293" width="14.7109375" style="4" customWidth="1"/>
    <col min="1294" max="1295" width="14.28515625" style="4" customWidth="1"/>
    <col min="1296" max="1296" width="14" style="4" customWidth="1"/>
    <col min="1297" max="1297" width="11.5703125" style="4" customWidth="1"/>
    <col min="1298" max="1298" width="13.85546875" style="4" customWidth="1"/>
    <col min="1299" max="1536" width="11.42578125" style="4"/>
    <col min="1537" max="1538" width="20.42578125" style="4" customWidth="1"/>
    <col min="1539" max="1539" width="21.28515625" style="4" customWidth="1"/>
    <col min="1540" max="1540" width="16" style="4" customWidth="1"/>
    <col min="1541" max="1541" width="23.5703125" style="4" customWidth="1"/>
    <col min="1542" max="1542" width="19.5703125" style="4" customWidth="1"/>
    <col min="1543" max="1543" width="14.140625" style="4" customWidth="1"/>
    <col min="1544" max="1544" width="9.5703125" style="4" customWidth="1"/>
    <col min="1545" max="1545" width="14.42578125" style="4" customWidth="1"/>
    <col min="1546" max="1546" width="16.140625" style="4" customWidth="1"/>
    <col min="1547" max="1547" width="14.42578125" style="4" customWidth="1"/>
    <col min="1548" max="1548" width="13.42578125" style="4" customWidth="1"/>
    <col min="1549" max="1549" width="14.7109375" style="4" customWidth="1"/>
    <col min="1550" max="1551" width="14.28515625" style="4" customWidth="1"/>
    <col min="1552" max="1552" width="14" style="4" customWidth="1"/>
    <col min="1553" max="1553" width="11.5703125" style="4" customWidth="1"/>
    <col min="1554" max="1554" width="13.85546875" style="4" customWidth="1"/>
    <col min="1555" max="1792" width="11.42578125" style="4"/>
    <col min="1793" max="1794" width="20.42578125" style="4" customWidth="1"/>
    <col min="1795" max="1795" width="21.28515625" style="4" customWidth="1"/>
    <col min="1796" max="1796" width="16" style="4" customWidth="1"/>
    <col min="1797" max="1797" width="23.5703125" style="4" customWidth="1"/>
    <col min="1798" max="1798" width="19.5703125" style="4" customWidth="1"/>
    <col min="1799" max="1799" width="14.140625" style="4" customWidth="1"/>
    <col min="1800" max="1800" width="9.5703125" style="4" customWidth="1"/>
    <col min="1801" max="1801" width="14.42578125" style="4" customWidth="1"/>
    <col min="1802" max="1802" width="16.140625" style="4" customWidth="1"/>
    <col min="1803" max="1803" width="14.42578125" style="4" customWidth="1"/>
    <col min="1804" max="1804" width="13.42578125" style="4" customWidth="1"/>
    <col min="1805" max="1805" width="14.7109375" style="4" customWidth="1"/>
    <col min="1806" max="1807" width="14.28515625" style="4" customWidth="1"/>
    <col min="1808" max="1808" width="14" style="4" customWidth="1"/>
    <col min="1809" max="1809" width="11.5703125" style="4" customWidth="1"/>
    <col min="1810" max="1810" width="13.85546875" style="4" customWidth="1"/>
    <col min="1811" max="2048" width="11.42578125" style="4"/>
    <col min="2049" max="2050" width="20.42578125" style="4" customWidth="1"/>
    <col min="2051" max="2051" width="21.28515625" style="4" customWidth="1"/>
    <col min="2052" max="2052" width="16" style="4" customWidth="1"/>
    <col min="2053" max="2053" width="23.5703125" style="4" customWidth="1"/>
    <col min="2054" max="2054" width="19.5703125" style="4" customWidth="1"/>
    <col min="2055" max="2055" width="14.140625" style="4" customWidth="1"/>
    <col min="2056" max="2056" width="9.5703125" style="4" customWidth="1"/>
    <col min="2057" max="2057" width="14.42578125" style="4" customWidth="1"/>
    <col min="2058" max="2058" width="16.140625" style="4" customWidth="1"/>
    <col min="2059" max="2059" width="14.42578125" style="4" customWidth="1"/>
    <col min="2060" max="2060" width="13.42578125" style="4" customWidth="1"/>
    <col min="2061" max="2061" width="14.7109375" style="4" customWidth="1"/>
    <col min="2062" max="2063" width="14.28515625" style="4" customWidth="1"/>
    <col min="2064" max="2064" width="14" style="4" customWidth="1"/>
    <col min="2065" max="2065" width="11.5703125" style="4" customWidth="1"/>
    <col min="2066" max="2066" width="13.85546875" style="4" customWidth="1"/>
    <col min="2067" max="2304" width="11.42578125" style="4"/>
    <col min="2305" max="2306" width="20.42578125" style="4" customWidth="1"/>
    <col min="2307" max="2307" width="21.28515625" style="4" customWidth="1"/>
    <col min="2308" max="2308" width="16" style="4" customWidth="1"/>
    <col min="2309" max="2309" width="23.5703125" style="4" customWidth="1"/>
    <col min="2310" max="2310" width="19.5703125" style="4" customWidth="1"/>
    <col min="2311" max="2311" width="14.140625" style="4" customWidth="1"/>
    <col min="2312" max="2312" width="9.5703125" style="4" customWidth="1"/>
    <col min="2313" max="2313" width="14.42578125" style="4" customWidth="1"/>
    <col min="2314" max="2314" width="16.140625" style="4" customWidth="1"/>
    <col min="2315" max="2315" width="14.42578125" style="4" customWidth="1"/>
    <col min="2316" max="2316" width="13.42578125" style="4" customWidth="1"/>
    <col min="2317" max="2317" width="14.7109375" style="4" customWidth="1"/>
    <col min="2318" max="2319" width="14.28515625" style="4" customWidth="1"/>
    <col min="2320" max="2320" width="14" style="4" customWidth="1"/>
    <col min="2321" max="2321" width="11.5703125" style="4" customWidth="1"/>
    <col min="2322" max="2322" width="13.85546875" style="4" customWidth="1"/>
    <col min="2323" max="2560" width="11.42578125" style="4"/>
    <col min="2561" max="2562" width="20.42578125" style="4" customWidth="1"/>
    <col min="2563" max="2563" width="21.28515625" style="4" customWidth="1"/>
    <col min="2564" max="2564" width="16" style="4" customWidth="1"/>
    <col min="2565" max="2565" width="23.5703125" style="4" customWidth="1"/>
    <col min="2566" max="2566" width="19.5703125" style="4" customWidth="1"/>
    <col min="2567" max="2567" width="14.140625" style="4" customWidth="1"/>
    <col min="2568" max="2568" width="9.5703125" style="4" customWidth="1"/>
    <col min="2569" max="2569" width="14.42578125" style="4" customWidth="1"/>
    <col min="2570" max="2570" width="16.140625" style="4" customWidth="1"/>
    <col min="2571" max="2571" width="14.42578125" style="4" customWidth="1"/>
    <col min="2572" max="2572" width="13.42578125" style="4" customWidth="1"/>
    <col min="2573" max="2573" width="14.7109375" style="4" customWidth="1"/>
    <col min="2574" max="2575" width="14.28515625" style="4" customWidth="1"/>
    <col min="2576" max="2576" width="14" style="4" customWidth="1"/>
    <col min="2577" max="2577" width="11.5703125" style="4" customWidth="1"/>
    <col min="2578" max="2578" width="13.85546875" style="4" customWidth="1"/>
    <col min="2579" max="2816" width="11.42578125" style="4"/>
    <col min="2817" max="2818" width="20.42578125" style="4" customWidth="1"/>
    <col min="2819" max="2819" width="21.28515625" style="4" customWidth="1"/>
    <col min="2820" max="2820" width="16" style="4" customWidth="1"/>
    <col min="2821" max="2821" width="23.5703125" style="4" customWidth="1"/>
    <col min="2822" max="2822" width="19.5703125" style="4" customWidth="1"/>
    <col min="2823" max="2823" width="14.140625" style="4" customWidth="1"/>
    <col min="2824" max="2824" width="9.5703125" style="4" customWidth="1"/>
    <col min="2825" max="2825" width="14.42578125" style="4" customWidth="1"/>
    <col min="2826" max="2826" width="16.140625" style="4" customWidth="1"/>
    <col min="2827" max="2827" width="14.42578125" style="4" customWidth="1"/>
    <col min="2828" max="2828" width="13.42578125" style="4" customWidth="1"/>
    <col min="2829" max="2829" width="14.7109375" style="4" customWidth="1"/>
    <col min="2830" max="2831" width="14.28515625" style="4" customWidth="1"/>
    <col min="2832" max="2832" width="14" style="4" customWidth="1"/>
    <col min="2833" max="2833" width="11.5703125" style="4" customWidth="1"/>
    <col min="2834" max="2834" width="13.85546875" style="4" customWidth="1"/>
    <col min="2835" max="3072" width="11.42578125" style="4"/>
    <col min="3073" max="3074" width="20.42578125" style="4" customWidth="1"/>
    <col min="3075" max="3075" width="21.28515625" style="4" customWidth="1"/>
    <col min="3076" max="3076" width="16" style="4" customWidth="1"/>
    <col min="3077" max="3077" width="23.5703125" style="4" customWidth="1"/>
    <col min="3078" max="3078" width="19.5703125" style="4" customWidth="1"/>
    <col min="3079" max="3079" width="14.140625" style="4" customWidth="1"/>
    <col min="3080" max="3080" width="9.5703125" style="4" customWidth="1"/>
    <col min="3081" max="3081" width="14.42578125" style="4" customWidth="1"/>
    <col min="3082" max="3082" width="16.140625" style="4" customWidth="1"/>
    <col min="3083" max="3083" width="14.42578125" style="4" customWidth="1"/>
    <col min="3084" max="3084" width="13.42578125" style="4" customWidth="1"/>
    <col min="3085" max="3085" width="14.7109375" style="4" customWidth="1"/>
    <col min="3086" max="3087" width="14.28515625" style="4" customWidth="1"/>
    <col min="3088" max="3088" width="14" style="4" customWidth="1"/>
    <col min="3089" max="3089" width="11.5703125" style="4" customWidth="1"/>
    <col min="3090" max="3090" width="13.85546875" style="4" customWidth="1"/>
    <col min="3091" max="3328" width="11.42578125" style="4"/>
    <col min="3329" max="3330" width="20.42578125" style="4" customWidth="1"/>
    <col min="3331" max="3331" width="21.28515625" style="4" customWidth="1"/>
    <col min="3332" max="3332" width="16" style="4" customWidth="1"/>
    <col min="3333" max="3333" width="23.5703125" style="4" customWidth="1"/>
    <col min="3334" max="3334" width="19.5703125" style="4" customWidth="1"/>
    <col min="3335" max="3335" width="14.140625" style="4" customWidth="1"/>
    <col min="3336" max="3336" width="9.5703125" style="4" customWidth="1"/>
    <col min="3337" max="3337" width="14.42578125" style="4" customWidth="1"/>
    <col min="3338" max="3338" width="16.140625" style="4" customWidth="1"/>
    <col min="3339" max="3339" width="14.42578125" style="4" customWidth="1"/>
    <col min="3340" max="3340" width="13.42578125" style="4" customWidth="1"/>
    <col min="3341" max="3341" width="14.7109375" style="4" customWidth="1"/>
    <col min="3342" max="3343" width="14.28515625" style="4" customWidth="1"/>
    <col min="3344" max="3344" width="14" style="4" customWidth="1"/>
    <col min="3345" max="3345" width="11.5703125" style="4" customWidth="1"/>
    <col min="3346" max="3346" width="13.85546875" style="4" customWidth="1"/>
    <col min="3347" max="3584" width="11.42578125" style="4"/>
    <col min="3585" max="3586" width="20.42578125" style="4" customWidth="1"/>
    <col min="3587" max="3587" width="21.28515625" style="4" customWidth="1"/>
    <col min="3588" max="3588" width="16" style="4" customWidth="1"/>
    <col min="3589" max="3589" width="23.5703125" style="4" customWidth="1"/>
    <col min="3590" max="3590" width="19.5703125" style="4" customWidth="1"/>
    <col min="3591" max="3591" width="14.140625" style="4" customWidth="1"/>
    <col min="3592" max="3592" width="9.5703125" style="4" customWidth="1"/>
    <col min="3593" max="3593" width="14.42578125" style="4" customWidth="1"/>
    <col min="3594" max="3594" width="16.140625" style="4" customWidth="1"/>
    <col min="3595" max="3595" width="14.42578125" style="4" customWidth="1"/>
    <col min="3596" max="3596" width="13.42578125" style="4" customWidth="1"/>
    <col min="3597" max="3597" width="14.7109375" style="4" customWidth="1"/>
    <col min="3598" max="3599" width="14.28515625" style="4" customWidth="1"/>
    <col min="3600" max="3600" width="14" style="4" customWidth="1"/>
    <col min="3601" max="3601" width="11.5703125" style="4" customWidth="1"/>
    <col min="3602" max="3602" width="13.85546875" style="4" customWidth="1"/>
    <col min="3603" max="3840" width="11.42578125" style="4"/>
    <col min="3841" max="3842" width="20.42578125" style="4" customWidth="1"/>
    <col min="3843" max="3843" width="21.28515625" style="4" customWidth="1"/>
    <col min="3844" max="3844" width="16" style="4" customWidth="1"/>
    <col min="3845" max="3845" width="23.5703125" style="4" customWidth="1"/>
    <col min="3846" max="3846" width="19.5703125" style="4" customWidth="1"/>
    <col min="3847" max="3847" width="14.140625" style="4" customWidth="1"/>
    <col min="3848" max="3848" width="9.5703125" style="4" customWidth="1"/>
    <col min="3849" max="3849" width="14.42578125" style="4" customWidth="1"/>
    <col min="3850" max="3850" width="16.140625" style="4" customWidth="1"/>
    <col min="3851" max="3851" width="14.42578125" style="4" customWidth="1"/>
    <col min="3852" max="3852" width="13.42578125" style="4" customWidth="1"/>
    <col min="3853" max="3853" width="14.7109375" style="4" customWidth="1"/>
    <col min="3854" max="3855" width="14.28515625" style="4" customWidth="1"/>
    <col min="3856" max="3856" width="14" style="4" customWidth="1"/>
    <col min="3857" max="3857" width="11.5703125" style="4" customWidth="1"/>
    <col min="3858" max="3858" width="13.85546875" style="4" customWidth="1"/>
    <col min="3859" max="4096" width="11.42578125" style="4"/>
    <col min="4097" max="4098" width="20.42578125" style="4" customWidth="1"/>
    <col min="4099" max="4099" width="21.28515625" style="4" customWidth="1"/>
    <col min="4100" max="4100" width="16" style="4" customWidth="1"/>
    <col min="4101" max="4101" width="23.5703125" style="4" customWidth="1"/>
    <col min="4102" max="4102" width="19.5703125" style="4" customWidth="1"/>
    <col min="4103" max="4103" width="14.140625" style="4" customWidth="1"/>
    <col min="4104" max="4104" width="9.5703125" style="4" customWidth="1"/>
    <col min="4105" max="4105" width="14.42578125" style="4" customWidth="1"/>
    <col min="4106" max="4106" width="16.140625" style="4" customWidth="1"/>
    <col min="4107" max="4107" width="14.42578125" style="4" customWidth="1"/>
    <col min="4108" max="4108" width="13.42578125" style="4" customWidth="1"/>
    <col min="4109" max="4109" width="14.7109375" style="4" customWidth="1"/>
    <col min="4110" max="4111" width="14.28515625" style="4" customWidth="1"/>
    <col min="4112" max="4112" width="14" style="4" customWidth="1"/>
    <col min="4113" max="4113" width="11.5703125" style="4" customWidth="1"/>
    <col min="4114" max="4114" width="13.85546875" style="4" customWidth="1"/>
    <col min="4115" max="4352" width="11.42578125" style="4"/>
    <col min="4353" max="4354" width="20.42578125" style="4" customWidth="1"/>
    <col min="4355" max="4355" width="21.28515625" style="4" customWidth="1"/>
    <col min="4356" max="4356" width="16" style="4" customWidth="1"/>
    <col min="4357" max="4357" width="23.5703125" style="4" customWidth="1"/>
    <col min="4358" max="4358" width="19.5703125" style="4" customWidth="1"/>
    <col min="4359" max="4359" width="14.140625" style="4" customWidth="1"/>
    <col min="4360" max="4360" width="9.5703125" style="4" customWidth="1"/>
    <col min="4361" max="4361" width="14.42578125" style="4" customWidth="1"/>
    <col min="4362" max="4362" width="16.140625" style="4" customWidth="1"/>
    <col min="4363" max="4363" width="14.42578125" style="4" customWidth="1"/>
    <col min="4364" max="4364" width="13.42578125" style="4" customWidth="1"/>
    <col min="4365" max="4365" width="14.7109375" style="4" customWidth="1"/>
    <col min="4366" max="4367" width="14.28515625" style="4" customWidth="1"/>
    <col min="4368" max="4368" width="14" style="4" customWidth="1"/>
    <col min="4369" max="4369" width="11.5703125" style="4" customWidth="1"/>
    <col min="4370" max="4370" width="13.85546875" style="4" customWidth="1"/>
    <col min="4371" max="4608" width="11.42578125" style="4"/>
    <col min="4609" max="4610" width="20.42578125" style="4" customWidth="1"/>
    <col min="4611" max="4611" width="21.28515625" style="4" customWidth="1"/>
    <col min="4612" max="4612" width="16" style="4" customWidth="1"/>
    <col min="4613" max="4613" width="23.5703125" style="4" customWidth="1"/>
    <col min="4614" max="4614" width="19.5703125" style="4" customWidth="1"/>
    <col min="4615" max="4615" width="14.140625" style="4" customWidth="1"/>
    <col min="4616" max="4616" width="9.5703125" style="4" customWidth="1"/>
    <col min="4617" max="4617" width="14.42578125" style="4" customWidth="1"/>
    <col min="4618" max="4618" width="16.140625" style="4" customWidth="1"/>
    <col min="4619" max="4619" width="14.42578125" style="4" customWidth="1"/>
    <col min="4620" max="4620" width="13.42578125" style="4" customWidth="1"/>
    <col min="4621" max="4621" width="14.7109375" style="4" customWidth="1"/>
    <col min="4622" max="4623" width="14.28515625" style="4" customWidth="1"/>
    <col min="4624" max="4624" width="14" style="4" customWidth="1"/>
    <col min="4625" max="4625" width="11.5703125" style="4" customWidth="1"/>
    <col min="4626" max="4626" width="13.85546875" style="4" customWidth="1"/>
    <col min="4627" max="4864" width="11.42578125" style="4"/>
    <col min="4865" max="4866" width="20.42578125" style="4" customWidth="1"/>
    <col min="4867" max="4867" width="21.28515625" style="4" customWidth="1"/>
    <col min="4868" max="4868" width="16" style="4" customWidth="1"/>
    <col min="4869" max="4869" width="23.5703125" style="4" customWidth="1"/>
    <col min="4870" max="4870" width="19.5703125" style="4" customWidth="1"/>
    <col min="4871" max="4871" width="14.140625" style="4" customWidth="1"/>
    <col min="4872" max="4872" width="9.5703125" style="4" customWidth="1"/>
    <col min="4873" max="4873" width="14.42578125" style="4" customWidth="1"/>
    <col min="4874" max="4874" width="16.140625" style="4" customWidth="1"/>
    <col min="4875" max="4875" width="14.42578125" style="4" customWidth="1"/>
    <col min="4876" max="4876" width="13.42578125" style="4" customWidth="1"/>
    <col min="4877" max="4877" width="14.7109375" style="4" customWidth="1"/>
    <col min="4878" max="4879" width="14.28515625" style="4" customWidth="1"/>
    <col min="4880" max="4880" width="14" style="4" customWidth="1"/>
    <col min="4881" max="4881" width="11.5703125" style="4" customWidth="1"/>
    <col min="4882" max="4882" width="13.85546875" style="4" customWidth="1"/>
    <col min="4883" max="5120" width="11.42578125" style="4"/>
    <col min="5121" max="5122" width="20.42578125" style="4" customWidth="1"/>
    <col min="5123" max="5123" width="21.28515625" style="4" customWidth="1"/>
    <col min="5124" max="5124" width="16" style="4" customWidth="1"/>
    <col min="5125" max="5125" width="23.5703125" style="4" customWidth="1"/>
    <col min="5126" max="5126" width="19.5703125" style="4" customWidth="1"/>
    <col min="5127" max="5127" width="14.140625" style="4" customWidth="1"/>
    <col min="5128" max="5128" width="9.5703125" style="4" customWidth="1"/>
    <col min="5129" max="5129" width="14.42578125" style="4" customWidth="1"/>
    <col min="5130" max="5130" width="16.140625" style="4" customWidth="1"/>
    <col min="5131" max="5131" width="14.42578125" style="4" customWidth="1"/>
    <col min="5132" max="5132" width="13.42578125" style="4" customWidth="1"/>
    <col min="5133" max="5133" width="14.7109375" style="4" customWidth="1"/>
    <col min="5134" max="5135" width="14.28515625" style="4" customWidth="1"/>
    <col min="5136" max="5136" width="14" style="4" customWidth="1"/>
    <col min="5137" max="5137" width="11.5703125" style="4" customWidth="1"/>
    <col min="5138" max="5138" width="13.85546875" style="4" customWidth="1"/>
    <col min="5139" max="5376" width="11.42578125" style="4"/>
    <col min="5377" max="5378" width="20.42578125" style="4" customWidth="1"/>
    <col min="5379" max="5379" width="21.28515625" style="4" customWidth="1"/>
    <col min="5380" max="5380" width="16" style="4" customWidth="1"/>
    <col min="5381" max="5381" width="23.5703125" style="4" customWidth="1"/>
    <col min="5382" max="5382" width="19.5703125" style="4" customWidth="1"/>
    <col min="5383" max="5383" width="14.140625" style="4" customWidth="1"/>
    <col min="5384" max="5384" width="9.5703125" style="4" customWidth="1"/>
    <col min="5385" max="5385" width="14.42578125" style="4" customWidth="1"/>
    <col min="5386" max="5386" width="16.140625" style="4" customWidth="1"/>
    <col min="5387" max="5387" width="14.42578125" style="4" customWidth="1"/>
    <col min="5388" max="5388" width="13.42578125" style="4" customWidth="1"/>
    <col min="5389" max="5389" width="14.7109375" style="4" customWidth="1"/>
    <col min="5390" max="5391" width="14.28515625" style="4" customWidth="1"/>
    <col min="5392" max="5392" width="14" style="4" customWidth="1"/>
    <col min="5393" max="5393" width="11.5703125" style="4" customWidth="1"/>
    <col min="5394" max="5394" width="13.85546875" style="4" customWidth="1"/>
    <col min="5395" max="5632" width="11.42578125" style="4"/>
    <col min="5633" max="5634" width="20.42578125" style="4" customWidth="1"/>
    <col min="5635" max="5635" width="21.28515625" style="4" customWidth="1"/>
    <col min="5636" max="5636" width="16" style="4" customWidth="1"/>
    <col min="5637" max="5637" width="23.5703125" style="4" customWidth="1"/>
    <col min="5638" max="5638" width="19.5703125" style="4" customWidth="1"/>
    <col min="5639" max="5639" width="14.140625" style="4" customWidth="1"/>
    <col min="5640" max="5640" width="9.5703125" style="4" customWidth="1"/>
    <col min="5641" max="5641" width="14.42578125" style="4" customWidth="1"/>
    <col min="5642" max="5642" width="16.140625" style="4" customWidth="1"/>
    <col min="5643" max="5643" width="14.42578125" style="4" customWidth="1"/>
    <col min="5644" max="5644" width="13.42578125" style="4" customWidth="1"/>
    <col min="5645" max="5645" width="14.7109375" style="4" customWidth="1"/>
    <col min="5646" max="5647" width="14.28515625" style="4" customWidth="1"/>
    <col min="5648" max="5648" width="14" style="4" customWidth="1"/>
    <col min="5649" max="5649" width="11.5703125" style="4" customWidth="1"/>
    <col min="5650" max="5650" width="13.85546875" style="4" customWidth="1"/>
    <col min="5651" max="5888" width="11.42578125" style="4"/>
    <col min="5889" max="5890" width="20.42578125" style="4" customWidth="1"/>
    <col min="5891" max="5891" width="21.28515625" style="4" customWidth="1"/>
    <col min="5892" max="5892" width="16" style="4" customWidth="1"/>
    <col min="5893" max="5893" width="23.5703125" style="4" customWidth="1"/>
    <col min="5894" max="5894" width="19.5703125" style="4" customWidth="1"/>
    <col min="5895" max="5895" width="14.140625" style="4" customWidth="1"/>
    <col min="5896" max="5896" width="9.5703125" style="4" customWidth="1"/>
    <col min="5897" max="5897" width="14.42578125" style="4" customWidth="1"/>
    <col min="5898" max="5898" width="16.140625" style="4" customWidth="1"/>
    <col min="5899" max="5899" width="14.42578125" style="4" customWidth="1"/>
    <col min="5900" max="5900" width="13.42578125" style="4" customWidth="1"/>
    <col min="5901" max="5901" width="14.7109375" style="4" customWidth="1"/>
    <col min="5902" max="5903" width="14.28515625" style="4" customWidth="1"/>
    <col min="5904" max="5904" width="14" style="4" customWidth="1"/>
    <col min="5905" max="5905" width="11.5703125" style="4" customWidth="1"/>
    <col min="5906" max="5906" width="13.85546875" style="4" customWidth="1"/>
    <col min="5907" max="6144" width="11.42578125" style="4"/>
    <col min="6145" max="6146" width="20.42578125" style="4" customWidth="1"/>
    <col min="6147" max="6147" width="21.28515625" style="4" customWidth="1"/>
    <col min="6148" max="6148" width="16" style="4" customWidth="1"/>
    <col min="6149" max="6149" width="23.5703125" style="4" customWidth="1"/>
    <col min="6150" max="6150" width="19.5703125" style="4" customWidth="1"/>
    <col min="6151" max="6151" width="14.140625" style="4" customWidth="1"/>
    <col min="6152" max="6152" width="9.5703125" style="4" customWidth="1"/>
    <col min="6153" max="6153" width="14.42578125" style="4" customWidth="1"/>
    <col min="6154" max="6154" width="16.140625" style="4" customWidth="1"/>
    <col min="6155" max="6155" width="14.42578125" style="4" customWidth="1"/>
    <col min="6156" max="6156" width="13.42578125" style="4" customWidth="1"/>
    <col min="6157" max="6157" width="14.7109375" style="4" customWidth="1"/>
    <col min="6158" max="6159" width="14.28515625" style="4" customWidth="1"/>
    <col min="6160" max="6160" width="14" style="4" customWidth="1"/>
    <col min="6161" max="6161" width="11.5703125" style="4" customWidth="1"/>
    <col min="6162" max="6162" width="13.85546875" style="4" customWidth="1"/>
    <col min="6163" max="6400" width="11.42578125" style="4"/>
    <col min="6401" max="6402" width="20.42578125" style="4" customWidth="1"/>
    <col min="6403" max="6403" width="21.28515625" style="4" customWidth="1"/>
    <col min="6404" max="6404" width="16" style="4" customWidth="1"/>
    <col min="6405" max="6405" width="23.5703125" style="4" customWidth="1"/>
    <col min="6406" max="6406" width="19.5703125" style="4" customWidth="1"/>
    <col min="6407" max="6407" width="14.140625" style="4" customWidth="1"/>
    <col min="6408" max="6408" width="9.5703125" style="4" customWidth="1"/>
    <col min="6409" max="6409" width="14.42578125" style="4" customWidth="1"/>
    <col min="6410" max="6410" width="16.140625" style="4" customWidth="1"/>
    <col min="6411" max="6411" width="14.42578125" style="4" customWidth="1"/>
    <col min="6412" max="6412" width="13.42578125" style="4" customWidth="1"/>
    <col min="6413" max="6413" width="14.7109375" style="4" customWidth="1"/>
    <col min="6414" max="6415" width="14.28515625" style="4" customWidth="1"/>
    <col min="6416" max="6416" width="14" style="4" customWidth="1"/>
    <col min="6417" max="6417" width="11.5703125" style="4" customWidth="1"/>
    <col min="6418" max="6418" width="13.85546875" style="4" customWidth="1"/>
    <col min="6419" max="6656" width="11.42578125" style="4"/>
    <col min="6657" max="6658" width="20.42578125" style="4" customWidth="1"/>
    <col min="6659" max="6659" width="21.28515625" style="4" customWidth="1"/>
    <col min="6660" max="6660" width="16" style="4" customWidth="1"/>
    <col min="6661" max="6661" width="23.5703125" style="4" customWidth="1"/>
    <col min="6662" max="6662" width="19.5703125" style="4" customWidth="1"/>
    <col min="6663" max="6663" width="14.140625" style="4" customWidth="1"/>
    <col min="6664" max="6664" width="9.5703125" style="4" customWidth="1"/>
    <col min="6665" max="6665" width="14.42578125" style="4" customWidth="1"/>
    <col min="6666" max="6666" width="16.140625" style="4" customWidth="1"/>
    <col min="6667" max="6667" width="14.42578125" style="4" customWidth="1"/>
    <col min="6668" max="6668" width="13.42578125" style="4" customWidth="1"/>
    <col min="6669" max="6669" width="14.7109375" style="4" customWidth="1"/>
    <col min="6670" max="6671" width="14.28515625" style="4" customWidth="1"/>
    <col min="6672" max="6672" width="14" style="4" customWidth="1"/>
    <col min="6673" max="6673" width="11.5703125" style="4" customWidth="1"/>
    <col min="6674" max="6674" width="13.85546875" style="4" customWidth="1"/>
    <col min="6675" max="6912" width="11.42578125" style="4"/>
    <col min="6913" max="6914" width="20.42578125" style="4" customWidth="1"/>
    <col min="6915" max="6915" width="21.28515625" style="4" customWidth="1"/>
    <col min="6916" max="6916" width="16" style="4" customWidth="1"/>
    <col min="6917" max="6917" width="23.5703125" style="4" customWidth="1"/>
    <col min="6918" max="6918" width="19.5703125" style="4" customWidth="1"/>
    <col min="6919" max="6919" width="14.140625" style="4" customWidth="1"/>
    <col min="6920" max="6920" width="9.5703125" style="4" customWidth="1"/>
    <col min="6921" max="6921" width="14.42578125" style="4" customWidth="1"/>
    <col min="6922" max="6922" width="16.140625" style="4" customWidth="1"/>
    <col min="6923" max="6923" width="14.42578125" style="4" customWidth="1"/>
    <col min="6924" max="6924" width="13.42578125" style="4" customWidth="1"/>
    <col min="6925" max="6925" width="14.7109375" style="4" customWidth="1"/>
    <col min="6926" max="6927" width="14.28515625" style="4" customWidth="1"/>
    <col min="6928" max="6928" width="14" style="4" customWidth="1"/>
    <col min="6929" max="6929" width="11.5703125" style="4" customWidth="1"/>
    <col min="6930" max="6930" width="13.85546875" style="4" customWidth="1"/>
    <col min="6931" max="7168" width="11.42578125" style="4"/>
    <col min="7169" max="7170" width="20.42578125" style="4" customWidth="1"/>
    <col min="7171" max="7171" width="21.28515625" style="4" customWidth="1"/>
    <col min="7172" max="7172" width="16" style="4" customWidth="1"/>
    <col min="7173" max="7173" width="23.5703125" style="4" customWidth="1"/>
    <col min="7174" max="7174" width="19.5703125" style="4" customWidth="1"/>
    <col min="7175" max="7175" width="14.140625" style="4" customWidth="1"/>
    <col min="7176" max="7176" width="9.5703125" style="4" customWidth="1"/>
    <col min="7177" max="7177" width="14.42578125" style="4" customWidth="1"/>
    <col min="7178" max="7178" width="16.140625" style="4" customWidth="1"/>
    <col min="7179" max="7179" width="14.42578125" style="4" customWidth="1"/>
    <col min="7180" max="7180" width="13.42578125" style="4" customWidth="1"/>
    <col min="7181" max="7181" width="14.7109375" style="4" customWidth="1"/>
    <col min="7182" max="7183" width="14.28515625" style="4" customWidth="1"/>
    <col min="7184" max="7184" width="14" style="4" customWidth="1"/>
    <col min="7185" max="7185" width="11.5703125" style="4" customWidth="1"/>
    <col min="7186" max="7186" width="13.85546875" style="4" customWidth="1"/>
    <col min="7187" max="7424" width="11.42578125" style="4"/>
    <col min="7425" max="7426" width="20.42578125" style="4" customWidth="1"/>
    <col min="7427" max="7427" width="21.28515625" style="4" customWidth="1"/>
    <col min="7428" max="7428" width="16" style="4" customWidth="1"/>
    <col min="7429" max="7429" width="23.5703125" style="4" customWidth="1"/>
    <col min="7430" max="7430" width="19.5703125" style="4" customWidth="1"/>
    <col min="7431" max="7431" width="14.140625" style="4" customWidth="1"/>
    <col min="7432" max="7432" width="9.5703125" style="4" customWidth="1"/>
    <col min="7433" max="7433" width="14.42578125" style="4" customWidth="1"/>
    <col min="7434" max="7434" width="16.140625" style="4" customWidth="1"/>
    <col min="7435" max="7435" width="14.42578125" style="4" customWidth="1"/>
    <col min="7436" max="7436" width="13.42578125" style="4" customWidth="1"/>
    <col min="7437" max="7437" width="14.7109375" style="4" customWidth="1"/>
    <col min="7438" max="7439" width="14.28515625" style="4" customWidth="1"/>
    <col min="7440" max="7440" width="14" style="4" customWidth="1"/>
    <col min="7441" max="7441" width="11.5703125" style="4" customWidth="1"/>
    <col min="7442" max="7442" width="13.85546875" style="4" customWidth="1"/>
    <col min="7443" max="7680" width="11.42578125" style="4"/>
    <col min="7681" max="7682" width="20.42578125" style="4" customWidth="1"/>
    <col min="7683" max="7683" width="21.28515625" style="4" customWidth="1"/>
    <col min="7684" max="7684" width="16" style="4" customWidth="1"/>
    <col min="7685" max="7685" width="23.5703125" style="4" customWidth="1"/>
    <col min="7686" max="7686" width="19.5703125" style="4" customWidth="1"/>
    <col min="7687" max="7687" width="14.140625" style="4" customWidth="1"/>
    <col min="7688" max="7688" width="9.5703125" style="4" customWidth="1"/>
    <col min="7689" max="7689" width="14.42578125" style="4" customWidth="1"/>
    <col min="7690" max="7690" width="16.140625" style="4" customWidth="1"/>
    <col min="7691" max="7691" width="14.42578125" style="4" customWidth="1"/>
    <col min="7692" max="7692" width="13.42578125" style="4" customWidth="1"/>
    <col min="7693" max="7693" width="14.7109375" style="4" customWidth="1"/>
    <col min="7694" max="7695" width="14.28515625" style="4" customWidth="1"/>
    <col min="7696" max="7696" width="14" style="4" customWidth="1"/>
    <col min="7697" max="7697" width="11.5703125" style="4" customWidth="1"/>
    <col min="7698" max="7698" width="13.85546875" style="4" customWidth="1"/>
    <col min="7699" max="7936" width="11.42578125" style="4"/>
    <col min="7937" max="7938" width="20.42578125" style="4" customWidth="1"/>
    <col min="7939" max="7939" width="21.28515625" style="4" customWidth="1"/>
    <col min="7940" max="7940" width="16" style="4" customWidth="1"/>
    <col min="7941" max="7941" width="23.5703125" style="4" customWidth="1"/>
    <col min="7942" max="7942" width="19.5703125" style="4" customWidth="1"/>
    <col min="7943" max="7943" width="14.140625" style="4" customWidth="1"/>
    <col min="7944" max="7944" width="9.5703125" style="4" customWidth="1"/>
    <col min="7945" max="7945" width="14.42578125" style="4" customWidth="1"/>
    <col min="7946" max="7946" width="16.140625" style="4" customWidth="1"/>
    <col min="7947" max="7947" width="14.42578125" style="4" customWidth="1"/>
    <col min="7948" max="7948" width="13.42578125" style="4" customWidth="1"/>
    <col min="7949" max="7949" width="14.7109375" style="4" customWidth="1"/>
    <col min="7950" max="7951" width="14.28515625" style="4" customWidth="1"/>
    <col min="7952" max="7952" width="14" style="4" customWidth="1"/>
    <col min="7953" max="7953" width="11.5703125" style="4" customWidth="1"/>
    <col min="7954" max="7954" width="13.85546875" style="4" customWidth="1"/>
    <col min="7955" max="8192" width="11.42578125" style="4"/>
    <col min="8193" max="8194" width="20.42578125" style="4" customWidth="1"/>
    <col min="8195" max="8195" width="21.28515625" style="4" customWidth="1"/>
    <col min="8196" max="8196" width="16" style="4" customWidth="1"/>
    <col min="8197" max="8197" width="23.5703125" style="4" customWidth="1"/>
    <col min="8198" max="8198" width="19.5703125" style="4" customWidth="1"/>
    <col min="8199" max="8199" width="14.140625" style="4" customWidth="1"/>
    <col min="8200" max="8200" width="9.5703125" style="4" customWidth="1"/>
    <col min="8201" max="8201" width="14.42578125" style="4" customWidth="1"/>
    <col min="8202" max="8202" width="16.140625" style="4" customWidth="1"/>
    <col min="8203" max="8203" width="14.42578125" style="4" customWidth="1"/>
    <col min="8204" max="8204" width="13.42578125" style="4" customWidth="1"/>
    <col min="8205" max="8205" width="14.7109375" style="4" customWidth="1"/>
    <col min="8206" max="8207" width="14.28515625" style="4" customWidth="1"/>
    <col min="8208" max="8208" width="14" style="4" customWidth="1"/>
    <col min="8209" max="8209" width="11.5703125" style="4" customWidth="1"/>
    <col min="8210" max="8210" width="13.85546875" style="4" customWidth="1"/>
    <col min="8211" max="8448" width="11.42578125" style="4"/>
    <col min="8449" max="8450" width="20.42578125" style="4" customWidth="1"/>
    <col min="8451" max="8451" width="21.28515625" style="4" customWidth="1"/>
    <col min="8452" max="8452" width="16" style="4" customWidth="1"/>
    <col min="8453" max="8453" width="23.5703125" style="4" customWidth="1"/>
    <col min="8454" max="8454" width="19.5703125" style="4" customWidth="1"/>
    <col min="8455" max="8455" width="14.140625" style="4" customWidth="1"/>
    <col min="8456" max="8456" width="9.5703125" style="4" customWidth="1"/>
    <col min="8457" max="8457" width="14.42578125" style="4" customWidth="1"/>
    <col min="8458" max="8458" width="16.140625" style="4" customWidth="1"/>
    <col min="8459" max="8459" width="14.42578125" style="4" customWidth="1"/>
    <col min="8460" max="8460" width="13.42578125" style="4" customWidth="1"/>
    <col min="8461" max="8461" width="14.7109375" style="4" customWidth="1"/>
    <col min="8462" max="8463" width="14.28515625" style="4" customWidth="1"/>
    <col min="8464" max="8464" width="14" style="4" customWidth="1"/>
    <col min="8465" max="8465" width="11.5703125" style="4" customWidth="1"/>
    <col min="8466" max="8466" width="13.85546875" style="4" customWidth="1"/>
    <col min="8467" max="8704" width="11.42578125" style="4"/>
    <col min="8705" max="8706" width="20.42578125" style="4" customWidth="1"/>
    <col min="8707" max="8707" width="21.28515625" style="4" customWidth="1"/>
    <col min="8708" max="8708" width="16" style="4" customWidth="1"/>
    <col min="8709" max="8709" width="23.5703125" style="4" customWidth="1"/>
    <col min="8710" max="8710" width="19.5703125" style="4" customWidth="1"/>
    <col min="8711" max="8711" width="14.140625" style="4" customWidth="1"/>
    <col min="8712" max="8712" width="9.5703125" style="4" customWidth="1"/>
    <col min="8713" max="8713" width="14.42578125" style="4" customWidth="1"/>
    <col min="8714" max="8714" width="16.140625" style="4" customWidth="1"/>
    <col min="8715" max="8715" width="14.42578125" style="4" customWidth="1"/>
    <col min="8716" max="8716" width="13.42578125" style="4" customWidth="1"/>
    <col min="8717" max="8717" width="14.7109375" style="4" customWidth="1"/>
    <col min="8718" max="8719" width="14.28515625" style="4" customWidth="1"/>
    <col min="8720" max="8720" width="14" style="4" customWidth="1"/>
    <col min="8721" max="8721" width="11.5703125" style="4" customWidth="1"/>
    <col min="8722" max="8722" width="13.85546875" style="4" customWidth="1"/>
    <col min="8723" max="8960" width="11.42578125" style="4"/>
    <col min="8961" max="8962" width="20.42578125" style="4" customWidth="1"/>
    <col min="8963" max="8963" width="21.28515625" style="4" customWidth="1"/>
    <col min="8964" max="8964" width="16" style="4" customWidth="1"/>
    <col min="8965" max="8965" width="23.5703125" style="4" customWidth="1"/>
    <col min="8966" max="8966" width="19.5703125" style="4" customWidth="1"/>
    <col min="8967" max="8967" width="14.140625" style="4" customWidth="1"/>
    <col min="8968" max="8968" width="9.5703125" style="4" customWidth="1"/>
    <col min="8969" max="8969" width="14.42578125" style="4" customWidth="1"/>
    <col min="8970" max="8970" width="16.140625" style="4" customWidth="1"/>
    <col min="8971" max="8971" width="14.42578125" style="4" customWidth="1"/>
    <col min="8972" max="8972" width="13.42578125" style="4" customWidth="1"/>
    <col min="8973" max="8973" width="14.7109375" style="4" customWidth="1"/>
    <col min="8974" max="8975" width="14.28515625" style="4" customWidth="1"/>
    <col min="8976" max="8976" width="14" style="4" customWidth="1"/>
    <col min="8977" max="8977" width="11.5703125" style="4" customWidth="1"/>
    <col min="8978" max="8978" width="13.85546875" style="4" customWidth="1"/>
    <col min="8979" max="9216" width="11.42578125" style="4"/>
    <col min="9217" max="9218" width="20.42578125" style="4" customWidth="1"/>
    <col min="9219" max="9219" width="21.28515625" style="4" customWidth="1"/>
    <col min="9220" max="9220" width="16" style="4" customWidth="1"/>
    <col min="9221" max="9221" width="23.5703125" style="4" customWidth="1"/>
    <col min="9222" max="9222" width="19.5703125" style="4" customWidth="1"/>
    <col min="9223" max="9223" width="14.140625" style="4" customWidth="1"/>
    <col min="9224" max="9224" width="9.5703125" style="4" customWidth="1"/>
    <col min="9225" max="9225" width="14.42578125" style="4" customWidth="1"/>
    <col min="9226" max="9226" width="16.140625" style="4" customWidth="1"/>
    <col min="9227" max="9227" width="14.42578125" style="4" customWidth="1"/>
    <col min="9228" max="9228" width="13.42578125" style="4" customWidth="1"/>
    <col min="9229" max="9229" width="14.7109375" style="4" customWidth="1"/>
    <col min="9230" max="9231" width="14.28515625" style="4" customWidth="1"/>
    <col min="9232" max="9232" width="14" style="4" customWidth="1"/>
    <col min="9233" max="9233" width="11.5703125" style="4" customWidth="1"/>
    <col min="9234" max="9234" width="13.85546875" style="4" customWidth="1"/>
    <col min="9235" max="9472" width="11.42578125" style="4"/>
    <col min="9473" max="9474" width="20.42578125" style="4" customWidth="1"/>
    <col min="9475" max="9475" width="21.28515625" style="4" customWidth="1"/>
    <col min="9476" max="9476" width="16" style="4" customWidth="1"/>
    <col min="9477" max="9477" width="23.5703125" style="4" customWidth="1"/>
    <col min="9478" max="9478" width="19.5703125" style="4" customWidth="1"/>
    <col min="9479" max="9479" width="14.140625" style="4" customWidth="1"/>
    <col min="9480" max="9480" width="9.5703125" style="4" customWidth="1"/>
    <col min="9481" max="9481" width="14.42578125" style="4" customWidth="1"/>
    <col min="9482" max="9482" width="16.140625" style="4" customWidth="1"/>
    <col min="9483" max="9483" width="14.42578125" style="4" customWidth="1"/>
    <col min="9484" max="9484" width="13.42578125" style="4" customWidth="1"/>
    <col min="9485" max="9485" width="14.7109375" style="4" customWidth="1"/>
    <col min="9486" max="9487" width="14.28515625" style="4" customWidth="1"/>
    <col min="9488" max="9488" width="14" style="4" customWidth="1"/>
    <col min="9489" max="9489" width="11.5703125" style="4" customWidth="1"/>
    <col min="9490" max="9490" width="13.85546875" style="4" customWidth="1"/>
    <col min="9491" max="9728" width="11.42578125" style="4"/>
    <col min="9729" max="9730" width="20.42578125" style="4" customWidth="1"/>
    <col min="9731" max="9731" width="21.28515625" style="4" customWidth="1"/>
    <col min="9732" max="9732" width="16" style="4" customWidth="1"/>
    <col min="9733" max="9733" width="23.5703125" style="4" customWidth="1"/>
    <col min="9734" max="9734" width="19.5703125" style="4" customWidth="1"/>
    <col min="9735" max="9735" width="14.140625" style="4" customWidth="1"/>
    <col min="9736" max="9736" width="9.5703125" style="4" customWidth="1"/>
    <col min="9737" max="9737" width="14.42578125" style="4" customWidth="1"/>
    <col min="9738" max="9738" width="16.140625" style="4" customWidth="1"/>
    <col min="9739" max="9739" width="14.42578125" style="4" customWidth="1"/>
    <col min="9740" max="9740" width="13.42578125" style="4" customWidth="1"/>
    <col min="9741" max="9741" width="14.7109375" style="4" customWidth="1"/>
    <col min="9742" max="9743" width="14.28515625" style="4" customWidth="1"/>
    <col min="9744" max="9744" width="14" style="4" customWidth="1"/>
    <col min="9745" max="9745" width="11.5703125" style="4" customWidth="1"/>
    <col min="9746" max="9746" width="13.85546875" style="4" customWidth="1"/>
    <col min="9747" max="9984" width="11.42578125" style="4"/>
    <col min="9985" max="9986" width="20.42578125" style="4" customWidth="1"/>
    <col min="9987" max="9987" width="21.28515625" style="4" customWidth="1"/>
    <col min="9988" max="9988" width="16" style="4" customWidth="1"/>
    <col min="9989" max="9989" width="23.5703125" style="4" customWidth="1"/>
    <col min="9990" max="9990" width="19.5703125" style="4" customWidth="1"/>
    <col min="9991" max="9991" width="14.140625" style="4" customWidth="1"/>
    <col min="9992" max="9992" width="9.5703125" style="4" customWidth="1"/>
    <col min="9993" max="9993" width="14.42578125" style="4" customWidth="1"/>
    <col min="9994" max="9994" width="16.140625" style="4" customWidth="1"/>
    <col min="9995" max="9995" width="14.42578125" style="4" customWidth="1"/>
    <col min="9996" max="9996" width="13.42578125" style="4" customWidth="1"/>
    <col min="9997" max="9997" width="14.7109375" style="4" customWidth="1"/>
    <col min="9998" max="9999" width="14.28515625" style="4" customWidth="1"/>
    <col min="10000" max="10000" width="14" style="4" customWidth="1"/>
    <col min="10001" max="10001" width="11.5703125" style="4" customWidth="1"/>
    <col min="10002" max="10002" width="13.85546875" style="4" customWidth="1"/>
    <col min="10003" max="10240" width="11.42578125" style="4"/>
    <col min="10241" max="10242" width="20.42578125" style="4" customWidth="1"/>
    <col min="10243" max="10243" width="21.28515625" style="4" customWidth="1"/>
    <col min="10244" max="10244" width="16" style="4" customWidth="1"/>
    <col min="10245" max="10245" width="23.5703125" style="4" customWidth="1"/>
    <col min="10246" max="10246" width="19.5703125" style="4" customWidth="1"/>
    <col min="10247" max="10247" width="14.140625" style="4" customWidth="1"/>
    <col min="10248" max="10248" width="9.5703125" style="4" customWidth="1"/>
    <col min="10249" max="10249" width="14.42578125" style="4" customWidth="1"/>
    <col min="10250" max="10250" width="16.140625" style="4" customWidth="1"/>
    <col min="10251" max="10251" width="14.42578125" style="4" customWidth="1"/>
    <col min="10252" max="10252" width="13.42578125" style="4" customWidth="1"/>
    <col min="10253" max="10253" width="14.7109375" style="4" customWidth="1"/>
    <col min="10254" max="10255" width="14.28515625" style="4" customWidth="1"/>
    <col min="10256" max="10256" width="14" style="4" customWidth="1"/>
    <col min="10257" max="10257" width="11.5703125" style="4" customWidth="1"/>
    <col min="10258" max="10258" width="13.85546875" style="4" customWidth="1"/>
    <col min="10259" max="10496" width="11.42578125" style="4"/>
    <col min="10497" max="10498" width="20.42578125" style="4" customWidth="1"/>
    <col min="10499" max="10499" width="21.28515625" style="4" customWidth="1"/>
    <col min="10500" max="10500" width="16" style="4" customWidth="1"/>
    <col min="10501" max="10501" width="23.5703125" style="4" customWidth="1"/>
    <col min="10502" max="10502" width="19.5703125" style="4" customWidth="1"/>
    <col min="10503" max="10503" width="14.140625" style="4" customWidth="1"/>
    <col min="10504" max="10504" width="9.5703125" style="4" customWidth="1"/>
    <col min="10505" max="10505" width="14.42578125" style="4" customWidth="1"/>
    <col min="10506" max="10506" width="16.140625" style="4" customWidth="1"/>
    <col min="10507" max="10507" width="14.42578125" style="4" customWidth="1"/>
    <col min="10508" max="10508" width="13.42578125" style="4" customWidth="1"/>
    <col min="10509" max="10509" width="14.7109375" style="4" customWidth="1"/>
    <col min="10510" max="10511" width="14.28515625" style="4" customWidth="1"/>
    <col min="10512" max="10512" width="14" style="4" customWidth="1"/>
    <col min="10513" max="10513" width="11.5703125" style="4" customWidth="1"/>
    <col min="10514" max="10514" width="13.85546875" style="4" customWidth="1"/>
    <col min="10515" max="10752" width="11.42578125" style="4"/>
    <col min="10753" max="10754" width="20.42578125" style="4" customWidth="1"/>
    <col min="10755" max="10755" width="21.28515625" style="4" customWidth="1"/>
    <col min="10756" max="10756" width="16" style="4" customWidth="1"/>
    <col min="10757" max="10757" width="23.5703125" style="4" customWidth="1"/>
    <col min="10758" max="10758" width="19.5703125" style="4" customWidth="1"/>
    <col min="10759" max="10759" width="14.140625" style="4" customWidth="1"/>
    <col min="10760" max="10760" width="9.5703125" style="4" customWidth="1"/>
    <col min="10761" max="10761" width="14.42578125" style="4" customWidth="1"/>
    <col min="10762" max="10762" width="16.140625" style="4" customWidth="1"/>
    <col min="10763" max="10763" width="14.42578125" style="4" customWidth="1"/>
    <col min="10764" max="10764" width="13.42578125" style="4" customWidth="1"/>
    <col min="10765" max="10765" width="14.7109375" style="4" customWidth="1"/>
    <col min="10766" max="10767" width="14.28515625" style="4" customWidth="1"/>
    <col min="10768" max="10768" width="14" style="4" customWidth="1"/>
    <col min="10769" max="10769" width="11.5703125" style="4" customWidth="1"/>
    <col min="10770" max="10770" width="13.85546875" style="4" customWidth="1"/>
    <col min="10771" max="11008" width="11.42578125" style="4"/>
    <col min="11009" max="11010" width="20.42578125" style="4" customWidth="1"/>
    <col min="11011" max="11011" width="21.28515625" style="4" customWidth="1"/>
    <col min="11012" max="11012" width="16" style="4" customWidth="1"/>
    <col min="11013" max="11013" width="23.5703125" style="4" customWidth="1"/>
    <col min="11014" max="11014" width="19.5703125" style="4" customWidth="1"/>
    <col min="11015" max="11015" width="14.140625" style="4" customWidth="1"/>
    <col min="11016" max="11016" width="9.5703125" style="4" customWidth="1"/>
    <col min="11017" max="11017" width="14.42578125" style="4" customWidth="1"/>
    <col min="11018" max="11018" width="16.140625" style="4" customWidth="1"/>
    <col min="11019" max="11019" width="14.42578125" style="4" customWidth="1"/>
    <col min="11020" max="11020" width="13.42578125" style="4" customWidth="1"/>
    <col min="11021" max="11021" width="14.7109375" style="4" customWidth="1"/>
    <col min="11022" max="11023" width="14.28515625" style="4" customWidth="1"/>
    <col min="11024" max="11024" width="14" style="4" customWidth="1"/>
    <col min="11025" max="11025" width="11.5703125" style="4" customWidth="1"/>
    <col min="11026" max="11026" width="13.85546875" style="4" customWidth="1"/>
    <col min="11027" max="11264" width="11.42578125" style="4"/>
    <col min="11265" max="11266" width="20.42578125" style="4" customWidth="1"/>
    <col min="11267" max="11267" width="21.28515625" style="4" customWidth="1"/>
    <col min="11268" max="11268" width="16" style="4" customWidth="1"/>
    <col min="11269" max="11269" width="23.5703125" style="4" customWidth="1"/>
    <col min="11270" max="11270" width="19.5703125" style="4" customWidth="1"/>
    <col min="11271" max="11271" width="14.140625" style="4" customWidth="1"/>
    <col min="11272" max="11272" width="9.5703125" style="4" customWidth="1"/>
    <col min="11273" max="11273" width="14.42578125" style="4" customWidth="1"/>
    <col min="11274" max="11274" width="16.140625" style="4" customWidth="1"/>
    <col min="11275" max="11275" width="14.42578125" style="4" customWidth="1"/>
    <col min="11276" max="11276" width="13.42578125" style="4" customWidth="1"/>
    <col min="11277" max="11277" width="14.7109375" style="4" customWidth="1"/>
    <col min="11278" max="11279" width="14.28515625" style="4" customWidth="1"/>
    <col min="11280" max="11280" width="14" style="4" customWidth="1"/>
    <col min="11281" max="11281" width="11.5703125" style="4" customWidth="1"/>
    <col min="11282" max="11282" width="13.85546875" style="4" customWidth="1"/>
    <col min="11283" max="11520" width="11.42578125" style="4"/>
    <col min="11521" max="11522" width="20.42578125" style="4" customWidth="1"/>
    <col min="11523" max="11523" width="21.28515625" style="4" customWidth="1"/>
    <col min="11524" max="11524" width="16" style="4" customWidth="1"/>
    <col min="11525" max="11525" width="23.5703125" style="4" customWidth="1"/>
    <col min="11526" max="11526" width="19.5703125" style="4" customWidth="1"/>
    <col min="11527" max="11527" width="14.140625" style="4" customWidth="1"/>
    <col min="11528" max="11528" width="9.5703125" style="4" customWidth="1"/>
    <col min="11529" max="11529" width="14.42578125" style="4" customWidth="1"/>
    <col min="11530" max="11530" width="16.140625" style="4" customWidth="1"/>
    <col min="11531" max="11531" width="14.42578125" style="4" customWidth="1"/>
    <col min="11532" max="11532" width="13.42578125" style="4" customWidth="1"/>
    <col min="11533" max="11533" width="14.7109375" style="4" customWidth="1"/>
    <col min="11534" max="11535" width="14.28515625" style="4" customWidth="1"/>
    <col min="11536" max="11536" width="14" style="4" customWidth="1"/>
    <col min="11537" max="11537" width="11.5703125" style="4" customWidth="1"/>
    <col min="11538" max="11538" width="13.85546875" style="4" customWidth="1"/>
    <col min="11539" max="11776" width="11.42578125" style="4"/>
    <col min="11777" max="11778" width="20.42578125" style="4" customWidth="1"/>
    <col min="11779" max="11779" width="21.28515625" style="4" customWidth="1"/>
    <col min="11780" max="11780" width="16" style="4" customWidth="1"/>
    <col min="11781" max="11781" width="23.5703125" style="4" customWidth="1"/>
    <col min="11782" max="11782" width="19.5703125" style="4" customWidth="1"/>
    <col min="11783" max="11783" width="14.140625" style="4" customWidth="1"/>
    <col min="11784" max="11784" width="9.5703125" style="4" customWidth="1"/>
    <col min="11785" max="11785" width="14.42578125" style="4" customWidth="1"/>
    <col min="11786" max="11786" width="16.140625" style="4" customWidth="1"/>
    <col min="11787" max="11787" width="14.42578125" style="4" customWidth="1"/>
    <col min="11788" max="11788" width="13.42578125" style="4" customWidth="1"/>
    <col min="11789" max="11789" width="14.7109375" style="4" customWidth="1"/>
    <col min="11790" max="11791" width="14.28515625" style="4" customWidth="1"/>
    <col min="11792" max="11792" width="14" style="4" customWidth="1"/>
    <col min="11793" max="11793" width="11.5703125" style="4" customWidth="1"/>
    <col min="11794" max="11794" width="13.85546875" style="4" customWidth="1"/>
    <col min="11795" max="12032" width="11.42578125" style="4"/>
    <col min="12033" max="12034" width="20.42578125" style="4" customWidth="1"/>
    <col min="12035" max="12035" width="21.28515625" style="4" customWidth="1"/>
    <col min="12036" max="12036" width="16" style="4" customWidth="1"/>
    <col min="12037" max="12037" width="23.5703125" style="4" customWidth="1"/>
    <col min="12038" max="12038" width="19.5703125" style="4" customWidth="1"/>
    <col min="12039" max="12039" width="14.140625" style="4" customWidth="1"/>
    <col min="12040" max="12040" width="9.5703125" style="4" customWidth="1"/>
    <col min="12041" max="12041" width="14.42578125" style="4" customWidth="1"/>
    <col min="12042" max="12042" width="16.140625" style="4" customWidth="1"/>
    <col min="12043" max="12043" width="14.42578125" style="4" customWidth="1"/>
    <col min="12044" max="12044" width="13.42578125" style="4" customWidth="1"/>
    <col min="12045" max="12045" width="14.7109375" style="4" customWidth="1"/>
    <col min="12046" max="12047" width="14.28515625" style="4" customWidth="1"/>
    <col min="12048" max="12048" width="14" style="4" customWidth="1"/>
    <col min="12049" max="12049" width="11.5703125" style="4" customWidth="1"/>
    <col min="12050" max="12050" width="13.85546875" style="4" customWidth="1"/>
    <col min="12051" max="12288" width="11.42578125" style="4"/>
    <col min="12289" max="12290" width="20.42578125" style="4" customWidth="1"/>
    <col min="12291" max="12291" width="21.28515625" style="4" customWidth="1"/>
    <col min="12292" max="12292" width="16" style="4" customWidth="1"/>
    <col min="12293" max="12293" width="23.5703125" style="4" customWidth="1"/>
    <col min="12294" max="12294" width="19.5703125" style="4" customWidth="1"/>
    <col min="12295" max="12295" width="14.140625" style="4" customWidth="1"/>
    <col min="12296" max="12296" width="9.5703125" style="4" customWidth="1"/>
    <col min="12297" max="12297" width="14.42578125" style="4" customWidth="1"/>
    <col min="12298" max="12298" width="16.140625" style="4" customWidth="1"/>
    <col min="12299" max="12299" width="14.42578125" style="4" customWidth="1"/>
    <col min="12300" max="12300" width="13.42578125" style="4" customWidth="1"/>
    <col min="12301" max="12301" width="14.7109375" style="4" customWidth="1"/>
    <col min="12302" max="12303" width="14.28515625" style="4" customWidth="1"/>
    <col min="12304" max="12304" width="14" style="4" customWidth="1"/>
    <col min="12305" max="12305" width="11.5703125" style="4" customWidth="1"/>
    <col min="12306" max="12306" width="13.85546875" style="4" customWidth="1"/>
    <col min="12307" max="12544" width="11.42578125" style="4"/>
    <col min="12545" max="12546" width="20.42578125" style="4" customWidth="1"/>
    <col min="12547" max="12547" width="21.28515625" style="4" customWidth="1"/>
    <col min="12548" max="12548" width="16" style="4" customWidth="1"/>
    <col min="12549" max="12549" width="23.5703125" style="4" customWidth="1"/>
    <col min="12550" max="12550" width="19.5703125" style="4" customWidth="1"/>
    <col min="12551" max="12551" width="14.140625" style="4" customWidth="1"/>
    <col min="12552" max="12552" width="9.5703125" style="4" customWidth="1"/>
    <col min="12553" max="12553" width="14.42578125" style="4" customWidth="1"/>
    <col min="12554" max="12554" width="16.140625" style="4" customWidth="1"/>
    <col min="12555" max="12555" width="14.42578125" style="4" customWidth="1"/>
    <col min="12556" max="12556" width="13.42578125" style="4" customWidth="1"/>
    <col min="12557" max="12557" width="14.7109375" style="4" customWidth="1"/>
    <col min="12558" max="12559" width="14.28515625" style="4" customWidth="1"/>
    <col min="12560" max="12560" width="14" style="4" customWidth="1"/>
    <col min="12561" max="12561" width="11.5703125" style="4" customWidth="1"/>
    <col min="12562" max="12562" width="13.85546875" style="4" customWidth="1"/>
    <col min="12563" max="12800" width="11.42578125" style="4"/>
    <col min="12801" max="12802" width="20.42578125" style="4" customWidth="1"/>
    <col min="12803" max="12803" width="21.28515625" style="4" customWidth="1"/>
    <col min="12804" max="12804" width="16" style="4" customWidth="1"/>
    <col min="12805" max="12805" width="23.5703125" style="4" customWidth="1"/>
    <col min="12806" max="12806" width="19.5703125" style="4" customWidth="1"/>
    <col min="12807" max="12807" width="14.140625" style="4" customWidth="1"/>
    <col min="12808" max="12808" width="9.5703125" style="4" customWidth="1"/>
    <col min="12809" max="12809" width="14.42578125" style="4" customWidth="1"/>
    <col min="12810" max="12810" width="16.140625" style="4" customWidth="1"/>
    <col min="12811" max="12811" width="14.42578125" style="4" customWidth="1"/>
    <col min="12812" max="12812" width="13.42578125" style="4" customWidth="1"/>
    <col min="12813" max="12813" width="14.7109375" style="4" customWidth="1"/>
    <col min="12814" max="12815" width="14.28515625" style="4" customWidth="1"/>
    <col min="12816" max="12816" width="14" style="4" customWidth="1"/>
    <col min="12817" max="12817" width="11.5703125" style="4" customWidth="1"/>
    <col min="12818" max="12818" width="13.85546875" style="4" customWidth="1"/>
    <col min="12819" max="13056" width="11.42578125" style="4"/>
    <col min="13057" max="13058" width="20.42578125" style="4" customWidth="1"/>
    <col min="13059" max="13059" width="21.28515625" style="4" customWidth="1"/>
    <col min="13060" max="13060" width="16" style="4" customWidth="1"/>
    <col min="13061" max="13061" width="23.5703125" style="4" customWidth="1"/>
    <col min="13062" max="13062" width="19.5703125" style="4" customWidth="1"/>
    <col min="13063" max="13063" width="14.140625" style="4" customWidth="1"/>
    <col min="13064" max="13064" width="9.5703125" style="4" customWidth="1"/>
    <col min="13065" max="13065" width="14.42578125" style="4" customWidth="1"/>
    <col min="13066" max="13066" width="16.140625" style="4" customWidth="1"/>
    <col min="13067" max="13067" width="14.42578125" style="4" customWidth="1"/>
    <col min="13068" max="13068" width="13.42578125" style="4" customWidth="1"/>
    <col min="13069" max="13069" width="14.7109375" style="4" customWidth="1"/>
    <col min="13070" max="13071" width="14.28515625" style="4" customWidth="1"/>
    <col min="13072" max="13072" width="14" style="4" customWidth="1"/>
    <col min="13073" max="13073" width="11.5703125" style="4" customWidth="1"/>
    <col min="13074" max="13074" width="13.85546875" style="4" customWidth="1"/>
    <col min="13075" max="13312" width="11.42578125" style="4"/>
    <col min="13313" max="13314" width="20.42578125" style="4" customWidth="1"/>
    <col min="13315" max="13315" width="21.28515625" style="4" customWidth="1"/>
    <col min="13316" max="13316" width="16" style="4" customWidth="1"/>
    <col min="13317" max="13317" width="23.5703125" style="4" customWidth="1"/>
    <col min="13318" max="13318" width="19.5703125" style="4" customWidth="1"/>
    <col min="13319" max="13319" width="14.140625" style="4" customWidth="1"/>
    <col min="13320" max="13320" width="9.5703125" style="4" customWidth="1"/>
    <col min="13321" max="13321" width="14.42578125" style="4" customWidth="1"/>
    <col min="13322" max="13322" width="16.140625" style="4" customWidth="1"/>
    <col min="13323" max="13323" width="14.42578125" style="4" customWidth="1"/>
    <col min="13324" max="13324" width="13.42578125" style="4" customWidth="1"/>
    <col min="13325" max="13325" width="14.7109375" style="4" customWidth="1"/>
    <col min="13326" max="13327" width="14.28515625" style="4" customWidth="1"/>
    <col min="13328" max="13328" width="14" style="4" customWidth="1"/>
    <col min="13329" max="13329" width="11.5703125" style="4" customWidth="1"/>
    <col min="13330" max="13330" width="13.85546875" style="4" customWidth="1"/>
    <col min="13331" max="13568" width="11.42578125" style="4"/>
    <col min="13569" max="13570" width="20.42578125" style="4" customWidth="1"/>
    <col min="13571" max="13571" width="21.28515625" style="4" customWidth="1"/>
    <col min="13572" max="13572" width="16" style="4" customWidth="1"/>
    <col min="13573" max="13573" width="23.5703125" style="4" customWidth="1"/>
    <col min="13574" max="13574" width="19.5703125" style="4" customWidth="1"/>
    <col min="13575" max="13575" width="14.140625" style="4" customWidth="1"/>
    <col min="13576" max="13576" width="9.5703125" style="4" customWidth="1"/>
    <col min="13577" max="13577" width="14.42578125" style="4" customWidth="1"/>
    <col min="13578" max="13578" width="16.140625" style="4" customWidth="1"/>
    <col min="13579" max="13579" width="14.42578125" style="4" customWidth="1"/>
    <col min="13580" max="13580" width="13.42578125" style="4" customWidth="1"/>
    <col min="13581" max="13581" width="14.7109375" style="4" customWidth="1"/>
    <col min="13582" max="13583" width="14.28515625" style="4" customWidth="1"/>
    <col min="13584" max="13584" width="14" style="4" customWidth="1"/>
    <col min="13585" max="13585" width="11.5703125" style="4" customWidth="1"/>
    <col min="13586" max="13586" width="13.85546875" style="4" customWidth="1"/>
    <col min="13587" max="13824" width="11.42578125" style="4"/>
    <col min="13825" max="13826" width="20.42578125" style="4" customWidth="1"/>
    <col min="13827" max="13827" width="21.28515625" style="4" customWidth="1"/>
    <col min="13828" max="13828" width="16" style="4" customWidth="1"/>
    <col min="13829" max="13829" width="23.5703125" style="4" customWidth="1"/>
    <col min="13830" max="13830" width="19.5703125" style="4" customWidth="1"/>
    <col min="13831" max="13831" width="14.140625" style="4" customWidth="1"/>
    <col min="13832" max="13832" width="9.5703125" style="4" customWidth="1"/>
    <col min="13833" max="13833" width="14.42578125" style="4" customWidth="1"/>
    <col min="13834" max="13834" width="16.140625" style="4" customWidth="1"/>
    <col min="13835" max="13835" width="14.42578125" style="4" customWidth="1"/>
    <col min="13836" max="13836" width="13.42578125" style="4" customWidth="1"/>
    <col min="13837" max="13837" width="14.7109375" style="4" customWidth="1"/>
    <col min="13838" max="13839" width="14.28515625" style="4" customWidth="1"/>
    <col min="13840" max="13840" width="14" style="4" customWidth="1"/>
    <col min="13841" max="13841" width="11.5703125" style="4" customWidth="1"/>
    <col min="13842" max="13842" width="13.85546875" style="4" customWidth="1"/>
    <col min="13843" max="14080" width="11.42578125" style="4"/>
    <col min="14081" max="14082" width="20.42578125" style="4" customWidth="1"/>
    <col min="14083" max="14083" width="21.28515625" style="4" customWidth="1"/>
    <col min="14084" max="14084" width="16" style="4" customWidth="1"/>
    <col min="14085" max="14085" width="23.5703125" style="4" customWidth="1"/>
    <col min="14086" max="14086" width="19.5703125" style="4" customWidth="1"/>
    <col min="14087" max="14087" width="14.140625" style="4" customWidth="1"/>
    <col min="14088" max="14088" width="9.5703125" style="4" customWidth="1"/>
    <col min="14089" max="14089" width="14.42578125" style="4" customWidth="1"/>
    <col min="14090" max="14090" width="16.140625" style="4" customWidth="1"/>
    <col min="14091" max="14091" width="14.42578125" style="4" customWidth="1"/>
    <col min="14092" max="14092" width="13.42578125" style="4" customWidth="1"/>
    <col min="14093" max="14093" width="14.7109375" style="4" customWidth="1"/>
    <col min="14094" max="14095" width="14.28515625" style="4" customWidth="1"/>
    <col min="14096" max="14096" width="14" style="4" customWidth="1"/>
    <col min="14097" max="14097" width="11.5703125" style="4" customWidth="1"/>
    <col min="14098" max="14098" width="13.85546875" style="4" customWidth="1"/>
    <col min="14099" max="14336" width="11.42578125" style="4"/>
    <col min="14337" max="14338" width="20.42578125" style="4" customWidth="1"/>
    <col min="14339" max="14339" width="21.28515625" style="4" customWidth="1"/>
    <col min="14340" max="14340" width="16" style="4" customWidth="1"/>
    <col min="14341" max="14341" width="23.5703125" style="4" customWidth="1"/>
    <col min="14342" max="14342" width="19.5703125" style="4" customWidth="1"/>
    <col min="14343" max="14343" width="14.140625" style="4" customWidth="1"/>
    <col min="14344" max="14344" width="9.5703125" style="4" customWidth="1"/>
    <col min="14345" max="14345" width="14.42578125" style="4" customWidth="1"/>
    <col min="14346" max="14346" width="16.140625" style="4" customWidth="1"/>
    <col min="14347" max="14347" width="14.42578125" style="4" customWidth="1"/>
    <col min="14348" max="14348" width="13.42578125" style="4" customWidth="1"/>
    <col min="14349" max="14349" width="14.7109375" style="4" customWidth="1"/>
    <col min="14350" max="14351" width="14.28515625" style="4" customWidth="1"/>
    <col min="14352" max="14352" width="14" style="4" customWidth="1"/>
    <col min="14353" max="14353" width="11.5703125" style="4" customWidth="1"/>
    <col min="14354" max="14354" width="13.85546875" style="4" customWidth="1"/>
    <col min="14355" max="14592" width="11.42578125" style="4"/>
    <col min="14593" max="14594" width="20.42578125" style="4" customWidth="1"/>
    <col min="14595" max="14595" width="21.28515625" style="4" customWidth="1"/>
    <col min="14596" max="14596" width="16" style="4" customWidth="1"/>
    <col min="14597" max="14597" width="23.5703125" style="4" customWidth="1"/>
    <col min="14598" max="14598" width="19.5703125" style="4" customWidth="1"/>
    <col min="14599" max="14599" width="14.140625" style="4" customWidth="1"/>
    <col min="14600" max="14600" width="9.5703125" style="4" customWidth="1"/>
    <col min="14601" max="14601" width="14.42578125" style="4" customWidth="1"/>
    <col min="14602" max="14602" width="16.140625" style="4" customWidth="1"/>
    <col min="14603" max="14603" width="14.42578125" style="4" customWidth="1"/>
    <col min="14604" max="14604" width="13.42578125" style="4" customWidth="1"/>
    <col min="14605" max="14605" width="14.7109375" style="4" customWidth="1"/>
    <col min="14606" max="14607" width="14.28515625" style="4" customWidth="1"/>
    <col min="14608" max="14608" width="14" style="4" customWidth="1"/>
    <col min="14609" max="14609" width="11.5703125" style="4" customWidth="1"/>
    <col min="14610" max="14610" width="13.85546875" style="4" customWidth="1"/>
    <col min="14611" max="14848" width="11.42578125" style="4"/>
    <col min="14849" max="14850" width="20.42578125" style="4" customWidth="1"/>
    <col min="14851" max="14851" width="21.28515625" style="4" customWidth="1"/>
    <col min="14852" max="14852" width="16" style="4" customWidth="1"/>
    <col min="14853" max="14853" width="23.5703125" style="4" customWidth="1"/>
    <col min="14854" max="14854" width="19.5703125" style="4" customWidth="1"/>
    <col min="14855" max="14855" width="14.140625" style="4" customWidth="1"/>
    <col min="14856" max="14856" width="9.5703125" style="4" customWidth="1"/>
    <col min="14857" max="14857" width="14.42578125" style="4" customWidth="1"/>
    <col min="14858" max="14858" width="16.140625" style="4" customWidth="1"/>
    <col min="14859" max="14859" width="14.42578125" style="4" customWidth="1"/>
    <col min="14860" max="14860" width="13.42578125" style="4" customWidth="1"/>
    <col min="14861" max="14861" width="14.7109375" style="4" customWidth="1"/>
    <col min="14862" max="14863" width="14.28515625" style="4" customWidth="1"/>
    <col min="14864" max="14864" width="14" style="4" customWidth="1"/>
    <col min="14865" max="14865" width="11.5703125" style="4" customWidth="1"/>
    <col min="14866" max="14866" width="13.85546875" style="4" customWidth="1"/>
    <col min="14867" max="15104" width="11.42578125" style="4"/>
    <col min="15105" max="15106" width="20.42578125" style="4" customWidth="1"/>
    <col min="15107" max="15107" width="21.28515625" style="4" customWidth="1"/>
    <col min="15108" max="15108" width="16" style="4" customWidth="1"/>
    <col min="15109" max="15109" width="23.5703125" style="4" customWidth="1"/>
    <col min="15110" max="15110" width="19.5703125" style="4" customWidth="1"/>
    <col min="15111" max="15111" width="14.140625" style="4" customWidth="1"/>
    <col min="15112" max="15112" width="9.5703125" style="4" customWidth="1"/>
    <col min="15113" max="15113" width="14.42578125" style="4" customWidth="1"/>
    <col min="15114" max="15114" width="16.140625" style="4" customWidth="1"/>
    <col min="15115" max="15115" width="14.42578125" style="4" customWidth="1"/>
    <col min="15116" max="15116" width="13.42578125" style="4" customWidth="1"/>
    <col min="15117" max="15117" width="14.7109375" style="4" customWidth="1"/>
    <col min="15118" max="15119" width="14.28515625" style="4" customWidth="1"/>
    <col min="15120" max="15120" width="14" style="4" customWidth="1"/>
    <col min="15121" max="15121" width="11.5703125" style="4" customWidth="1"/>
    <col min="15122" max="15122" width="13.85546875" style="4" customWidth="1"/>
    <col min="15123" max="15360" width="11.42578125" style="4"/>
    <col min="15361" max="15362" width="20.42578125" style="4" customWidth="1"/>
    <col min="15363" max="15363" width="21.28515625" style="4" customWidth="1"/>
    <col min="15364" max="15364" width="16" style="4" customWidth="1"/>
    <col min="15365" max="15365" width="23.5703125" style="4" customWidth="1"/>
    <col min="15366" max="15366" width="19.5703125" style="4" customWidth="1"/>
    <col min="15367" max="15367" width="14.140625" style="4" customWidth="1"/>
    <col min="15368" max="15368" width="9.5703125" style="4" customWidth="1"/>
    <col min="15369" max="15369" width="14.42578125" style="4" customWidth="1"/>
    <col min="15370" max="15370" width="16.140625" style="4" customWidth="1"/>
    <col min="15371" max="15371" width="14.42578125" style="4" customWidth="1"/>
    <col min="15372" max="15372" width="13.42578125" style="4" customWidth="1"/>
    <col min="15373" max="15373" width="14.7109375" style="4" customWidth="1"/>
    <col min="15374" max="15375" width="14.28515625" style="4" customWidth="1"/>
    <col min="15376" max="15376" width="14" style="4" customWidth="1"/>
    <col min="15377" max="15377" width="11.5703125" style="4" customWidth="1"/>
    <col min="15378" max="15378" width="13.85546875" style="4" customWidth="1"/>
    <col min="15379" max="15616" width="11.42578125" style="4"/>
    <col min="15617" max="15618" width="20.42578125" style="4" customWidth="1"/>
    <col min="15619" max="15619" width="21.28515625" style="4" customWidth="1"/>
    <col min="15620" max="15620" width="16" style="4" customWidth="1"/>
    <col min="15621" max="15621" width="23.5703125" style="4" customWidth="1"/>
    <col min="15622" max="15622" width="19.5703125" style="4" customWidth="1"/>
    <col min="15623" max="15623" width="14.140625" style="4" customWidth="1"/>
    <col min="15624" max="15624" width="9.5703125" style="4" customWidth="1"/>
    <col min="15625" max="15625" width="14.42578125" style="4" customWidth="1"/>
    <col min="15626" max="15626" width="16.140625" style="4" customWidth="1"/>
    <col min="15627" max="15627" width="14.42578125" style="4" customWidth="1"/>
    <col min="15628" max="15628" width="13.42578125" style="4" customWidth="1"/>
    <col min="15629" max="15629" width="14.7109375" style="4" customWidth="1"/>
    <col min="15630" max="15631" width="14.28515625" style="4" customWidth="1"/>
    <col min="15632" max="15632" width="14" style="4" customWidth="1"/>
    <col min="15633" max="15633" width="11.5703125" style="4" customWidth="1"/>
    <col min="15634" max="15634" width="13.85546875" style="4" customWidth="1"/>
    <col min="15635" max="15872" width="11.42578125" style="4"/>
    <col min="15873" max="15874" width="20.42578125" style="4" customWidth="1"/>
    <col min="15875" max="15875" width="21.28515625" style="4" customWidth="1"/>
    <col min="15876" max="15876" width="16" style="4" customWidth="1"/>
    <col min="15877" max="15877" width="23.5703125" style="4" customWidth="1"/>
    <col min="15878" max="15878" width="19.5703125" style="4" customWidth="1"/>
    <col min="15879" max="15879" width="14.140625" style="4" customWidth="1"/>
    <col min="15880" max="15880" width="9.5703125" style="4" customWidth="1"/>
    <col min="15881" max="15881" width="14.42578125" style="4" customWidth="1"/>
    <col min="15882" max="15882" width="16.140625" style="4" customWidth="1"/>
    <col min="15883" max="15883" width="14.42578125" style="4" customWidth="1"/>
    <col min="15884" max="15884" width="13.42578125" style="4" customWidth="1"/>
    <col min="15885" max="15885" width="14.7109375" style="4" customWidth="1"/>
    <col min="15886" max="15887" width="14.28515625" style="4" customWidth="1"/>
    <col min="15888" max="15888" width="14" style="4" customWidth="1"/>
    <col min="15889" max="15889" width="11.5703125" style="4" customWidth="1"/>
    <col min="15890" max="15890" width="13.85546875" style="4" customWidth="1"/>
    <col min="15891" max="16128" width="11.42578125" style="4"/>
    <col min="16129" max="16130" width="20.42578125" style="4" customWidth="1"/>
    <col min="16131" max="16131" width="21.28515625" style="4" customWidth="1"/>
    <col min="16132" max="16132" width="16" style="4" customWidth="1"/>
    <col min="16133" max="16133" width="23.5703125" style="4" customWidth="1"/>
    <col min="16134" max="16134" width="19.5703125" style="4" customWidth="1"/>
    <col min="16135" max="16135" width="14.140625" style="4" customWidth="1"/>
    <col min="16136" max="16136" width="9.5703125" style="4" customWidth="1"/>
    <col min="16137" max="16137" width="14.42578125" style="4" customWidth="1"/>
    <col min="16138" max="16138" width="16.140625" style="4" customWidth="1"/>
    <col min="16139" max="16139" width="14.42578125" style="4" customWidth="1"/>
    <col min="16140" max="16140" width="13.42578125" style="4" customWidth="1"/>
    <col min="16141" max="16141" width="14.7109375" style="4" customWidth="1"/>
    <col min="16142" max="16143" width="14.28515625" style="4" customWidth="1"/>
    <col min="16144" max="16144" width="14" style="4" customWidth="1"/>
    <col min="16145" max="16145" width="11.5703125" style="4" customWidth="1"/>
    <col min="16146" max="16146" width="13.85546875" style="4" customWidth="1"/>
    <col min="16147" max="16384" width="11.42578125" style="4"/>
  </cols>
  <sheetData>
    <row r="1" spans="1:29" s="11" customFormat="1" ht="8.25" customHeight="1" thickBot="1" x14ac:dyDescent="0.25">
      <c r="A1" s="1"/>
      <c r="B1" s="2"/>
      <c r="C1" s="1"/>
      <c r="D1" s="3"/>
      <c r="E1" s="4"/>
      <c r="F1" s="4"/>
      <c r="G1" s="5"/>
      <c r="H1" s="5"/>
      <c r="I1" s="5"/>
      <c r="J1" s="5"/>
      <c r="K1" s="6"/>
      <c r="L1" s="7"/>
      <c r="M1" s="7"/>
      <c r="N1" s="8"/>
      <c r="O1" s="8"/>
      <c r="P1" s="9"/>
      <c r="Q1" s="8"/>
      <c r="R1" s="8"/>
      <c r="S1" s="8"/>
      <c r="T1" s="10"/>
      <c r="U1" s="10"/>
      <c r="V1" s="10"/>
      <c r="W1" s="10"/>
      <c r="X1" s="10"/>
      <c r="Y1" s="10"/>
      <c r="Z1" s="10"/>
      <c r="AA1" s="10"/>
      <c r="AB1" s="10"/>
    </row>
    <row r="2" spans="1:29" ht="25.5" customHeight="1" thickBot="1" x14ac:dyDescent="0.25">
      <c r="A2" s="568" t="s">
        <v>0</v>
      </c>
      <c r="B2" s="569"/>
      <c r="C2" s="569"/>
      <c r="D2" s="569"/>
      <c r="E2" s="569"/>
      <c r="F2" s="569"/>
      <c r="G2" s="569"/>
      <c r="H2" s="569"/>
      <c r="I2" s="570"/>
      <c r="J2" s="12"/>
      <c r="K2" s="6"/>
      <c r="L2" s="13"/>
      <c r="M2" s="13"/>
      <c r="N2" s="14"/>
      <c r="O2" s="14"/>
      <c r="P2" s="15"/>
      <c r="Q2" s="14"/>
      <c r="R2" s="14"/>
      <c r="S2" s="14"/>
      <c r="T2" s="14"/>
      <c r="U2" s="14"/>
      <c r="V2" s="14"/>
      <c r="W2" s="16"/>
      <c r="X2" s="16"/>
      <c r="Y2" s="16"/>
      <c r="Z2" s="16"/>
      <c r="AA2" s="16"/>
      <c r="AB2" s="16"/>
      <c r="AC2" s="16"/>
    </row>
    <row r="3" spans="1:29" ht="31.5" customHeight="1" x14ac:dyDescent="0.2">
      <c r="A3" s="571" t="s">
        <v>1</v>
      </c>
      <c r="B3" s="571"/>
      <c r="C3" s="571"/>
      <c r="D3" s="571"/>
      <c r="E3" s="571"/>
      <c r="F3" s="571"/>
      <c r="G3" s="571"/>
      <c r="H3" s="571"/>
      <c r="I3" s="571"/>
      <c r="J3" s="12"/>
      <c r="K3" s="6"/>
      <c r="L3" s="13"/>
      <c r="M3" s="13"/>
      <c r="N3" s="14"/>
      <c r="O3" s="14"/>
      <c r="P3" s="15"/>
      <c r="Q3" s="14"/>
      <c r="R3" s="14"/>
      <c r="S3" s="14"/>
      <c r="T3" s="14"/>
      <c r="U3" s="14"/>
      <c r="V3" s="14"/>
      <c r="W3" s="16"/>
      <c r="X3" s="16"/>
      <c r="Y3" s="16"/>
      <c r="Z3" s="16"/>
      <c r="AA3" s="16"/>
      <c r="AB3" s="16"/>
      <c r="AC3" s="16"/>
    </row>
    <row r="4" spans="1:29" ht="12.75" customHeight="1" x14ac:dyDescent="0.5">
      <c r="A4" s="17"/>
      <c r="B4" s="18"/>
      <c r="C4" s="7"/>
      <c r="D4" s="7"/>
      <c r="E4" s="19"/>
      <c r="F4" s="20"/>
      <c r="G4" s="21"/>
      <c r="H4" s="22"/>
      <c r="I4" s="22"/>
      <c r="J4" s="23"/>
      <c r="K4" s="24"/>
      <c r="N4" s="14"/>
      <c r="O4" s="14"/>
      <c r="P4" s="25"/>
      <c r="Q4" s="14"/>
      <c r="R4" s="14"/>
      <c r="S4" s="20"/>
      <c r="U4" s="26"/>
      <c r="V4" s="26"/>
      <c r="W4" s="16"/>
      <c r="X4" s="26"/>
      <c r="Y4" s="27"/>
      <c r="Z4" s="16"/>
      <c r="AA4" s="16"/>
      <c r="AB4" s="16"/>
      <c r="AC4" s="16"/>
    </row>
    <row r="5" spans="1:29" x14ac:dyDescent="0.2">
      <c r="A5" s="28" t="s">
        <v>2</v>
      </c>
      <c r="B5" s="29"/>
      <c r="C5" s="30" t="s">
        <v>3</v>
      </c>
      <c r="D5" s="30" t="s">
        <v>4</v>
      </c>
      <c r="E5" s="31"/>
      <c r="F5" s="32"/>
      <c r="G5" s="32"/>
      <c r="H5" s="7"/>
      <c r="I5" s="7"/>
      <c r="J5" s="32"/>
      <c r="N5" s="14"/>
      <c r="O5" s="14"/>
      <c r="P5" s="14"/>
      <c r="Q5" s="14"/>
      <c r="R5" s="14"/>
      <c r="S5" s="20"/>
      <c r="U5" s="26"/>
      <c r="V5" s="26"/>
      <c r="W5" s="16"/>
      <c r="X5" s="26"/>
      <c r="Y5" s="27"/>
      <c r="Z5" s="16"/>
      <c r="AA5" s="16"/>
      <c r="AB5" s="16"/>
      <c r="AC5" s="16"/>
    </row>
    <row r="6" spans="1:29" x14ac:dyDescent="0.2">
      <c r="B6" s="33"/>
      <c r="C6" s="34" t="s">
        <v>5</v>
      </c>
      <c r="D6" s="34" t="s">
        <v>6</v>
      </c>
      <c r="E6" s="35" t="s">
        <v>7</v>
      </c>
      <c r="G6" s="32"/>
      <c r="H6" s="7"/>
      <c r="I6" s="7"/>
      <c r="J6" s="7"/>
      <c r="N6" s="14"/>
      <c r="O6" s="14"/>
      <c r="P6" s="14"/>
      <c r="Q6" s="14"/>
      <c r="R6" s="14"/>
      <c r="S6" s="20"/>
      <c r="U6" s="26"/>
      <c r="V6" s="26"/>
      <c r="W6" s="16"/>
      <c r="X6" s="26"/>
      <c r="Y6" s="16"/>
      <c r="Z6" s="16"/>
      <c r="AA6" s="16"/>
      <c r="AB6" s="16"/>
      <c r="AC6" s="16"/>
    </row>
    <row r="7" spans="1:29" ht="12.75" customHeight="1" x14ac:dyDescent="0.2">
      <c r="B7" s="36" t="s">
        <v>8</v>
      </c>
      <c r="C7" s="37">
        <f>1.1%*E7</f>
        <v>10.758000000000001</v>
      </c>
      <c r="D7" s="38">
        <f>E7-C7</f>
        <v>967.24199999999996</v>
      </c>
      <c r="E7" s="39">
        <v>978</v>
      </c>
      <c r="F7" s="40"/>
      <c r="G7" s="299"/>
      <c r="H7" s="41"/>
      <c r="I7" s="301"/>
      <c r="J7" s="41"/>
      <c r="N7" s="14"/>
      <c r="O7" s="14"/>
      <c r="P7" s="14"/>
      <c r="Q7" s="14"/>
      <c r="R7" s="14"/>
      <c r="S7" s="20"/>
      <c r="U7" s="26"/>
      <c r="V7" s="26"/>
      <c r="W7" s="16"/>
      <c r="X7" s="26"/>
      <c r="Y7" s="16"/>
      <c r="Z7" s="16"/>
      <c r="AA7" s="16"/>
      <c r="AB7" s="16"/>
      <c r="AC7" s="16"/>
    </row>
    <row r="8" spans="1:29" ht="12.75" customHeight="1" x14ac:dyDescent="0.2">
      <c r="B8" s="36" t="s">
        <v>9</v>
      </c>
      <c r="C8" s="37">
        <f>1.1%*E8</f>
        <v>5.4120000000000008</v>
      </c>
      <c r="D8" s="38">
        <f>E8-C8</f>
        <v>486.58800000000002</v>
      </c>
      <c r="E8" s="39">
        <v>492</v>
      </c>
      <c r="F8" s="42"/>
      <c r="G8" s="300"/>
      <c r="H8" s="43"/>
      <c r="I8" s="301"/>
      <c r="J8" s="43"/>
      <c r="L8" s="44"/>
      <c r="N8" s="14"/>
      <c r="O8" s="14"/>
      <c r="P8" s="14"/>
      <c r="Q8" s="14"/>
      <c r="R8" s="14"/>
      <c r="S8" s="20"/>
      <c r="U8" s="26"/>
      <c r="V8" s="26"/>
      <c r="W8" s="16"/>
      <c r="X8" s="26"/>
      <c r="Y8" s="16"/>
      <c r="Z8" s="16"/>
      <c r="AA8" s="16"/>
      <c r="AB8" s="16"/>
      <c r="AC8" s="16"/>
    </row>
    <row r="9" spans="1:29" x14ac:dyDescent="0.2">
      <c r="B9" s="45" t="s">
        <v>7</v>
      </c>
      <c r="C9" s="46">
        <f>SUM(C7:C8)</f>
        <v>16.170000000000002</v>
      </c>
      <c r="D9" s="47">
        <f>SUM(D7:D8)</f>
        <v>1453.83</v>
      </c>
      <c r="E9" s="48">
        <f>SUM(E7:E8)</f>
        <v>1470</v>
      </c>
      <c r="F9" s="49"/>
      <c r="G9" s="302"/>
      <c r="H9" s="7"/>
      <c r="I9" s="303"/>
      <c r="J9" s="7"/>
      <c r="L9" s="44"/>
      <c r="O9" s="51"/>
      <c r="P9" s="52"/>
      <c r="Q9" s="52"/>
      <c r="R9" s="52"/>
      <c r="S9" s="26"/>
      <c r="U9" s="26"/>
      <c r="V9" s="26"/>
      <c r="W9" s="16"/>
      <c r="X9" s="26"/>
      <c r="Y9" s="16"/>
      <c r="Z9" s="16"/>
      <c r="AA9" s="16"/>
      <c r="AB9" s="16"/>
      <c r="AC9" s="16"/>
    </row>
    <row r="10" spans="1:29" x14ac:dyDescent="0.2">
      <c r="B10" s="53"/>
      <c r="C10" s="54"/>
      <c r="D10" s="50"/>
      <c r="E10" s="50"/>
      <c r="G10" s="55"/>
      <c r="H10" s="7"/>
      <c r="I10" s="7"/>
      <c r="J10" s="305"/>
      <c r="L10" s="44"/>
      <c r="O10" s="51"/>
      <c r="P10" s="52"/>
      <c r="Q10" s="52"/>
      <c r="R10" s="52"/>
      <c r="S10" s="26"/>
      <c r="U10" s="26"/>
      <c r="V10" s="26"/>
      <c r="W10" s="16"/>
      <c r="X10" s="26"/>
      <c r="Y10" s="16"/>
      <c r="Z10" s="16"/>
      <c r="AA10" s="16"/>
      <c r="AB10" s="16"/>
      <c r="AC10" s="16"/>
    </row>
    <row r="11" spans="1:29" s="11" customFormat="1" hidden="1" x14ac:dyDescent="0.2">
      <c r="A11" s="56" t="s">
        <v>10</v>
      </c>
      <c r="B11" s="57"/>
      <c r="C11" s="58"/>
      <c r="D11" s="8"/>
      <c r="E11" s="44"/>
      <c r="F11" s="59"/>
      <c r="G11" s="44"/>
      <c r="H11" s="60"/>
      <c r="I11" s="44"/>
      <c r="L11" s="59"/>
      <c r="O11" s="8"/>
      <c r="P11" s="61"/>
      <c r="Q11" s="61"/>
      <c r="R11" s="61"/>
      <c r="S11" s="8"/>
      <c r="T11" s="8"/>
      <c r="U11" s="8"/>
      <c r="V11" s="8"/>
    </row>
    <row r="12" spans="1:29" s="11" customFormat="1" hidden="1" x14ac:dyDescent="0.2">
      <c r="A12" s="4" t="s">
        <v>109</v>
      </c>
      <c r="B12" s="57"/>
      <c r="C12" s="58"/>
      <c r="D12" s="8"/>
      <c r="E12" s="44"/>
      <c r="F12" s="59"/>
      <c r="G12" s="44"/>
      <c r="H12" s="60"/>
      <c r="I12" s="44"/>
      <c r="J12" s="62"/>
      <c r="O12" s="8"/>
      <c r="P12" s="9"/>
      <c r="Q12" s="9"/>
      <c r="R12" s="9"/>
      <c r="S12" s="8"/>
      <c r="T12" s="8"/>
      <c r="U12" s="8"/>
      <c r="V12" s="8"/>
    </row>
    <row r="13" spans="1:29" s="11" customFormat="1" ht="39" hidden="1" customHeight="1" x14ac:dyDescent="0.2">
      <c r="A13" s="306" t="s">
        <v>11</v>
      </c>
      <c r="B13" s="306" t="s">
        <v>108</v>
      </c>
      <c r="C13" s="306" t="s">
        <v>12</v>
      </c>
      <c r="D13" s="306" t="s">
        <v>107</v>
      </c>
      <c r="E13" s="306" t="s">
        <v>106</v>
      </c>
      <c r="F13" s="306" t="s">
        <v>13</v>
      </c>
      <c r="G13" s="306" t="s">
        <v>14</v>
      </c>
      <c r="H13" s="306" t="s">
        <v>15</v>
      </c>
      <c r="I13" s="44"/>
      <c r="J13" s="281" t="s">
        <v>16</v>
      </c>
      <c r="K13" s="282" t="s">
        <v>14</v>
      </c>
      <c r="L13" s="282" t="s">
        <v>15</v>
      </c>
      <c r="O13" s="8"/>
      <c r="P13" s="8"/>
      <c r="Q13" s="8"/>
      <c r="R13" s="8"/>
      <c r="S13" s="8"/>
      <c r="T13" s="8"/>
      <c r="U13" s="8"/>
      <c r="V13" s="8"/>
    </row>
    <row r="14" spans="1:29" s="293" customFormat="1" ht="15.75" hidden="1" customHeight="1" x14ac:dyDescent="0.25">
      <c r="A14" s="283">
        <f>LN((C7/E7)/(C8/E8))</f>
        <v>0</v>
      </c>
      <c r="B14" s="304">
        <f>SQRT((D7/(C7*E7)+(D8/(C8*E8))))</f>
        <v>0.52409316012507801</v>
      </c>
      <c r="C14" s="284">
        <f>-NORMSINV(2.5/100)</f>
        <v>1.9599639845400538</v>
      </c>
      <c r="D14" s="284">
        <f>A14-(C14*B14)</f>
        <v>-1.0272037183889364</v>
      </c>
      <c r="E14" s="285">
        <f>A14+(C14*B14)</f>
        <v>1.0272037183889364</v>
      </c>
      <c r="F14" s="286">
        <f>(C7/E7)/(C8/E8)</f>
        <v>1</v>
      </c>
      <c r="G14" s="287">
        <f>EXP(D14)</f>
        <v>0.35800664962267059</v>
      </c>
      <c r="H14" s="288">
        <f>EXP(E14)</f>
        <v>2.7932442066480418</v>
      </c>
      <c r="I14" s="289"/>
      <c r="J14" s="290">
        <f>1-F14</f>
        <v>0</v>
      </c>
      <c r="K14" s="291">
        <f>1-G14</f>
        <v>0.64199335037732941</v>
      </c>
      <c r="L14" s="291">
        <f>1-H14</f>
        <v>-1.7932442066480418</v>
      </c>
      <c r="M14" s="292"/>
      <c r="O14" s="294"/>
      <c r="P14" s="294"/>
      <c r="Q14" s="294"/>
      <c r="R14" s="294"/>
      <c r="S14" s="294"/>
      <c r="T14" s="294"/>
      <c r="U14" s="294"/>
      <c r="V14" s="294"/>
    </row>
    <row r="15" spans="1:29" s="11" customFormat="1" hidden="1" x14ac:dyDescent="0.2">
      <c r="B15" s="57"/>
      <c r="C15" s="63"/>
      <c r="D15" s="64"/>
      <c r="E15" s="65"/>
      <c r="F15" s="66"/>
      <c r="G15" s="67"/>
      <c r="H15" s="64"/>
      <c r="I15" s="44"/>
      <c r="J15" s="59"/>
      <c r="K15" s="59"/>
      <c r="L15" s="59"/>
      <c r="O15" s="8"/>
      <c r="P15" s="8"/>
      <c r="Q15" s="8"/>
      <c r="R15" s="8"/>
      <c r="S15" s="8"/>
      <c r="T15" s="8"/>
      <c r="U15" s="8"/>
      <c r="V15" s="8"/>
    </row>
    <row r="16" spans="1:29" s="16" customFormat="1" hidden="1" x14ac:dyDescent="0.2">
      <c r="B16" s="68"/>
      <c r="C16" s="69"/>
      <c r="D16" s="70"/>
      <c r="E16" s="71"/>
      <c r="F16" s="72"/>
      <c r="G16" s="73"/>
      <c r="H16" s="74"/>
      <c r="I16" s="75"/>
      <c r="L16" s="76"/>
      <c r="M16" s="76"/>
    </row>
    <row r="17" spans="1:29" ht="18.75" hidden="1" x14ac:dyDescent="0.3">
      <c r="A17" s="77" t="s">
        <v>17</v>
      </c>
      <c r="B17" s="78"/>
      <c r="C17" s="79"/>
      <c r="D17" s="80"/>
      <c r="E17" s="75"/>
      <c r="F17" s="75"/>
      <c r="G17" s="75"/>
      <c r="H17" s="81"/>
      <c r="I17" s="75"/>
      <c r="J17" s="16"/>
      <c r="K17" s="82"/>
      <c r="L17" s="8"/>
      <c r="M17" s="83"/>
      <c r="N17" s="83"/>
      <c r="O17" s="8"/>
      <c r="P17" s="8"/>
      <c r="Q17" s="84"/>
      <c r="R17" s="83"/>
      <c r="S17" s="85"/>
      <c r="T17" s="85"/>
      <c r="U17" s="85"/>
      <c r="V17" s="16"/>
      <c r="W17" s="16"/>
      <c r="X17" s="16"/>
      <c r="Y17" s="16"/>
      <c r="Z17" s="16"/>
      <c r="AA17" s="16"/>
      <c r="AB17" s="16"/>
    </row>
    <row r="18" spans="1:29" hidden="1" x14ac:dyDescent="0.2">
      <c r="A18" s="86" t="s">
        <v>18</v>
      </c>
      <c r="B18" s="87" t="s">
        <v>19</v>
      </c>
      <c r="C18" s="88"/>
      <c r="D18" s="89"/>
      <c r="E18" s="90"/>
      <c r="F18" s="90"/>
      <c r="G18" s="90"/>
      <c r="H18" s="91"/>
      <c r="I18" s="90"/>
      <c r="J18" s="92"/>
      <c r="K18" s="93"/>
      <c r="L18" s="94"/>
      <c r="M18" s="83"/>
      <c r="N18" s="8"/>
      <c r="O18" s="8"/>
      <c r="P18" s="84"/>
      <c r="Q18" s="83"/>
      <c r="R18" s="85"/>
      <c r="S18" s="85"/>
      <c r="T18" s="85"/>
      <c r="V18" s="16" t="s">
        <v>20</v>
      </c>
      <c r="W18" s="16"/>
      <c r="X18" s="16"/>
      <c r="Y18" s="16"/>
      <c r="Z18" s="16"/>
      <c r="AA18" s="16"/>
    </row>
    <row r="19" spans="1:29" ht="13.5" hidden="1" thickBot="1" x14ac:dyDescent="0.25">
      <c r="A19" s="95" t="s">
        <v>21</v>
      </c>
      <c r="B19" s="96" t="s">
        <v>22</v>
      </c>
      <c r="C19" s="97"/>
      <c r="D19" s="96" t="s">
        <v>23</v>
      </c>
      <c r="E19" s="96"/>
      <c r="F19" s="96" t="s">
        <v>24</v>
      </c>
      <c r="G19" s="96"/>
      <c r="H19" s="96" t="s">
        <v>25</v>
      </c>
      <c r="I19" s="98"/>
      <c r="J19" s="98"/>
      <c r="K19" s="98"/>
      <c r="L19" s="94"/>
      <c r="M19" s="16"/>
      <c r="O19" s="4"/>
      <c r="S19" s="16"/>
      <c r="U19" s="4"/>
      <c r="V19" s="4" t="s">
        <v>26</v>
      </c>
      <c r="X19" s="99"/>
      <c r="Y19" s="99"/>
      <c r="Z19" s="99"/>
      <c r="AA19" s="99"/>
      <c r="AB19" s="99"/>
      <c r="AC19" s="99"/>
    </row>
    <row r="20" spans="1:29" ht="38.25" hidden="1" customHeight="1" x14ac:dyDescent="0.2">
      <c r="A20" s="295" t="s">
        <v>27</v>
      </c>
      <c r="B20" s="295" t="s">
        <v>28</v>
      </c>
      <c r="C20" s="296" t="s">
        <v>29</v>
      </c>
      <c r="D20" s="296" t="s">
        <v>22</v>
      </c>
      <c r="E20" s="296" t="s">
        <v>23</v>
      </c>
      <c r="F20" s="296" t="s">
        <v>24</v>
      </c>
      <c r="G20" s="296" t="s">
        <v>25</v>
      </c>
      <c r="H20" s="297" t="s">
        <v>12</v>
      </c>
      <c r="I20" s="298" t="s">
        <v>30</v>
      </c>
      <c r="J20" s="298" t="s">
        <v>14</v>
      </c>
      <c r="K20" s="296" t="s">
        <v>15</v>
      </c>
      <c r="L20" s="100"/>
      <c r="M20" s="101"/>
      <c r="N20" s="102" t="s">
        <v>31</v>
      </c>
      <c r="O20" s="103" t="s">
        <v>32</v>
      </c>
      <c r="P20" s="104"/>
      <c r="Q20" s="105"/>
      <c r="R20" s="106"/>
      <c r="S20" s="106"/>
      <c r="T20" s="107"/>
      <c r="V20" s="108"/>
      <c r="W20" s="102" t="s">
        <v>33</v>
      </c>
      <c r="X20" s="103" t="s">
        <v>34</v>
      </c>
      <c r="Y20" s="109"/>
      <c r="Z20" s="109"/>
      <c r="AA20" s="109"/>
      <c r="AB20" s="109"/>
      <c r="AC20" s="110"/>
    </row>
    <row r="21" spans="1:29" ht="12.75" hidden="1" customHeight="1" x14ac:dyDescent="0.2">
      <c r="A21" s="111">
        <f>C7</f>
        <v>10.758000000000001</v>
      </c>
      <c r="B21" s="111">
        <f>E7</f>
        <v>978</v>
      </c>
      <c r="C21" s="112">
        <f>A21/B21</f>
        <v>1.1000000000000001E-2</v>
      </c>
      <c r="D21" s="113">
        <f>2*A21+H21^2</f>
        <v>25.357458820694127</v>
      </c>
      <c r="E21" s="113">
        <f>H21*SQRT((H21^2)+(4*A21*(1-C21)))</f>
        <v>13.350808950303538</v>
      </c>
      <c r="F21" s="114">
        <f>2*(B21+H21^2)</f>
        <v>1963.6829176413883</v>
      </c>
      <c r="G21" s="115" t="s">
        <v>35</v>
      </c>
      <c r="H21" s="116">
        <f>-NORMSINV(2.5/100)</f>
        <v>1.9599639845400538</v>
      </c>
      <c r="I21" s="117">
        <f>C21</f>
        <v>1.1000000000000001E-2</v>
      </c>
      <c r="J21" s="118">
        <f>(D21-E21)/F21</f>
        <v>6.1143526597522034E-3</v>
      </c>
      <c r="K21" s="119">
        <f>(D21+E21)/F21</f>
        <v>1.9712076437213601E-2</v>
      </c>
      <c r="L21" s="100"/>
      <c r="M21" s="120">
        <f>B21</f>
        <v>978</v>
      </c>
      <c r="N21" s="32" t="s">
        <v>36</v>
      </c>
      <c r="O21" s="8"/>
      <c r="P21" s="84"/>
      <c r="Q21" s="83"/>
      <c r="R21" s="85"/>
      <c r="S21" s="85"/>
      <c r="T21" s="121"/>
      <c r="V21" s="122">
        <f>ABS(C21-C22)</f>
        <v>0</v>
      </c>
      <c r="W21" s="32" t="s">
        <v>37</v>
      </c>
      <c r="X21" s="8"/>
      <c r="Y21" s="32"/>
      <c r="Z21" s="32"/>
      <c r="AA21" s="32"/>
      <c r="AB21" s="32"/>
      <c r="AC21" s="123"/>
    </row>
    <row r="22" spans="1:29" hidden="1" x14ac:dyDescent="0.2">
      <c r="A22" s="111">
        <f>C8</f>
        <v>5.4120000000000008</v>
      </c>
      <c r="B22" s="111">
        <f>E8</f>
        <v>492</v>
      </c>
      <c r="C22" s="112">
        <f>A22/B22</f>
        <v>1.1000000000000001E-2</v>
      </c>
      <c r="D22" s="113">
        <f>2*A22+H22^2</f>
        <v>14.665458820694127</v>
      </c>
      <c r="E22" s="113">
        <f>H22*SQRT((H22^2)+(4*A22*(1-C22)))</f>
        <v>9.8489566714155501</v>
      </c>
      <c r="F22" s="114">
        <f>2*(B22+H22^2)</f>
        <v>991.68291764138826</v>
      </c>
      <c r="G22" s="115" t="s">
        <v>35</v>
      </c>
      <c r="H22" s="116">
        <f>-NORMSINV(2.5/100)</f>
        <v>1.9599639845400538</v>
      </c>
      <c r="I22" s="117">
        <f>C22</f>
        <v>1.1000000000000001E-2</v>
      </c>
      <c r="J22" s="118">
        <f>(D22-E22)/F22</f>
        <v>4.8568973646678434E-3</v>
      </c>
      <c r="K22" s="119">
        <f>(D22+E22)/F22</f>
        <v>2.4720013883484646E-2</v>
      </c>
      <c r="L22" s="100"/>
      <c r="M22" s="124">
        <f>I26</f>
        <v>0</v>
      </c>
      <c r="N22" s="32" t="s">
        <v>38</v>
      </c>
      <c r="O22" s="32"/>
      <c r="P22" s="32"/>
      <c r="Q22" s="32"/>
      <c r="R22" s="32"/>
      <c r="S22" s="32"/>
      <c r="T22" s="125"/>
      <c r="V22" s="126">
        <f>SQRT((C23*(1-C23)/B21)+(C23*(1-C23)/B22))</f>
        <v>5.7650247613758587E-3</v>
      </c>
      <c r="W22" s="127" t="s">
        <v>39</v>
      </c>
      <c r="X22" s="32"/>
      <c r="Y22" s="32"/>
      <c r="Z22" s="32"/>
      <c r="AA22" s="32"/>
      <c r="AB22" s="32"/>
      <c r="AC22" s="123"/>
    </row>
    <row r="23" spans="1:29" hidden="1" x14ac:dyDescent="0.2">
      <c r="A23" s="128">
        <f>A21+A22</f>
        <v>16.170000000000002</v>
      </c>
      <c r="B23" s="128">
        <f>B21+B22</f>
        <v>1470</v>
      </c>
      <c r="C23" s="129">
        <f>A23/B23</f>
        <v>1.1000000000000001E-2</v>
      </c>
      <c r="D23" s="130"/>
      <c r="E23" s="130"/>
      <c r="F23" s="131"/>
      <c r="G23" s="41"/>
      <c r="H23" s="132"/>
      <c r="I23" s="133"/>
      <c r="J23" s="133"/>
      <c r="K23" s="133"/>
      <c r="L23" s="100"/>
      <c r="M23" s="134">
        <f>(A21+A22)/(B21+B22)</f>
        <v>1.1000000000000001E-2</v>
      </c>
      <c r="N23" s="32" t="s">
        <v>40</v>
      </c>
      <c r="O23" s="8"/>
      <c r="P23" s="84"/>
      <c r="Q23" s="83"/>
      <c r="R23" s="85"/>
      <c r="S23" s="85"/>
      <c r="T23" s="123"/>
      <c r="V23" s="135">
        <f>V21/V22</f>
        <v>0</v>
      </c>
      <c r="W23" s="32" t="s">
        <v>41</v>
      </c>
      <c r="X23" s="8"/>
      <c r="Y23" s="32"/>
      <c r="Z23" s="32"/>
      <c r="AA23" s="32"/>
      <c r="AB23" s="32"/>
      <c r="AC23" s="123"/>
    </row>
    <row r="24" spans="1:29" hidden="1" x14ac:dyDescent="0.2">
      <c r="A24" s="96"/>
      <c r="B24" s="87" t="s">
        <v>42</v>
      </c>
      <c r="C24" s="96"/>
      <c r="D24" s="96"/>
      <c r="E24" s="90"/>
      <c r="F24" s="90"/>
      <c r="G24" s="90"/>
      <c r="H24" s="91"/>
      <c r="I24" s="90"/>
      <c r="J24" s="92"/>
      <c r="K24" s="96"/>
      <c r="L24" s="100"/>
      <c r="M24" s="136">
        <f>SQRT(M21*M22^2/(2*M23*(1-M23)))-H21</f>
        <v>-1.9599639845400538</v>
      </c>
      <c r="N24" s="32" t="s">
        <v>43</v>
      </c>
      <c r="O24" s="32"/>
      <c r="P24" s="32"/>
      <c r="Q24" s="32"/>
      <c r="R24" s="32"/>
      <c r="S24" s="11"/>
      <c r="T24" s="121"/>
      <c r="V24" s="137">
        <f>NORMSDIST(-V23)</f>
        <v>0.5</v>
      </c>
      <c r="W24" s="82" t="s">
        <v>44</v>
      </c>
      <c r="X24" s="32"/>
      <c r="Y24" s="11"/>
      <c r="Z24" s="11"/>
      <c r="AA24" s="11"/>
      <c r="AB24" s="11"/>
      <c r="AC24" s="125"/>
    </row>
    <row r="25" spans="1:29" ht="13.5" hidden="1" thickBot="1" x14ac:dyDescent="0.25">
      <c r="A25" s="96"/>
      <c r="B25" s="87" t="s">
        <v>45</v>
      </c>
      <c r="C25" s="88"/>
      <c r="D25" s="89"/>
      <c r="E25" s="90"/>
      <c r="F25" s="90"/>
      <c r="I25" s="138"/>
      <c r="J25" s="138"/>
      <c r="K25" s="138"/>
      <c r="L25" s="100"/>
      <c r="M25" s="139">
        <f>NORMSDIST(M24)</f>
        <v>2.5000000000000022E-2</v>
      </c>
      <c r="N25" s="82" t="s">
        <v>46</v>
      </c>
      <c r="O25" s="140"/>
      <c r="P25" s="32"/>
      <c r="Q25" s="32"/>
      <c r="R25" s="32"/>
      <c r="S25" s="32"/>
      <c r="T25" s="123"/>
      <c r="V25" s="141">
        <f>1-V24</f>
        <v>0.5</v>
      </c>
      <c r="W25" s="142" t="s">
        <v>47</v>
      </c>
      <c r="X25" s="140"/>
      <c r="Y25" s="11"/>
      <c r="Z25" s="11"/>
      <c r="AA25" s="11"/>
      <c r="AB25" s="11"/>
      <c r="AC25" s="125"/>
    </row>
    <row r="26" spans="1:29" ht="15" hidden="1" customHeight="1" thickBot="1" x14ac:dyDescent="0.35">
      <c r="A26" s="143" t="s">
        <v>48</v>
      </c>
      <c r="B26" s="144"/>
      <c r="D26" s="88"/>
      <c r="E26" s="145" t="s">
        <v>49</v>
      </c>
      <c r="F26" s="96"/>
      <c r="G26" s="88"/>
      <c r="H26" s="146" t="s">
        <v>50</v>
      </c>
      <c r="I26" s="147">
        <f>C22-C21</f>
        <v>0</v>
      </c>
      <c r="J26" s="148">
        <f>I26+SQRT((C22-J22)^2+(K21-C21)^2)</f>
        <v>1.0660111905420004E-2</v>
      </c>
      <c r="K26" s="149">
        <f>I26-SQRT((C21-J21)^2+(K22-C22)^2)</f>
        <v>-1.4563939401696292E-2</v>
      </c>
      <c r="L26" s="32"/>
      <c r="M26" s="150">
        <f>1-M25</f>
        <v>0.97499999999999998</v>
      </c>
      <c r="N26" s="151" t="s">
        <v>51</v>
      </c>
      <c r="O26" s="152"/>
      <c r="P26" s="153"/>
      <c r="Q26" s="152"/>
      <c r="R26" s="152"/>
      <c r="S26" s="152"/>
      <c r="T26" s="154"/>
      <c r="V26" s="155"/>
      <c r="W26" s="156"/>
      <c r="X26" s="152"/>
      <c r="Y26" s="156"/>
      <c r="Z26" s="156"/>
      <c r="AA26" s="156"/>
      <c r="AB26" s="156"/>
      <c r="AC26" s="157"/>
    </row>
    <row r="27" spans="1:29" ht="13.5" hidden="1" thickBot="1" x14ac:dyDescent="0.25">
      <c r="C27" s="49"/>
      <c r="E27" s="158"/>
      <c r="H27" s="159" t="s">
        <v>52</v>
      </c>
      <c r="I27" s="160" t="e">
        <f>1/I26</f>
        <v>#DIV/0!</v>
      </c>
      <c r="J27" s="161">
        <f>1/J26</f>
        <v>93.807645630020275</v>
      </c>
      <c r="K27" s="162">
        <f>1/K26</f>
        <v>-68.662741063281814</v>
      </c>
      <c r="L27" s="50"/>
      <c r="N27" s="4"/>
      <c r="O27" s="4"/>
      <c r="T27" s="4"/>
      <c r="U27" s="4"/>
      <c r="V27" s="16"/>
      <c r="W27" s="16"/>
      <c r="X27" s="16"/>
      <c r="Y27" s="16"/>
      <c r="Z27" s="16"/>
      <c r="AA27" s="16"/>
      <c r="AB27" s="16"/>
    </row>
    <row r="28" spans="1:29" hidden="1" x14ac:dyDescent="0.2">
      <c r="A28" s="11"/>
      <c r="B28" s="163"/>
      <c r="C28" s="49"/>
      <c r="D28" s="164"/>
      <c r="I28" s="165"/>
      <c r="J28" s="166"/>
      <c r="K28" s="166"/>
      <c r="L28" s="167"/>
      <c r="M28" s="167"/>
      <c r="N28" s="19"/>
      <c r="O28" s="19"/>
      <c r="P28" s="19"/>
      <c r="Q28" s="19"/>
      <c r="R28" s="19"/>
      <c r="S28" s="19"/>
      <c r="T28" s="4"/>
      <c r="U28" s="4"/>
    </row>
    <row r="29" spans="1:29" ht="15.75" hidden="1" x14ac:dyDescent="0.25">
      <c r="A29" s="62"/>
      <c r="B29" s="62"/>
      <c r="C29" s="163"/>
      <c r="D29" s="164"/>
      <c r="E29" s="168"/>
      <c r="F29" s="169"/>
      <c r="G29" s="170" t="s">
        <v>53</v>
      </c>
      <c r="H29" s="171" t="s">
        <v>54</v>
      </c>
      <c r="I29" s="172" t="e">
        <f>I27</f>
        <v>#DIV/0!</v>
      </c>
      <c r="J29" s="172">
        <f>J27</f>
        <v>93.807645630020275</v>
      </c>
      <c r="K29" s="172">
        <f>K27</f>
        <v>-68.662741063281814</v>
      </c>
      <c r="L29" s="55"/>
      <c r="T29" s="4"/>
      <c r="U29" s="4"/>
    </row>
    <row r="30" spans="1:29" s="11" customFormat="1" hidden="1" x14ac:dyDescent="0.2">
      <c r="A30" s="44"/>
      <c r="B30" s="164"/>
      <c r="C30" s="164"/>
      <c r="D30" s="173"/>
      <c r="E30" s="174"/>
      <c r="F30" s="175"/>
      <c r="G30" s="176"/>
      <c r="H30" s="177" t="s">
        <v>55</v>
      </c>
      <c r="I30" s="178" t="e">
        <f>(1-C22)*I27</f>
        <v>#DIV/0!</v>
      </c>
      <c r="J30" s="178">
        <f>(1-C22)*J27</f>
        <v>92.775761528090058</v>
      </c>
      <c r="K30" s="178">
        <f>(1-C22)*K27</f>
        <v>-67.907450911585713</v>
      </c>
      <c r="L30" s="4"/>
      <c r="M30" s="4"/>
      <c r="N30" s="16"/>
      <c r="O30" s="16"/>
      <c r="P30" s="4"/>
      <c r="Q30" s="4"/>
      <c r="R30" s="4"/>
      <c r="S30" s="4"/>
    </row>
    <row r="31" spans="1:29" s="11" customFormat="1" hidden="1" x14ac:dyDescent="0.2">
      <c r="B31" s="163"/>
      <c r="C31" s="163"/>
      <c r="D31" s="163"/>
      <c r="E31" s="179"/>
      <c r="F31" s="180"/>
      <c r="G31" s="181"/>
      <c r="H31" s="182" t="s">
        <v>56</v>
      </c>
      <c r="I31" s="183" t="e">
        <f>I27*I26</f>
        <v>#DIV/0!</v>
      </c>
      <c r="J31" s="183">
        <f>J27*J26</f>
        <v>1</v>
      </c>
      <c r="K31" s="183">
        <f>K27*K26</f>
        <v>1</v>
      </c>
    </row>
    <row r="32" spans="1:29" s="11" customFormat="1" hidden="1" x14ac:dyDescent="0.2">
      <c r="A32" s="59"/>
      <c r="B32" s="184"/>
      <c r="D32" s="59"/>
      <c r="F32" s="185"/>
      <c r="G32" s="186"/>
      <c r="H32" s="187" t="s">
        <v>57</v>
      </c>
      <c r="I32" s="188" t="e">
        <f>(C22-I26)*I27</f>
        <v>#DIV/0!</v>
      </c>
      <c r="J32" s="188">
        <f>(C22-J26)*J27</f>
        <v>3.188410193022314E-2</v>
      </c>
      <c r="K32" s="188">
        <f>(C22-K26)*K27</f>
        <v>-1.7552901516961001</v>
      </c>
    </row>
    <row r="33" spans="1:21" s="11" customFormat="1" hidden="1" x14ac:dyDescent="0.2">
      <c r="A33" s="59"/>
      <c r="F33" s="189"/>
      <c r="G33" s="189"/>
      <c r="H33" s="189"/>
      <c r="I33" s="190"/>
      <c r="J33" s="190"/>
      <c r="K33" s="190"/>
    </row>
    <row r="34" spans="1:21" s="11" customFormat="1" ht="15.75" hidden="1" x14ac:dyDescent="0.25">
      <c r="E34" s="191"/>
      <c r="F34" s="192"/>
      <c r="G34" s="170" t="s">
        <v>58</v>
      </c>
      <c r="H34" s="171" t="s">
        <v>59</v>
      </c>
      <c r="I34" s="172" t="e">
        <f>ABS(I27)</f>
        <v>#DIV/0!</v>
      </c>
      <c r="J34" s="172">
        <f>ABS(K27)</f>
        <v>68.662741063281814</v>
      </c>
      <c r="K34" s="172">
        <f>ABS(J27)</f>
        <v>93.807645630020275</v>
      </c>
      <c r="M34" s="193"/>
      <c r="N34" s="193"/>
      <c r="O34" s="194"/>
      <c r="P34" s="195"/>
    </row>
    <row r="35" spans="1:21" s="11" customFormat="1" ht="13.5" hidden="1" customHeight="1" x14ac:dyDescent="0.2">
      <c r="F35" s="196"/>
      <c r="G35" s="197"/>
      <c r="H35" s="198" t="s">
        <v>55</v>
      </c>
      <c r="I35" s="178" t="e">
        <f>ABS((1-(C22-I26))*I27)</f>
        <v>#DIV/0!</v>
      </c>
      <c r="J35" s="178">
        <f>ABS((1-(C22-K26))*K27)</f>
        <v>66.907450911585713</v>
      </c>
      <c r="K35" s="178">
        <f>ABS((1-(C22-J26))*J27)</f>
        <v>93.775761528090058</v>
      </c>
      <c r="M35" s="193"/>
      <c r="N35" s="193"/>
      <c r="O35" s="193"/>
      <c r="P35" s="195"/>
    </row>
    <row r="36" spans="1:21" s="11" customFormat="1" hidden="1" x14ac:dyDescent="0.2">
      <c r="E36" s="199"/>
      <c r="F36" s="200"/>
      <c r="G36" s="201"/>
      <c r="H36" s="202" t="s">
        <v>60</v>
      </c>
      <c r="I36" s="203" t="e">
        <f>I27*I26</f>
        <v>#DIV/0!</v>
      </c>
      <c r="J36" s="204">
        <f>K27*K26</f>
        <v>1</v>
      </c>
      <c r="K36" s="204">
        <f>J27*J26</f>
        <v>1</v>
      </c>
    </row>
    <row r="37" spans="1:21" ht="15.75" hidden="1" x14ac:dyDescent="0.25">
      <c r="A37" s="205" t="s">
        <v>61</v>
      </c>
      <c r="B37" s="206"/>
      <c r="C37" s="206"/>
      <c r="D37" s="206"/>
      <c r="E37" s="189"/>
      <c r="F37" s="207"/>
      <c r="G37" s="208"/>
      <c r="H37" s="209" t="s">
        <v>62</v>
      </c>
      <c r="I37" s="188" t="e">
        <f>ABS(C22*I27)</f>
        <v>#DIV/0!</v>
      </c>
      <c r="J37" s="188">
        <f>ABS(C22*K27)</f>
        <v>0.75529015169610003</v>
      </c>
      <c r="K37" s="188">
        <f>ABS(C22*J27)</f>
        <v>1.0318841019302232</v>
      </c>
      <c r="M37" s="11"/>
      <c r="N37" s="11"/>
      <c r="O37" s="11"/>
      <c r="P37" s="11"/>
      <c r="Q37" s="11"/>
      <c r="T37" s="4"/>
      <c r="U37" s="4"/>
    </row>
    <row r="38" spans="1:21" s="16" customFormat="1" hidden="1" x14ac:dyDescent="0.2">
      <c r="A38" s="4"/>
      <c r="B38" s="210" t="s">
        <v>3</v>
      </c>
      <c r="C38" s="211" t="s">
        <v>4</v>
      </c>
      <c r="D38" s="32"/>
      <c r="E38" s="189"/>
      <c r="F38" s="189"/>
      <c r="G38" s="212"/>
      <c r="H38" s="213"/>
      <c r="I38" s="214"/>
      <c r="J38" s="214"/>
      <c r="K38" s="214"/>
      <c r="M38" s="11"/>
      <c r="N38" s="11"/>
      <c r="O38" s="11"/>
      <c r="P38" s="11"/>
      <c r="Q38" s="11"/>
    </row>
    <row r="39" spans="1:21" hidden="1" x14ac:dyDescent="0.2">
      <c r="A39" s="215" t="s">
        <v>63</v>
      </c>
      <c r="B39" s="216" t="s">
        <v>5</v>
      </c>
      <c r="C39" s="217" t="s">
        <v>6</v>
      </c>
      <c r="D39" s="218" t="s">
        <v>7</v>
      </c>
      <c r="M39" s="11"/>
      <c r="N39" s="11"/>
      <c r="O39" s="11"/>
      <c r="P39" s="11"/>
      <c r="Q39" s="11"/>
      <c r="T39" s="4"/>
      <c r="U39" s="4"/>
    </row>
    <row r="40" spans="1:21" hidden="1" x14ac:dyDescent="0.2">
      <c r="A40" s="219" t="s">
        <v>64</v>
      </c>
      <c r="B40" s="220">
        <f>E7*C9/E9</f>
        <v>10.758000000000001</v>
      </c>
      <c r="C40" s="220">
        <f>E7*D9/E9</f>
        <v>967.24199999999996</v>
      </c>
      <c r="D40" s="220">
        <f>E7</f>
        <v>978</v>
      </c>
      <c r="F40" s="221"/>
      <c r="G40" s="222" t="s">
        <v>65</v>
      </c>
      <c r="H40" s="223">
        <f>CHIINV(0.05,J41)</f>
        <v>3.8414588206941236</v>
      </c>
      <c r="M40" s="11"/>
      <c r="N40" s="193"/>
      <c r="O40" s="193"/>
      <c r="P40" s="193"/>
      <c r="Q40" s="11"/>
      <c r="T40" s="4"/>
      <c r="U40" s="4"/>
    </row>
    <row r="41" spans="1:21" hidden="1" x14ac:dyDescent="0.2">
      <c r="A41" s="224" t="s">
        <v>66</v>
      </c>
      <c r="B41" s="220">
        <f>E8*C9/E9</f>
        <v>5.4120000000000008</v>
      </c>
      <c r="C41" s="220">
        <f>E8*D9/E9</f>
        <v>486.58799999999997</v>
      </c>
      <c r="D41" s="220">
        <f>E8</f>
        <v>492</v>
      </c>
      <c r="E41" s="16"/>
      <c r="F41" s="225"/>
      <c r="G41" s="225"/>
      <c r="H41" s="169"/>
      <c r="I41" s="226" t="s">
        <v>67</v>
      </c>
      <c r="J41" s="227">
        <f>(COUNT(B40:C40)-1)*(COUNT(B40:B41)-1)</f>
        <v>1</v>
      </c>
      <c r="N41" s="193"/>
      <c r="O41" s="193"/>
      <c r="P41" s="193"/>
      <c r="Q41" s="11"/>
      <c r="T41" s="4"/>
      <c r="U41" s="4"/>
    </row>
    <row r="42" spans="1:21" hidden="1" x14ac:dyDescent="0.2">
      <c r="A42" s="88" t="s">
        <v>68</v>
      </c>
      <c r="B42" s="220">
        <f>SUM(B40:B41)</f>
        <v>16.170000000000002</v>
      </c>
      <c r="C42" s="220">
        <f>SUM(C40:C41)</f>
        <v>1453.83</v>
      </c>
      <c r="D42" s="228">
        <f>SUM(D40:D41)</f>
        <v>1470</v>
      </c>
      <c r="E42" s="16"/>
      <c r="F42" s="16"/>
      <c r="G42" s="229" t="s">
        <v>69</v>
      </c>
      <c r="H42" s="32" t="s">
        <v>70</v>
      </c>
      <c r="N42" s="193"/>
      <c r="O42" s="194"/>
      <c r="P42" s="193"/>
      <c r="Q42" s="11"/>
      <c r="T42" s="4"/>
      <c r="U42" s="4"/>
    </row>
    <row r="43" spans="1:21" hidden="1" x14ac:dyDescent="0.2">
      <c r="A43" s="88"/>
      <c r="B43" s="230"/>
      <c r="C43" s="230"/>
      <c r="D43" s="231"/>
      <c r="E43" s="16"/>
      <c r="F43" s="16"/>
      <c r="G43" s="229" t="s">
        <v>71</v>
      </c>
      <c r="H43" s="32" t="s">
        <v>72</v>
      </c>
      <c r="N43" s="195"/>
      <c r="O43" s="195"/>
      <c r="P43" s="195"/>
      <c r="Q43" s="11"/>
      <c r="T43" s="4"/>
      <c r="U43" s="4"/>
    </row>
    <row r="44" spans="1:21" ht="26.25" hidden="1" customHeight="1" x14ac:dyDescent="0.2">
      <c r="A44" s="232"/>
      <c r="B44" s="572" t="s">
        <v>73</v>
      </c>
      <c r="C44" s="573"/>
      <c r="F44" s="88"/>
      <c r="G44" s="233"/>
      <c r="H44" s="96"/>
      <c r="N44" s="4"/>
      <c r="O44" s="4"/>
      <c r="T44" s="4"/>
      <c r="U44" s="4"/>
    </row>
    <row r="45" spans="1:21" hidden="1" x14ac:dyDescent="0.2">
      <c r="A45" s="232"/>
      <c r="B45" s="234">
        <f>(C7-B40)^2/B40</f>
        <v>0</v>
      </c>
      <c r="C45" s="234">
        <f>(D7-C40)^2/C40</f>
        <v>0</v>
      </c>
      <c r="E45" s="215"/>
      <c r="F45" s="235"/>
      <c r="I45" s="11"/>
      <c r="J45" s="11"/>
      <c r="K45" s="236"/>
      <c r="N45" s="4"/>
      <c r="O45" s="4"/>
      <c r="T45" s="4"/>
      <c r="U45" s="4"/>
    </row>
    <row r="46" spans="1:21" hidden="1" x14ac:dyDescent="0.2">
      <c r="A46" s="232"/>
      <c r="B46" s="234">
        <f>(C8-B41)^2/B41</f>
        <v>0</v>
      </c>
      <c r="C46" s="234">
        <f>(D8-C41)^2/C41</f>
        <v>6.6404725718374977E-30</v>
      </c>
      <c r="D46" s="24"/>
      <c r="E46" s="237" t="s">
        <v>74</v>
      </c>
      <c r="F46" s="238">
        <f>B48-H40</f>
        <v>-3.8414588206941236</v>
      </c>
      <c r="I46" s="11"/>
      <c r="J46" s="11"/>
      <c r="N46" s="4"/>
      <c r="O46" s="4"/>
      <c r="T46" s="4"/>
      <c r="U46" s="4"/>
    </row>
    <row r="47" spans="1:21" ht="13.5" hidden="1" thickBot="1" x14ac:dyDescent="0.25">
      <c r="A47" s="32" t="s">
        <v>75</v>
      </c>
      <c r="C47" s="239"/>
      <c r="F47" s="96" t="s">
        <v>76</v>
      </c>
      <c r="I47" s="11"/>
      <c r="J47" s="11"/>
      <c r="N47" s="4"/>
      <c r="O47" s="4"/>
      <c r="T47" s="4"/>
      <c r="U47" s="4"/>
    </row>
    <row r="48" spans="1:21" ht="13.5" hidden="1" customHeight="1" thickBot="1" x14ac:dyDescent="0.25">
      <c r="A48" s="240" t="s">
        <v>77</v>
      </c>
      <c r="B48" s="241">
        <f>SUM(B45:C46)</f>
        <v>6.6404725718374977E-30</v>
      </c>
      <c r="C48" s="32"/>
      <c r="F48" s="96" t="s">
        <v>78</v>
      </c>
      <c r="H48" s="242"/>
      <c r="I48" s="11"/>
      <c r="J48" s="11"/>
      <c r="K48" s="243"/>
      <c r="N48" s="4"/>
      <c r="O48" s="4"/>
      <c r="T48" s="4"/>
      <c r="U48" s="4"/>
    </row>
    <row r="49" spans="1:21" ht="13.5" hidden="1" thickBot="1" x14ac:dyDescent="0.25">
      <c r="A49" s="244" t="s">
        <v>79</v>
      </c>
      <c r="B49" s="245">
        <f>CHIDIST(B48,1)</f>
        <v>0.99999999999999789</v>
      </c>
      <c r="D49" s="32"/>
      <c r="E49" s="32"/>
      <c r="F49" s="32"/>
      <c r="G49" s="246"/>
      <c r="H49" s="32"/>
      <c r="I49" s="11"/>
      <c r="J49" s="11"/>
      <c r="K49" s="32"/>
      <c r="N49" s="4"/>
      <c r="O49" s="4"/>
      <c r="T49" s="4"/>
      <c r="U49" s="4"/>
    </row>
    <row r="50" spans="1:21" s="11" customFormat="1" hidden="1" x14ac:dyDescent="0.2">
      <c r="D50" s="247"/>
      <c r="E50" s="247"/>
      <c r="H50" s="248"/>
    </row>
    <row r="51" spans="1:21" hidden="1" x14ac:dyDescent="0.2">
      <c r="I51" s="11"/>
      <c r="J51" s="11"/>
      <c r="N51" s="4"/>
      <c r="O51" s="4"/>
      <c r="T51" s="4"/>
      <c r="U51" s="4"/>
    </row>
    <row r="52" spans="1:21" ht="13.5" hidden="1" thickBot="1" x14ac:dyDescent="0.25">
      <c r="F52" s="165"/>
      <c r="I52" s="11"/>
      <c r="J52" s="11"/>
      <c r="N52" s="4"/>
      <c r="O52" s="4"/>
      <c r="T52" s="4"/>
      <c r="U52" s="4"/>
    </row>
    <row r="53" spans="1:21" ht="13.5" hidden="1" thickBot="1" x14ac:dyDescent="0.25">
      <c r="A53" s="249" t="s">
        <v>80</v>
      </c>
      <c r="B53" s="250"/>
      <c r="C53" s="250"/>
      <c r="D53" s="251" t="s">
        <v>81</v>
      </c>
      <c r="E53" s="251" t="s">
        <v>82</v>
      </c>
      <c r="F53" s="251" t="s">
        <v>83</v>
      </c>
      <c r="G53" s="110"/>
      <c r="I53" s="11"/>
      <c r="J53" s="11"/>
      <c r="N53" s="4"/>
      <c r="O53" s="4"/>
      <c r="T53" s="4"/>
      <c r="U53" s="4"/>
    </row>
    <row r="54" spans="1:21" hidden="1" x14ac:dyDescent="0.2">
      <c r="A54" s="252" t="s">
        <v>84</v>
      </c>
      <c r="B54" s="253">
        <f>ROUND(E7,0)</f>
        <v>978</v>
      </c>
      <c r="C54" s="253">
        <f>ROUND(E8,0)</f>
        <v>492</v>
      </c>
      <c r="D54" s="254">
        <f>ROUND(F14,2)</f>
        <v>1</v>
      </c>
      <c r="E54" s="255">
        <f>ROUND(I26,4)</f>
        <v>0</v>
      </c>
      <c r="F54" s="256" t="e">
        <f>ROUND(I27,0)</f>
        <v>#DIV/0!</v>
      </c>
      <c r="G54" s="123"/>
      <c r="I54" s="11"/>
      <c r="J54" s="11"/>
      <c r="N54" s="4"/>
      <c r="O54" s="4"/>
      <c r="T54" s="4"/>
      <c r="U54" s="4"/>
    </row>
    <row r="55" spans="1:21" hidden="1" x14ac:dyDescent="0.2">
      <c r="A55" s="257" t="s">
        <v>85</v>
      </c>
      <c r="B55" s="253">
        <f>ROUND(C7,0)</f>
        <v>11</v>
      </c>
      <c r="C55" s="253">
        <f>ROUND(C8,0)</f>
        <v>5</v>
      </c>
      <c r="D55" s="254">
        <f>ROUND(G14,2)</f>
        <v>0.36</v>
      </c>
      <c r="E55" s="255">
        <f>ROUND(K26,4)</f>
        <v>-1.46E-2</v>
      </c>
      <c r="F55" s="256">
        <f>ROUND(J27,0)</f>
        <v>94</v>
      </c>
      <c r="G55" s="123"/>
      <c r="I55" s="11"/>
      <c r="J55" s="11"/>
      <c r="N55" s="4"/>
      <c r="O55" s="4"/>
      <c r="T55" s="4"/>
      <c r="U55" s="4"/>
    </row>
    <row r="56" spans="1:21" s="16" customFormat="1" hidden="1" x14ac:dyDescent="0.2">
      <c r="A56" s="257" t="s">
        <v>86</v>
      </c>
      <c r="B56" s="255">
        <f>ROUND(C21,4)</f>
        <v>1.0999999999999999E-2</v>
      </c>
      <c r="C56" s="255">
        <f>ROUND(C22,4)</f>
        <v>1.0999999999999999E-2</v>
      </c>
      <c r="D56" s="254">
        <f>ROUND(H14,2)</f>
        <v>2.79</v>
      </c>
      <c r="E56" s="255">
        <f>ROUND(J26,4)</f>
        <v>1.0699999999999999E-2</v>
      </c>
      <c r="F56" s="256">
        <f>ROUND(K27,0)</f>
        <v>-69</v>
      </c>
      <c r="G56" s="258">
        <f>ROUND(M25,4)</f>
        <v>2.5000000000000001E-2</v>
      </c>
      <c r="I56" s="259"/>
      <c r="J56" s="11"/>
    </row>
    <row r="57" spans="1:21" hidden="1" x14ac:dyDescent="0.2">
      <c r="A57" s="257" t="s">
        <v>87</v>
      </c>
      <c r="B57" s="260" t="s">
        <v>88</v>
      </c>
      <c r="C57" s="260" t="s">
        <v>89</v>
      </c>
      <c r="D57" s="260" t="s">
        <v>13</v>
      </c>
      <c r="E57" s="260" t="s">
        <v>90</v>
      </c>
      <c r="F57" s="261" t="s">
        <v>91</v>
      </c>
      <c r="G57" s="262" t="s">
        <v>92</v>
      </c>
      <c r="I57" s="259"/>
      <c r="J57" s="11"/>
    </row>
    <row r="58" spans="1:21" hidden="1" x14ac:dyDescent="0.2">
      <c r="A58" s="263" t="s">
        <v>93</v>
      </c>
      <c r="B58" s="264" t="str">
        <f>CONCATENATE(B55,A59,B54," ",A54,B56*100,A57,A56)</f>
        <v>11/978 (1,1%)</v>
      </c>
      <c r="C58" s="264" t="str">
        <f>CONCATENATE(C55,A59,C54," ",A54,C56*100,A57,A56)</f>
        <v>5/492 (1,1%)</v>
      </c>
      <c r="D58" s="264" t="str">
        <f>CONCATENATE(D54," ",A54,D55,A55,D56,A56)</f>
        <v>1 (0,36-2,79)</v>
      </c>
      <c r="E58" s="264" t="str">
        <f>CONCATENATE(E54*100,A57," ",A54,E55*100,A57," ",A58," ",E56*100,A57,A56)</f>
        <v>0% (-1,46% a 1,07%)</v>
      </c>
      <c r="F58" s="264" t="e">
        <f>CONCATENATE(F54," ",A54,F55," ",A58," ",F56,A56)</f>
        <v>#DIV/0!</v>
      </c>
      <c r="G58" s="262" t="str">
        <f>CONCATENATE(G56*100,A57)</f>
        <v>2,5%</v>
      </c>
      <c r="I58" s="11"/>
      <c r="J58" s="11"/>
      <c r="N58" s="4"/>
      <c r="O58" s="4"/>
      <c r="T58" s="4"/>
      <c r="U58" s="4"/>
    </row>
    <row r="59" spans="1:21" ht="13.5" hidden="1" thickBot="1" x14ac:dyDescent="0.25">
      <c r="A59" s="265" t="s">
        <v>94</v>
      </c>
      <c r="B59" s="266"/>
      <c r="C59" s="266"/>
      <c r="D59" s="266"/>
      <c r="E59" s="266"/>
      <c r="F59" s="266"/>
      <c r="G59" s="267"/>
      <c r="I59" s="11"/>
      <c r="J59" s="11"/>
      <c r="N59" s="4"/>
      <c r="O59" s="4"/>
      <c r="T59" s="4"/>
      <c r="U59" s="4"/>
    </row>
    <row r="60" spans="1:21" x14ac:dyDescent="0.2">
      <c r="K60" s="11"/>
      <c r="N60" s="4"/>
      <c r="O60" s="4"/>
      <c r="T60" s="4"/>
      <c r="U60" s="4"/>
    </row>
    <row r="61" spans="1:21" ht="27" customHeight="1" x14ac:dyDescent="0.2">
      <c r="B61" s="268" t="s">
        <v>88</v>
      </c>
      <c r="C61" s="268" t="s">
        <v>89</v>
      </c>
      <c r="D61" s="269" t="s">
        <v>95</v>
      </c>
      <c r="E61" s="269" t="s">
        <v>96</v>
      </c>
      <c r="F61" s="269" t="s">
        <v>97</v>
      </c>
      <c r="G61" s="269" t="s">
        <v>98</v>
      </c>
      <c r="H61" s="270"/>
      <c r="I61" s="269" t="s">
        <v>99</v>
      </c>
      <c r="K61" s="271"/>
      <c r="N61" s="4"/>
      <c r="O61" s="4"/>
      <c r="T61" s="4"/>
      <c r="U61" s="4"/>
    </row>
    <row r="62" spans="1:21" ht="21" customHeight="1" x14ac:dyDescent="0.2">
      <c r="B62" s="272" t="str">
        <f t="shared" ref="B62:G62" si="0">B58</f>
        <v>11/978 (1,1%)</v>
      </c>
      <c r="C62" s="272" t="str">
        <f t="shared" si="0"/>
        <v>5/492 (1,1%)</v>
      </c>
      <c r="D62" s="272" t="str">
        <f t="shared" si="0"/>
        <v>1 (0,36-2,79)</v>
      </c>
      <c r="E62" s="272" t="str">
        <f t="shared" si="0"/>
        <v>0% (-1,46% a 1,07%)</v>
      </c>
      <c r="F62" s="272" t="e">
        <f t="shared" si="0"/>
        <v>#DIV/0!</v>
      </c>
      <c r="G62" s="272" t="str">
        <f t="shared" si="0"/>
        <v>2,5%</v>
      </c>
      <c r="H62" s="273"/>
      <c r="I62" s="274">
        <f>B49</f>
        <v>0.99999999999999789</v>
      </c>
      <c r="K62" s="275"/>
      <c r="N62" s="4"/>
      <c r="O62" s="4"/>
      <c r="T62" s="4"/>
      <c r="U62" s="4"/>
    </row>
    <row r="63" spans="1:21" ht="13.5" thickBot="1" x14ac:dyDescent="0.25"/>
    <row r="64" spans="1:21" ht="21.75" customHeight="1" thickBot="1" x14ac:dyDescent="0.25">
      <c r="A64" s="583" t="s">
        <v>155</v>
      </c>
      <c r="B64" s="584"/>
      <c r="C64" s="584"/>
      <c r="D64" s="584"/>
      <c r="E64" s="584"/>
      <c r="F64" s="584"/>
      <c r="G64" s="585"/>
    </row>
    <row r="65" spans="1:9" ht="18.75" customHeight="1" thickBot="1" x14ac:dyDescent="0.25">
      <c r="A65" s="581"/>
      <c r="B65" s="574" t="s">
        <v>157</v>
      </c>
      <c r="C65" s="576" t="s">
        <v>158</v>
      </c>
      <c r="D65" s="578" t="s">
        <v>110</v>
      </c>
      <c r="E65" s="579"/>
      <c r="F65" s="579"/>
      <c r="G65" s="580"/>
      <c r="H65" s="276"/>
      <c r="I65" s="276"/>
    </row>
    <row r="66" spans="1:9" ht="21.75" customHeight="1" thickBot="1" x14ac:dyDescent="0.25">
      <c r="A66" s="582"/>
      <c r="B66" s="575"/>
      <c r="C66" s="577"/>
      <c r="D66" s="309" t="s">
        <v>95</v>
      </c>
      <c r="E66" s="310" t="s">
        <v>96</v>
      </c>
      <c r="F66" s="311" t="s">
        <v>97</v>
      </c>
      <c r="G66" s="312" t="s">
        <v>98</v>
      </c>
      <c r="H66" s="276"/>
      <c r="I66" s="276"/>
    </row>
    <row r="67" spans="1:9" ht="5.0999999999999996" customHeight="1" x14ac:dyDescent="0.2">
      <c r="A67" s="313"/>
      <c r="B67" s="314"/>
      <c r="C67" s="314"/>
      <c r="D67" s="315"/>
      <c r="E67" s="316"/>
      <c r="F67" s="315"/>
      <c r="G67" s="317"/>
      <c r="H67" s="276"/>
      <c r="I67" s="276"/>
    </row>
    <row r="68" spans="1:9" ht="13.5" thickBot="1" x14ac:dyDescent="0.25">
      <c r="A68" s="318" t="s">
        <v>111</v>
      </c>
      <c r="B68" s="319"/>
      <c r="C68" s="319"/>
      <c r="D68" s="320"/>
      <c r="E68" s="321"/>
      <c r="F68" s="320"/>
      <c r="G68" s="322"/>
      <c r="H68" s="308"/>
      <c r="I68" s="276"/>
    </row>
    <row r="69" spans="1:9" ht="27.75" customHeight="1" x14ac:dyDescent="0.2">
      <c r="A69" s="323" t="s">
        <v>118</v>
      </c>
      <c r="B69" s="324" t="s">
        <v>113</v>
      </c>
      <c r="C69" s="324" t="s">
        <v>114</v>
      </c>
      <c r="D69" s="324" t="s">
        <v>115</v>
      </c>
      <c r="E69" s="325" t="s">
        <v>116</v>
      </c>
      <c r="F69" s="324" t="s">
        <v>117</v>
      </c>
      <c r="G69" s="326">
        <v>0.27379999999999999</v>
      </c>
      <c r="H69" s="276"/>
      <c r="I69" s="276"/>
    </row>
    <row r="70" spans="1:9" ht="18.95" customHeight="1" x14ac:dyDescent="0.2">
      <c r="A70" s="327" t="s">
        <v>323</v>
      </c>
      <c r="B70" s="328" t="s">
        <v>119</v>
      </c>
      <c r="C70" s="328" t="s">
        <v>120</v>
      </c>
      <c r="D70" s="329" t="s">
        <v>156</v>
      </c>
      <c r="E70" s="328" t="s">
        <v>121</v>
      </c>
      <c r="F70" s="328" t="s">
        <v>122</v>
      </c>
      <c r="G70" s="330">
        <v>0.23169999999999999</v>
      </c>
      <c r="H70" s="276"/>
      <c r="I70" s="276"/>
    </row>
    <row r="71" spans="1:9" ht="18.95" customHeight="1" x14ac:dyDescent="0.2">
      <c r="A71" s="327" t="s">
        <v>324</v>
      </c>
      <c r="B71" s="328" t="s">
        <v>123</v>
      </c>
      <c r="C71" s="328" t="s">
        <v>124</v>
      </c>
      <c r="D71" s="329" t="s">
        <v>156</v>
      </c>
      <c r="E71" s="331" t="s">
        <v>125</v>
      </c>
      <c r="F71" s="329" t="s">
        <v>126</v>
      </c>
      <c r="G71" s="330">
        <v>0.68389999999999995</v>
      </c>
      <c r="H71" s="276"/>
      <c r="I71" s="276"/>
    </row>
    <row r="72" spans="1:9" ht="18.95" customHeight="1" x14ac:dyDescent="0.2">
      <c r="A72" s="327" t="s">
        <v>325</v>
      </c>
      <c r="B72" s="328" t="s">
        <v>127</v>
      </c>
      <c r="C72" s="328" t="s">
        <v>128</v>
      </c>
      <c r="D72" s="328" t="s">
        <v>129</v>
      </c>
      <c r="E72" s="332" t="s">
        <v>130</v>
      </c>
      <c r="F72" s="328" t="s">
        <v>131</v>
      </c>
      <c r="G72" s="330">
        <v>8.7900000000000006E-2</v>
      </c>
      <c r="H72" s="276"/>
      <c r="I72" s="276"/>
    </row>
    <row r="73" spans="1:9" ht="5.0999999999999996" customHeight="1" x14ac:dyDescent="0.2">
      <c r="A73" s="336"/>
      <c r="B73" s="320"/>
      <c r="C73" s="320"/>
      <c r="D73" s="320"/>
      <c r="E73" s="320"/>
      <c r="F73" s="320"/>
      <c r="G73" s="320"/>
      <c r="H73" s="276"/>
      <c r="I73" s="276"/>
    </row>
    <row r="74" spans="1:9" ht="15" customHeight="1" thickBot="1" x14ac:dyDescent="0.25">
      <c r="A74" s="337" t="s">
        <v>112</v>
      </c>
      <c r="B74" s="338"/>
      <c r="C74" s="338"/>
      <c r="D74" s="338"/>
      <c r="E74" s="338"/>
      <c r="F74" s="338"/>
      <c r="G74" s="338"/>
      <c r="H74" s="276"/>
      <c r="I74" s="276"/>
    </row>
    <row r="75" spans="1:9" ht="18.95" customHeight="1" x14ac:dyDescent="0.2">
      <c r="A75" s="339" t="s">
        <v>327</v>
      </c>
      <c r="B75" s="324" t="s">
        <v>140</v>
      </c>
      <c r="C75" s="324" t="s">
        <v>141</v>
      </c>
      <c r="D75" s="324" t="s">
        <v>142</v>
      </c>
      <c r="E75" s="325" t="s">
        <v>143</v>
      </c>
      <c r="F75" s="324" t="s">
        <v>144</v>
      </c>
      <c r="G75" s="326">
        <v>7.7299999999999994E-2</v>
      </c>
      <c r="H75" s="307"/>
    </row>
    <row r="76" spans="1:9" ht="18.95" customHeight="1" x14ac:dyDescent="0.2">
      <c r="A76" s="327" t="s">
        <v>328</v>
      </c>
      <c r="B76" s="328" t="s">
        <v>127</v>
      </c>
      <c r="C76" s="328" t="s">
        <v>124</v>
      </c>
      <c r="D76" s="328" t="s">
        <v>145</v>
      </c>
      <c r="E76" s="328" t="s">
        <v>146</v>
      </c>
      <c r="F76" s="328" t="s">
        <v>147</v>
      </c>
      <c r="G76" s="330">
        <v>0.31950000000000001</v>
      </c>
      <c r="H76" s="307"/>
    </row>
    <row r="77" spans="1:9" ht="18.95" customHeight="1" thickBot="1" x14ac:dyDescent="0.25">
      <c r="A77" s="333" t="s">
        <v>151</v>
      </c>
      <c r="B77" s="334" t="s">
        <v>132</v>
      </c>
      <c r="C77" s="334" t="s">
        <v>128</v>
      </c>
      <c r="D77" s="334" t="s">
        <v>152</v>
      </c>
      <c r="E77" s="334" t="s">
        <v>153</v>
      </c>
      <c r="F77" s="334" t="s">
        <v>154</v>
      </c>
      <c r="G77" s="335">
        <v>0.1193</v>
      </c>
      <c r="H77" s="307"/>
    </row>
    <row r="78" spans="1:9" ht="6.75" customHeight="1" x14ac:dyDescent="0.2">
      <c r="A78" s="338"/>
      <c r="B78" s="338"/>
      <c r="C78" s="338"/>
      <c r="D78" s="338"/>
      <c r="E78" s="338"/>
      <c r="F78" s="338"/>
      <c r="G78" s="338"/>
    </row>
    <row r="79" spans="1:9" ht="19.5" customHeight="1" thickBot="1" x14ac:dyDescent="0.25">
      <c r="A79" s="337" t="s">
        <v>330</v>
      </c>
      <c r="B79" s="338"/>
      <c r="C79" s="338"/>
      <c r="D79" s="338"/>
      <c r="E79" s="338"/>
      <c r="F79" s="338"/>
      <c r="G79" s="338"/>
    </row>
    <row r="80" spans="1:9" ht="18.95" customHeight="1" x14ac:dyDescent="0.2">
      <c r="A80" s="339" t="s">
        <v>309</v>
      </c>
      <c r="B80" s="324" t="s">
        <v>132</v>
      </c>
      <c r="C80" s="324" t="s">
        <v>124</v>
      </c>
      <c r="D80" s="324" t="s">
        <v>133</v>
      </c>
      <c r="E80" s="324" t="s">
        <v>134</v>
      </c>
      <c r="F80" s="324" t="s">
        <v>135</v>
      </c>
      <c r="G80" s="340">
        <v>2.5499999999999998E-2</v>
      </c>
    </row>
    <row r="81" spans="1:9" ht="18.95" customHeight="1" thickBot="1" x14ac:dyDescent="0.25">
      <c r="A81" s="461" t="s">
        <v>329</v>
      </c>
      <c r="B81" s="334" t="s">
        <v>113</v>
      </c>
      <c r="C81" s="334" t="s">
        <v>136</v>
      </c>
      <c r="D81" s="334" t="s">
        <v>137</v>
      </c>
      <c r="E81" s="334" t="s">
        <v>138</v>
      </c>
      <c r="F81" s="334" t="s">
        <v>139</v>
      </c>
      <c r="G81" s="335">
        <v>4.8099999999999997E-2</v>
      </c>
      <c r="H81" s="276"/>
      <c r="I81" s="276"/>
    </row>
    <row r="82" spans="1:9" ht="6.75" customHeight="1" x14ac:dyDescent="0.2">
      <c r="A82" s="464"/>
      <c r="B82" s="320"/>
      <c r="C82" s="320"/>
      <c r="D82" s="320"/>
      <c r="E82" s="320"/>
      <c r="F82" s="320"/>
      <c r="G82" s="322"/>
      <c r="H82" s="276"/>
      <c r="I82" s="276"/>
    </row>
    <row r="83" spans="1:9" ht="15" customHeight="1" thickBot="1" x14ac:dyDescent="0.25">
      <c r="A83" s="56" t="s">
        <v>206</v>
      </c>
    </row>
    <row r="84" spans="1:9" ht="21" customHeight="1" x14ac:dyDescent="0.2">
      <c r="A84" s="323" t="s">
        <v>320</v>
      </c>
      <c r="B84" s="566">
        <v>8.7999999999999995E-2</v>
      </c>
      <c r="C84" s="567"/>
      <c r="D84" s="465"/>
      <c r="E84" s="465"/>
      <c r="F84" s="465"/>
      <c r="G84" s="466"/>
    </row>
    <row r="85" spans="1:9" ht="27.75" customHeight="1" thickBot="1" x14ac:dyDescent="0.25">
      <c r="A85" s="461" t="s">
        <v>360</v>
      </c>
      <c r="B85" s="334" t="s">
        <v>355</v>
      </c>
      <c r="C85" s="334" t="s">
        <v>356</v>
      </c>
      <c r="D85" s="467" t="s">
        <v>357</v>
      </c>
      <c r="E85" s="334" t="s">
        <v>358</v>
      </c>
      <c r="F85" s="467" t="s">
        <v>156</v>
      </c>
      <c r="G85" s="335" t="s">
        <v>359</v>
      </c>
      <c r="H85" s="307"/>
    </row>
  </sheetData>
  <mergeCells count="9">
    <mergeCell ref="B84:C84"/>
    <mergeCell ref="A2:I2"/>
    <mergeCell ref="A3:I3"/>
    <mergeCell ref="B44:C44"/>
    <mergeCell ref="B65:B66"/>
    <mergeCell ref="C65:C66"/>
    <mergeCell ref="D65:G65"/>
    <mergeCell ref="A65:A66"/>
    <mergeCell ref="A64:G64"/>
  </mergeCells>
  <pageMargins left="0.7" right="0.7" top="0.75" bottom="0.75" header="0.3" footer="0.3"/>
  <pageSetup paperSize="9" orientation="portrait" horizontalDpi="0" verticalDpi="0" r:id="rId1"/>
  <ignoredErrors>
    <ignoredError sqref="G8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9"/>
  <sheetViews>
    <sheetView topLeftCell="A73" workbookViewId="0">
      <selection activeCell="G86" sqref="G86:G89"/>
    </sheetView>
  </sheetViews>
  <sheetFormatPr baseColWidth="10" defaultRowHeight="12.75" x14ac:dyDescent="0.2"/>
  <cols>
    <col min="1" max="1" width="29.42578125" style="4" customWidth="1"/>
    <col min="2" max="2" width="20.85546875" style="4" customWidth="1"/>
    <col min="3" max="3" width="21.28515625" style="4" customWidth="1"/>
    <col min="4" max="4" width="16" style="4" customWidth="1"/>
    <col min="5" max="5" width="23.5703125" style="4" customWidth="1"/>
    <col min="6" max="6" width="19.5703125" style="4" customWidth="1"/>
    <col min="7" max="7" width="14.140625" style="4" customWidth="1"/>
    <col min="8" max="8" width="9.5703125" style="4" customWidth="1"/>
    <col min="9" max="9" width="14.42578125" style="4" customWidth="1"/>
    <col min="10" max="10" width="16.140625" style="4" customWidth="1"/>
    <col min="11" max="11" width="14.42578125" style="4" customWidth="1"/>
    <col min="12" max="12" width="13.42578125" style="4" customWidth="1"/>
    <col min="13" max="13" width="14.7109375" style="4" customWidth="1"/>
    <col min="14" max="15" width="14.28515625" style="16" customWidth="1"/>
    <col min="16" max="16" width="14" style="4" customWidth="1"/>
    <col min="17" max="17" width="11.5703125" style="4" customWidth="1"/>
    <col min="18" max="18" width="13.85546875" style="4" customWidth="1"/>
    <col min="19" max="19" width="11.42578125" style="4"/>
    <col min="20" max="21" width="11.42578125" style="16"/>
    <col min="22" max="256" width="11.42578125" style="4"/>
    <col min="257" max="258" width="20.42578125" style="4" customWidth="1"/>
    <col min="259" max="259" width="21.28515625" style="4" customWidth="1"/>
    <col min="260" max="260" width="16" style="4" customWidth="1"/>
    <col min="261" max="261" width="23.5703125" style="4" customWidth="1"/>
    <col min="262" max="262" width="19.5703125" style="4" customWidth="1"/>
    <col min="263" max="263" width="14.140625" style="4" customWidth="1"/>
    <col min="264" max="264" width="9.5703125" style="4" customWidth="1"/>
    <col min="265" max="265" width="14.42578125" style="4" customWidth="1"/>
    <col min="266" max="266" width="16.140625" style="4" customWidth="1"/>
    <col min="267" max="267" width="14.42578125" style="4" customWidth="1"/>
    <col min="268" max="268" width="13.42578125" style="4" customWidth="1"/>
    <col min="269" max="269" width="14.7109375" style="4" customWidth="1"/>
    <col min="270" max="271" width="14.28515625" style="4" customWidth="1"/>
    <col min="272" max="272" width="14" style="4" customWidth="1"/>
    <col min="273" max="273" width="11.5703125" style="4" customWidth="1"/>
    <col min="274" max="274" width="13.85546875" style="4" customWidth="1"/>
    <col min="275" max="512" width="11.42578125" style="4"/>
    <col min="513" max="514" width="20.42578125" style="4" customWidth="1"/>
    <col min="515" max="515" width="21.28515625" style="4" customWidth="1"/>
    <col min="516" max="516" width="16" style="4" customWidth="1"/>
    <col min="517" max="517" width="23.5703125" style="4" customWidth="1"/>
    <col min="518" max="518" width="19.5703125" style="4" customWidth="1"/>
    <col min="519" max="519" width="14.140625" style="4" customWidth="1"/>
    <col min="520" max="520" width="9.5703125" style="4" customWidth="1"/>
    <col min="521" max="521" width="14.42578125" style="4" customWidth="1"/>
    <col min="522" max="522" width="16.140625" style="4" customWidth="1"/>
    <col min="523" max="523" width="14.42578125" style="4" customWidth="1"/>
    <col min="524" max="524" width="13.42578125" style="4" customWidth="1"/>
    <col min="525" max="525" width="14.7109375" style="4" customWidth="1"/>
    <col min="526" max="527" width="14.28515625" style="4" customWidth="1"/>
    <col min="528" max="528" width="14" style="4" customWidth="1"/>
    <col min="529" max="529" width="11.5703125" style="4" customWidth="1"/>
    <col min="530" max="530" width="13.85546875" style="4" customWidth="1"/>
    <col min="531" max="768" width="11.42578125" style="4"/>
    <col min="769" max="770" width="20.42578125" style="4" customWidth="1"/>
    <col min="771" max="771" width="21.28515625" style="4" customWidth="1"/>
    <col min="772" max="772" width="16" style="4" customWidth="1"/>
    <col min="773" max="773" width="23.5703125" style="4" customWidth="1"/>
    <col min="774" max="774" width="19.5703125" style="4" customWidth="1"/>
    <col min="775" max="775" width="14.140625" style="4" customWidth="1"/>
    <col min="776" max="776" width="9.5703125" style="4" customWidth="1"/>
    <col min="777" max="777" width="14.42578125" style="4" customWidth="1"/>
    <col min="778" max="778" width="16.140625" style="4" customWidth="1"/>
    <col min="779" max="779" width="14.42578125" style="4" customWidth="1"/>
    <col min="780" max="780" width="13.42578125" style="4" customWidth="1"/>
    <col min="781" max="781" width="14.7109375" style="4" customWidth="1"/>
    <col min="782" max="783" width="14.28515625" style="4" customWidth="1"/>
    <col min="784" max="784" width="14" style="4" customWidth="1"/>
    <col min="785" max="785" width="11.5703125" style="4" customWidth="1"/>
    <col min="786" max="786" width="13.85546875" style="4" customWidth="1"/>
    <col min="787" max="1024" width="11.42578125" style="4"/>
    <col min="1025" max="1026" width="20.42578125" style="4" customWidth="1"/>
    <col min="1027" max="1027" width="21.28515625" style="4" customWidth="1"/>
    <col min="1028" max="1028" width="16" style="4" customWidth="1"/>
    <col min="1029" max="1029" width="23.5703125" style="4" customWidth="1"/>
    <col min="1030" max="1030" width="19.5703125" style="4" customWidth="1"/>
    <col min="1031" max="1031" width="14.140625" style="4" customWidth="1"/>
    <col min="1032" max="1032" width="9.5703125" style="4" customWidth="1"/>
    <col min="1033" max="1033" width="14.42578125" style="4" customWidth="1"/>
    <col min="1034" max="1034" width="16.140625" style="4" customWidth="1"/>
    <col min="1035" max="1035" width="14.42578125" style="4" customWidth="1"/>
    <col min="1036" max="1036" width="13.42578125" style="4" customWidth="1"/>
    <col min="1037" max="1037" width="14.7109375" style="4" customWidth="1"/>
    <col min="1038" max="1039" width="14.28515625" style="4" customWidth="1"/>
    <col min="1040" max="1040" width="14" style="4" customWidth="1"/>
    <col min="1041" max="1041" width="11.5703125" style="4" customWidth="1"/>
    <col min="1042" max="1042" width="13.85546875" style="4" customWidth="1"/>
    <col min="1043" max="1280" width="11.42578125" style="4"/>
    <col min="1281" max="1282" width="20.42578125" style="4" customWidth="1"/>
    <col min="1283" max="1283" width="21.28515625" style="4" customWidth="1"/>
    <col min="1284" max="1284" width="16" style="4" customWidth="1"/>
    <col min="1285" max="1285" width="23.5703125" style="4" customWidth="1"/>
    <col min="1286" max="1286" width="19.5703125" style="4" customWidth="1"/>
    <col min="1287" max="1287" width="14.140625" style="4" customWidth="1"/>
    <col min="1288" max="1288" width="9.5703125" style="4" customWidth="1"/>
    <col min="1289" max="1289" width="14.42578125" style="4" customWidth="1"/>
    <col min="1290" max="1290" width="16.140625" style="4" customWidth="1"/>
    <col min="1291" max="1291" width="14.42578125" style="4" customWidth="1"/>
    <col min="1292" max="1292" width="13.42578125" style="4" customWidth="1"/>
    <col min="1293" max="1293" width="14.7109375" style="4" customWidth="1"/>
    <col min="1294" max="1295" width="14.28515625" style="4" customWidth="1"/>
    <col min="1296" max="1296" width="14" style="4" customWidth="1"/>
    <col min="1297" max="1297" width="11.5703125" style="4" customWidth="1"/>
    <col min="1298" max="1298" width="13.85546875" style="4" customWidth="1"/>
    <col min="1299" max="1536" width="11.42578125" style="4"/>
    <col min="1537" max="1538" width="20.42578125" style="4" customWidth="1"/>
    <col min="1539" max="1539" width="21.28515625" style="4" customWidth="1"/>
    <col min="1540" max="1540" width="16" style="4" customWidth="1"/>
    <col min="1541" max="1541" width="23.5703125" style="4" customWidth="1"/>
    <col min="1542" max="1542" width="19.5703125" style="4" customWidth="1"/>
    <col min="1543" max="1543" width="14.140625" style="4" customWidth="1"/>
    <col min="1544" max="1544" width="9.5703125" style="4" customWidth="1"/>
    <col min="1545" max="1545" width="14.42578125" style="4" customWidth="1"/>
    <col min="1546" max="1546" width="16.140625" style="4" customWidth="1"/>
    <col min="1547" max="1547" width="14.42578125" style="4" customWidth="1"/>
    <col min="1548" max="1548" width="13.42578125" style="4" customWidth="1"/>
    <col min="1549" max="1549" width="14.7109375" style="4" customWidth="1"/>
    <col min="1550" max="1551" width="14.28515625" style="4" customWidth="1"/>
    <col min="1552" max="1552" width="14" style="4" customWidth="1"/>
    <col min="1553" max="1553" width="11.5703125" style="4" customWidth="1"/>
    <col min="1554" max="1554" width="13.85546875" style="4" customWidth="1"/>
    <col min="1555" max="1792" width="11.42578125" style="4"/>
    <col min="1793" max="1794" width="20.42578125" style="4" customWidth="1"/>
    <col min="1795" max="1795" width="21.28515625" style="4" customWidth="1"/>
    <col min="1796" max="1796" width="16" style="4" customWidth="1"/>
    <col min="1797" max="1797" width="23.5703125" style="4" customWidth="1"/>
    <col min="1798" max="1798" width="19.5703125" style="4" customWidth="1"/>
    <col min="1799" max="1799" width="14.140625" style="4" customWidth="1"/>
    <col min="1800" max="1800" width="9.5703125" style="4" customWidth="1"/>
    <col min="1801" max="1801" width="14.42578125" style="4" customWidth="1"/>
    <col min="1802" max="1802" width="16.140625" style="4" customWidth="1"/>
    <col min="1803" max="1803" width="14.42578125" style="4" customWidth="1"/>
    <col min="1804" max="1804" width="13.42578125" style="4" customWidth="1"/>
    <col min="1805" max="1805" width="14.7109375" style="4" customWidth="1"/>
    <col min="1806" max="1807" width="14.28515625" style="4" customWidth="1"/>
    <col min="1808" max="1808" width="14" style="4" customWidth="1"/>
    <col min="1809" max="1809" width="11.5703125" style="4" customWidth="1"/>
    <col min="1810" max="1810" width="13.85546875" style="4" customWidth="1"/>
    <col min="1811" max="2048" width="11.42578125" style="4"/>
    <col min="2049" max="2050" width="20.42578125" style="4" customWidth="1"/>
    <col min="2051" max="2051" width="21.28515625" style="4" customWidth="1"/>
    <col min="2052" max="2052" width="16" style="4" customWidth="1"/>
    <col min="2053" max="2053" width="23.5703125" style="4" customWidth="1"/>
    <col min="2054" max="2054" width="19.5703125" style="4" customWidth="1"/>
    <col min="2055" max="2055" width="14.140625" style="4" customWidth="1"/>
    <col min="2056" max="2056" width="9.5703125" style="4" customWidth="1"/>
    <col min="2057" max="2057" width="14.42578125" style="4" customWidth="1"/>
    <col min="2058" max="2058" width="16.140625" style="4" customWidth="1"/>
    <col min="2059" max="2059" width="14.42578125" style="4" customWidth="1"/>
    <col min="2060" max="2060" width="13.42578125" style="4" customWidth="1"/>
    <col min="2061" max="2061" width="14.7109375" style="4" customWidth="1"/>
    <col min="2062" max="2063" width="14.28515625" style="4" customWidth="1"/>
    <col min="2064" max="2064" width="14" style="4" customWidth="1"/>
    <col min="2065" max="2065" width="11.5703125" style="4" customWidth="1"/>
    <col min="2066" max="2066" width="13.85546875" style="4" customWidth="1"/>
    <col min="2067" max="2304" width="11.42578125" style="4"/>
    <col min="2305" max="2306" width="20.42578125" style="4" customWidth="1"/>
    <col min="2307" max="2307" width="21.28515625" style="4" customWidth="1"/>
    <col min="2308" max="2308" width="16" style="4" customWidth="1"/>
    <col min="2309" max="2309" width="23.5703125" style="4" customWidth="1"/>
    <col min="2310" max="2310" width="19.5703125" style="4" customWidth="1"/>
    <col min="2311" max="2311" width="14.140625" style="4" customWidth="1"/>
    <col min="2312" max="2312" width="9.5703125" style="4" customWidth="1"/>
    <col min="2313" max="2313" width="14.42578125" style="4" customWidth="1"/>
    <col min="2314" max="2314" width="16.140625" style="4" customWidth="1"/>
    <col min="2315" max="2315" width="14.42578125" style="4" customWidth="1"/>
    <col min="2316" max="2316" width="13.42578125" style="4" customWidth="1"/>
    <col min="2317" max="2317" width="14.7109375" style="4" customWidth="1"/>
    <col min="2318" max="2319" width="14.28515625" style="4" customWidth="1"/>
    <col min="2320" max="2320" width="14" style="4" customWidth="1"/>
    <col min="2321" max="2321" width="11.5703125" style="4" customWidth="1"/>
    <col min="2322" max="2322" width="13.85546875" style="4" customWidth="1"/>
    <col min="2323" max="2560" width="11.42578125" style="4"/>
    <col min="2561" max="2562" width="20.42578125" style="4" customWidth="1"/>
    <col min="2563" max="2563" width="21.28515625" style="4" customWidth="1"/>
    <col min="2564" max="2564" width="16" style="4" customWidth="1"/>
    <col min="2565" max="2565" width="23.5703125" style="4" customWidth="1"/>
    <col min="2566" max="2566" width="19.5703125" style="4" customWidth="1"/>
    <col min="2567" max="2567" width="14.140625" style="4" customWidth="1"/>
    <col min="2568" max="2568" width="9.5703125" style="4" customWidth="1"/>
    <col min="2569" max="2569" width="14.42578125" style="4" customWidth="1"/>
    <col min="2570" max="2570" width="16.140625" style="4" customWidth="1"/>
    <col min="2571" max="2571" width="14.42578125" style="4" customWidth="1"/>
    <col min="2572" max="2572" width="13.42578125" style="4" customWidth="1"/>
    <col min="2573" max="2573" width="14.7109375" style="4" customWidth="1"/>
    <col min="2574" max="2575" width="14.28515625" style="4" customWidth="1"/>
    <col min="2576" max="2576" width="14" style="4" customWidth="1"/>
    <col min="2577" max="2577" width="11.5703125" style="4" customWidth="1"/>
    <col min="2578" max="2578" width="13.85546875" style="4" customWidth="1"/>
    <col min="2579" max="2816" width="11.42578125" style="4"/>
    <col min="2817" max="2818" width="20.42578125" style="4" customWidth="1"/>
    <col min="2819" max="2819" width="21.28515625" style="4" customWidth="1"/>
    <col min="2820" max="2820" width="16" style="4" customWidth="1"/>
    <col min="2821" max="2821" width="23.5703125" style="4" customWidth="1"/>
    <col min="2822" max="2822" width="19.5703125" style="4" customWidth="1"/>
    <col min="2823" max="2823" width="14.140625" style="4" customWidth="1"/>
    <col min="2824" max="2824" width="9.5703125" style="4" customWidth="1"/>
    <col min="2825" max="2825" width="14.42578125" style="4" customWidth="1"/>
    <col min="2826" max="2826" width="16.140625" style="4" customWidth="1"/>
    <col min="2827" max="2827" width="14.42578125" style="4" customWidth="1"/>
    <col min="2828" max="2828" width="13.42578125" style="4" customWidth="1"/>
    <col min="2829" max="2829" width="14.7109375" style="4" customWidth="1"/>
    <col min="2830" max="2831" width="14.28515625" style="4" customWidth="1"/>
    <col min="2832" max="2832" width="14" style="4" customWidth="1"/>
    <col min="2833" max="2833" width="11.5703125" style="4" customWidth="1"/>
    <col min="2834" max="2834" width="13.85546875" style="4" customWidth="1"/>
    <col min="2835" max="3072" width="11.42578125" style="4"/>
    <col min="3073" max="3074" width="20.42578125" style="4" customWidth="1"/>
    <col min="3075" max="3075" width="21.28515625" style="4" customWidth="1"/>
    <col min="3076" max="3076" width="16" style="4" customWidth="1"/>
    <col min="3077" max="3077" width="23.5703125" style="4" customWidth="1"/>
    <col min="3078" max="3078" width="19.5703125" style="4" customWidth="1"/>
    <col min="3079" max="3079" width="14.140625" style="4" customWidth="1"/>
    <col min="3080" max="3080" width="9.5703125" style="4" customWidth="1"/>
    <col min="3081" max="3081" width="14.42578125" style="4" customWidth="1"/>
    <col min="3082" max="3082" width="16.140625" style="4" customWidth="1"/>
    <col min="3083" max="3083" width="14.42578125" style="4" customWidth="1"/>
    <col min="3084" max="3084" width="13.42578125" style="4" customWidth="1"/>
    <col min="3085" max="3085" width="14.7109375" style="4" customWidth="1"/>
    <col min="3086" max="3087" width="14.28515625" style="4" customWidth="1"/>
    <col min="3088" max="3088" width="14" style="4" customWidth="1"/>
    <col min="3089" max="3089" width="11.5703125" style="4" customWidth="1"/>
    <col min="3090" max="3090" width="13.85546875" style="4" customWidth="1"/>
    <col min="3091" max="3328" width="11.42578125" style="4"/>
    <col min="3329" max="3330" width="20.42578125" style="4" customWidth="1"/>
    <col min="3331" max="3331" width="21.28515625" style="4" customWidth="1"/>
    <col min="3332" max="3332" width="16" style="4" customWidth="1"/>
    <col min="3333" max="3333" width="23.5703125" style="4" customWidth="1"/>
    <col min="3334" max="3334" width="19.5703125" style="4" customWidth="1"/>
    <col min="3335" max="3335" width="14.140625" style="4" customWidth="1"/>
    <col min="3336" max="3336" width="9.5703125" style="4" customWidth="1"/>
    <col min="3337" max="3337" width="14.42578125" style="4" customWidth="1"/>
    <col min="3338" max="3338" width="16.140625" style="4" customWidth="1"/>
    <col min="3339" max="3339" width="14.42578125" style="4" customWidth="1"/>
    <col min="3340" max="3340" width="13.42578125" style="4" customWidth="1"/>
    <col min="3341" max="3341" width="14.7109375" style="4" customWidth="1"/>
    <col min="3342" max="3343" width="14.28515625" style="4" customWidth="1"/>
    <col min="3344" max="3344" width="14" style="4" customWidth="1"/>
    <col min="3345" max="3345" width="11.5703125" style="4" customWidth="1"/>
    <col min="3346" max="3346" width="13.85546875" style="4" customWidth="1"/>
    <col min="3347" max="3584" width="11.42578125" style="4"/>
    <col min="3585" max="3586" width="20.42578125" style="4" customWidth="1"/>
    <col min="3587" max="3587" width="21.28515625" style="4" customWidth="1"/>
    <col min="3588" max="3588" width="16" style="4" customWidth="1"/>
    <col min="3589" max="3589" width="23.5703125" style="4" customWidth="1"/>
    <col min="3590" max="3590" width="19.5703125" style="4" customWidth="1"/>
    <col min="3591" max="3591" width="14.140625" style="4" customWidth="1"/>
    <col min="3592" max="3592" width="9.5703125" style="4" customWidth="1"/>
    <col min="3593" max="3593" width="14.42578125" style="4" customWidth="1"/>
    <col min="3594" max="3594" width="16.140625" style="4" customWidth="1"/>
    <col min="3595" max="3595" width="14.42578125" style="4" customWidth="1"/>
    <col min="3596" max="3596" width="13.42578125" style="4" customWidth="1"/>
    <col min="3597" max="3597" width="14.7109375" style="4" customWidth="1"/>
    <col min="3598" max="3599" width="14.28515625" style="4" customWidth="1"/>
    <col min="3600" max="3600" width="14" style="4" customWidth="1"/>
    <col min="3601" max="3601" width="11.5703125" style="4" customWidth="1"/>
    <col min="3602" max="3602" width="13.85546875" style="4" customWidth="1"/>
    <col min="3603" max="3840" width="11.42578125" style="4"/>
    <col min="3841" max="3842" width="20.42578125" style="4" customWidth="1"/>
    <col min="3843" max="3843" width="21.28515625" style="4" customWidth="1"/>
    <col min="3844" max="3844" width="16" style="4" customWidth="1"/>
    <col min="3845" max="3845" width="23.5703125" style="4" customWidth="1"/>
    <col min="3846" max="3846" width="19.5703125" style="4" customWidth="1"/>
    <col min="3847" max="3847" width="14.140625" style="4" customWidth="1"/>
    <col min="3848" max="3848" width="9.5703125" style="4" customWidth="1"/>
    <col min="3849" max="3849" width="14.42578125" style="4" customWidth="1"/>
    <col min="3850" max="3850" width="16.140625" style="4" customWidth="1"/>
    <col min="3851" max="3851" width="14.42578125" style="4" customWidth="1"/>
    <col min="3852" max="3852" width="13.42578125" style="4" customWidth="1"/>
    <col min="3853" max="3853" width="14.7109375" style="4" customWidth="1"/>
    <col min="3854" max="3855" width="14.28515625" style="4" customWidth="1"/>
    <col min="3856" max="3856" width="14" style="4" customWidth="1"/>
    <col min="3857" max="3857" width="11.5703125" style="4" customWidth="1"/>
    <col min="3858" max="3858" width="13.85546875" style="4" customWidth="1"/>
    <col min="3859" max="4096" width="11.42578125" style="4"/>
    <col min="4097" max="4098" width="20.42578125" style="4" customWidth="1"/>
    <col min="4099" max="4099" width="21.28515625" style="4" customWidth="1"/>
    <col min="4100" max="4100" width="16" style="4" customWidth="1"/>
    <col min="4101" max="4101" width="23.5703125" style="4" customWidth="1"/>
    <col min="4102" max="4102" width="19.5703125" style="4" customWidth="1"/>
    <col min="4103" max="4103" width="14.140625" style="4" customWidth="1"/>
    <col min="4104" max="4104" width="9.5703125" style="4" customWidth="1"/>
    <col min="4105" max="4105" width="14.42578125" style="4" customWidth="1"/>
    <col min="4106" max="4106" width="16.140625" style="4" customWidth="1"/>
    <col min="4107" max="4107" width="14.42578125" style="4" customWidth="1"/>
    <col min="4108" max="4108" width="13.42578125" style="4" customWidth="1"/>
    <col min="4109" max="4109" width="14.7109375" style="4" customWidth="1"/>
    <col min="4110" max="4111" width="14.28515625" style="4" customWidth="1"/>
    <col min="4112" max="4112" width="14" style="4" customWidth="1"/>
    <col min="4113" max="4113" width="11.5703125" style="4" customWidth="1"/>
    <col min="4114" max="4114" width="13.85546875" style="4" customWidth="1"/>
    <col min="4115" max="4352" width="11.42578125" style="4"/>
    <col min="4353" max="4354" width="20.42578125" style="4" customWidth="1"/>
    <col min="4355" max="4355" width="21.28515625" style="4" customWidth="1"/>
    <col min="4356" max="4356" width="16" style="4" customWidth="1"/>
    <col min="4357" max="4357" width="23.5703125" style="4" customWidth="1"/>
    <col min="4358" max="4358" width="19.5703125" style="4" customWidth="1"/>
    <col min="4359" max="4359" width="14.140625" style="4" customWidth="1"/>
    <col min="4360" max="4360" width="9.5703125" style="4" customWidth="1"/>
    <col min="4361" max="4361" width="14.42578125" style="4" customWidth="1"/>
    <col min="4362" max="4362" width="16.140625" style="4" customWidth="1"/>
    <col min="4363" max="4363" width="14.42578125" style="4" customWidth="1"/>
    <col min="4364" max="4364" width="13.42578125" style="4" customWidth="1"/>
    <col min="4365" max="4365" width="14.7109375" style="4" customWidth="1"/>
    <col min="4366" max="4367" width="14.28515625" style="4" customWidth="1"/>
    <col min="4368" max="4368" width="14" style="4" customWidth="1"/>
    <col min="4369" max="4369" width="11.5703125" style="4" customWidth="1"/>
    <col min="4370" max="4370" width="13.85546875" style="4" customWidth="1"/>
    <col min="4371" max="4608" width="11.42578125" style="4"/>
    <col min="4609" max="4610" width="20.42578125" style="4" customWidth="1"/>
    <col min="4611" max="4611" width="21.28515625" style="4" customWidth="1"/>
    <col min="4612" max="4612" width="16" style="4" customWidth="1"/>
    <col min="4613" max="4613" width="23.5703125" style="4" customWidth="1"/>
    <col min="4614" max="4614" width="19.5703125" style="4" customWidth="1"/>
    <col min="4615" max="4615" width="14.140625" style="4" customWidth="1"/>
    <col min="4616" max="4616" width="9.5703125" style="4" customWidth="1"/>
    <col min="4617" max="4617" width="14.42578125" style="4" customWidth="1"/>
    <col min="4618" max="4618" width="16.140625" style="4" customWidth="1"/>
    <col min="4619" max="4619" width="14.42578125" style="4" customWidth="1"/>
    <col min="4620" max="4620" width="13.42578125" style="4" customWidth="1"/>
    <col min="4621" max="4621" width="14.7109375" style="4" customWidth="1"/>
    <col min="4622" max="4623" width="14.28515625" style="4" customWidth="1"/>
    <col min="4624" max="4624" width="14" style="4" customWidth="1"/>
    <col min="4625" max="4625" width="11.5703125" style="4" customWidth="1"/>
    <col min="4626" max="4626" width="13.85546875" style="4" customWidth="1"/>
    <col min="4627" max="4864" width="11.42578125" style="4"/>
    <col min="4865" max="4866" width="20.42578125" style="4" customWidth="1"/>
    <col min="4867" max="4867" width="21.28515625" style="4" customWidth="1"/>
    <col min="4868" max="4868" width="16" style="4" customWidth="1"/>
    <col min="4869" max="4869" width="23.5703125" style="4" customWidth="1"/>
    <col min="4870" max="4870" width="19.5703125" style="4" customWidth="1"/>
    <col min="4871" max="4871" width="14.140625" style="4" customWidth="1"/>
    <col min="4872" max="4872" width="9.5703125" style="4" customWidth="1"/>
    <col min="4873" max="4873" width="14.42578125" style="4" customWidth="1"/>
    <col min="4874" max="4874" width="16.140625" style="4" customWidth="1"/>
    <col min="4875" max="4875" width="14.42578125" style="4" customWidth="1"/>
    <col min="4876" max="4876" width="13.42578125" style="4" customWidth="1"/>
    <col min="4877" max="4877" width="14.7109375" style="4" customWidth="1"/>
    <col min="4878" max="4879" width="14.28515625" style="4" customWidth="1"/>
    <col min="4880" max="4880" width="14" style="4" customWidth="1"/>
    <col min="4881" max="4881" width="11.5703125" style="4" customWidth="1"/>
    <col min="4882" max="4882" width="13.85546875" style="4" customWidth="1"/>
    <col min="4883" max="5120" width="11.42578125" style="4"/>
    <col min="5121" max="5122" width="20.42578125" style="4" customWidth="1"/>
    <col min="5123" max="5123" width="21.28515625" style="4" customWidth="1"/>
    <col min="5124" max="5124" width="16" style="4" customWidth="1"/>
    <col min="5125" max="5125" width="23.5703125" style="4" customWidth="1"/>
    <col min="5126" max="5126" width="19.5703125" style="4" customWidth="1"/>
    <col min="5127" max="5127" width="14.140625" style="4" customWidth="1"/>
    <col min="5128" max="5128" width="9.5703125" style="4" customWidth="1"/>
    <col min="5129" max="5129" width="14.42578125" style="4" customWidth="1"/>
    <col min="5130" max="5130" width="16.140625" style="4" customWidth="1"/>
    <col min="5131" max="5131" width="14.42578125" style="4" customWidth="1"/>
    <col min="5132" max="5132" width="13.42578125" style="4" customWidth="1"/>
    <col min="5133" max="5133" width="14.7109375" style="4" customWidth="1"/>
    <col min="5134" max="5135" width="14.28515625" style="4" customWidth="1"/>
    <col min="5136" max="5136" width="14" style="4" customWidth="1"/>
    <col min="5137" max="5137" width="11.5703125" style="4" customWidth="1"/>
    <col min="5138" max="5138" width="13.85546875" style="4" customWidth="1"/>
    <col min="5139" max="5376" width="11.42578125" style="4"/>
    <col min="5377" max="5378" width="20.42578125" style="4" customWidth="1"/>
    <col min="5379" max="5379" width="21.28515625" style="4" customWidth="1"/>
    <col min="5380" max="5380" width="16" style="4" customWidth="1"/>
    <col min="5381" max="5381" width="23.5703125" style="4" customWidth="1"/>
    <col min="5382" max="5382" width="19.5703125" style="4" customWidth="1"/>
    <col min="5383" max="5383" width="14.140625" style="4" customWidth="1"/>
    <col min="5384" max="5384" width="9.5703125" style="4" customWidth="1"/>
    <col min="5385" max="5385" width="14.42578125" style="4" customWidth="1"/>
    <col min="5386" max="5386" width="16.140625" style="4" customWidth="1"/>
    <col min="5387" max="5387" width="14.42578125" style="4" customWidth="1"/>
    <col min="5388" max="5388" width="13.42578125" style="4" customWidth="1"/>
    <col min="5389" max="5389" width="14.7109375" style="4" customWidth="1"/>
    <col min="5390" max="5391" width="14.28515625" style="4" customWidth="1"/>
    <col min="5392" max="5392" width="14" style="4" customWidth="1"/>
    <col min="5393" max="5393" width="11.5703125" style="4" customWidth="1"/>
    <col min="5394" max="5394" width="13.85546875" style="4" customWidth="1"/>
    <col min="5395" max="5632" width="11.42578125" style="4"/>
    <col min="5633" max="5634" width="20.42578125" style="4" customWidth="1"/>
    <col min="5635" max="5635" width="21.28515625" style="4" customWidth="1"/>
    <col min="5636" max="5636" width="16" style="4" customWidth="1"/>
    <col min="5637" max="5637" width="23.5703125" style="4" customWidth="1"/>
    <col min="5638" max="5638" width="19.5703125" style="4" customWidth="1"/>
    <col min="5639" max="5639" width="14.140625" style="4" customWidth="1"/>
    <col min="5640" max="5640" width="9.5703125" style="4" customWidth="1"/>
    <col min="5641" max="5641" width="14.42578125" style="4" customWidth="1"/>
    <col min="5642" max="5642" width="16.140625" style="4" customWidth="1"/>
    <col min="5643" max="5643" width="14.42578125" style="4" customWidth="1"/>
    <col min="5644" max="5644" width="13.42578125" style="4" customWidth="1"/>
    <col min="5645" max="5645" width="14.7109375" style="4" customWidth="1"/>
    <col min="5646" max="5647" width="14.28515625" style="4" customWidth="1"/>
    <col min="5648" max="5648" width="14" style="4" customWidth="1"/>
    <col min="5649" max="5649" width="11.5703125" style="4" customWidth="1"/>
    <col min="5650" max="5650" width="13.85546875" style="4" customWidth="1"/>
    <col min="5651" max="5888" width="11.42578125" style="4"/>
    <col min="5889" max="5890" width="20.42578125" style="4" customWidth="1"/>
    <col min="5891" max="5891" width="21.28515625" style="4" customWidth="1"/>
    <col min="5892" max="5892" width="16" style="4" customWidth="1"/>
    <col min="5893" max="5893" width="23.5703125" style="4" customWidth="1"/>
    <col min="5894" max="5894" width="19.5703125" style="4" customWidth="1"/>
    <col min="5895" max="5895" width="14.140625" style="4" customWidth="1"/>
    <col min="5896" max="5896" width="9.5703125" style="4" customWidth="1"/>
    <col min="5897" max="5897" width="14.42578125" style="4" customWidth="1"/>
    <col min="5898" max="5898" width="16.140625" style="4" customWidth="1"/>
    <col min="5899" max="5899" width="14.42578125" style="4" customWidth="1"/>
    <col min="5900" max="5900" width="13.42578125" style="4" customWidth="1"/>
    <col min="5901" max="5901" width="14.7109375" style="4" customWidth="1"/>
    <col min="5902" max="5903" width="14.28515625" style="4" customWidth="1"/>
    <col min="5904" max="5904" width="14" style="4" customWidth="1"/>
    <col min="5905" max="5905" width="11.5703125" style="4" customWidth="1"/>
    <col min="5906" max="5906" width="13.85546875" style="4" customWidth="1"/>
    <col min="5907" max="6144" width="11.42578125" style="4"/>
    <col min="6145" max="6146" width="20.42578125" style="4" customWidth="1"/>
    <col min="6147" max="6147" width="21.28515625" style="4" customWidth="1"/>
    <col min="6148" max="6148" width="16" style="4" customWidth="1"/>
    <col min="6149" max="6149" width="23.5703125" style="4" customWidth="1"/>
    <col min="6150" max="6150" width="19.5703125" style="4" customWidth="1"/>
    <col min="6151" max="6151" width="14.140625" style="4" customWidth="1"/>
    <col min="6152" max="6152" width="9.5703125" style="4" customWidth="1"/>
    <col min="6153" max="6153" width="14.42578125" style="4" customWidth="1"/>
    <col min="6154" max="6154" width="16.140625" style="4" customWidth="1"/>
    <col min="6155" max="6155" width="14.42578125" style="4" customWidth="1"/>
    <col min="6156" max="6156" width="13.42578125" style="4" customWidth="1"/>
    <col min="6157" max="6157" width="14.7109375" style="4" customWidth="1"/>
    <col min="6158" max="6159" width="14.28515625" style="4" customWidth="1"/>
    <col min="6160" max="6160" width="14" style="4" customWidth="1"/>
    <col min="6161" max="6161" width="11.5703125" style="4" customWidth="1"/>
    <col min="6162" max="6162" width="13.85546875" style="4" customWidth="1"/>
    <col min="6163" max="6400" width="11.42578125" style="4"/>
    <col min="6401" max="6402" width="20.42578125" style="4" customWidth="1"/>
    <col min="6403" max="6403" width="21.28515625" style="4" customWidth="1"/>
    <col min="6404" max="6404" width="16" style="4" customWidth="1"/>
    <col min="6405" max="6405" width="23.5703125" style="4" customWidth="1"/>
    <col min="6406" max="6406" width="19.5703125" style="4" customWidth="1"/>
    <col min="6407" max="6407" width="14.140625" style="4" customWidth="1"/>
    <col min="6408" max="6408" width="9.5703125" style="4" customWidth="1"/>
    <col min="6409" max="6409" width="14.42578125" style="4" customWidth="1"/>
    <col min="6410" max="6410" width="16.140625" style="4" customWidth="1"/>
    <col min="6411" max="6411" width="14.42578125" style="4" customWidth="1"/>
    <col min="6412" max="6412" width="13.42578125" style="4" customWidth="1"/>
    <col min="6413" max="6413" width="14.7109375" style="4" customWidth="1"/>
    <col min="6414" max="6415" width="14.28515625" style="4" customWidth="1"/>
    <col min="6416" max="6416" width="14" style="4" customWidth="1"/>
    <col min="6417" max="6417" width="11.5703125" style="4" customWidth="1"/>
    <col min="6418" max="6418" width="13.85546875" style="4" customWidth="1"/>
    <col min="6419" max="6656" width="11.42578125" style="4"/>
    <col min="6657" max="6658" width="20.42578125" style="4" customWidth="1"/>
    <col min="6659" max="6659" width="21.28515625" style="4" customWidth="1"/>
    <col min="6660" max="6660" width="16" style="4" customWidth="1"/>
    <col min="6661" max="6661" width="23.5703125" style="4" customWidth="1"/>
    <col min="6662" max="6662" width="19.5703125" style="4" customWidth="1"/>
    <col min="6663" max="6663" width="14.140625" style="4" customWidth="1"/>
    <col min="6664" max="6664" width="9.5703125" style="4" customWidth="1"/>
    <col min="6665" max="6665" width="14.42578125" style="4" customWidth="1"/>
    <col min="6666" max="6666" width="16.140625" style="4" customWidth="1"/>
    <col min="6667" max="6667" width="14.42578125" style="4" customWidth="1"/>
    <col min="6668" max="6668" width="13.42578125" style="4" customWidth="1"/>
    <col min="6669" max="6669" width="14.7109375" style="4" customWidth="1"/>
    <col min="6670" max="6671" width="14.28515625" style="4" customWidth="1"/>
    <col min="6672" max="6672" width="14" style="4" customWidth="1"/>
    <col min="6673" max="6673" width="11.5703125" style="4" customWidth="1"/>
    <col min="6674" max="6674" width="13.85546875" style="4" customWidth="1"/>
    <col min="6675" max="6912" width="11.42578125" style="4"/>
    <col min="6913" max="6914" width="20.42578125" style="4" customWidth="1"/>
    <col min="6915" max="6915" width="21.28515625" style="4" customWidth="1"/>
    <col min="6916" max="6916" width="16" style="4" customWidth="1"/>
    <col min="6917" max="6917" width="23.5703125" style="4" customWidth="1"/>
    <col min="6918" max="6918" width="19.5703125" style="4" customWidth="1"/>
    <col min="6919" max="6919" width="14.140625" style="4" customWidth="1"/>
    <col min="6920" max="6920" width="9.5703125" style="4" customWidth="1"/>
    <col min="6921" max="6921" width="14.42578125" style="4" customWidth="1"/>
    <col min="6922" max="6922" width="16.140625" style="4" customWidth="1"/>
    <col min="6923" max="6923" width="14.42578125" style="4" customWidth="1"/>
    <col min="6924" max="6924" width="13.42578125" style="4" customWidth="1"/>
    <col min="6925" max="6925" width="14.7109375" style="4" customWidth="1"/>
    <col min="6926" max="6927" width="14.28515625" style="4" customWidth="1"/>
    <col min="6928" max="6928" width="14" style="4" customWidth="1"/>
    <col min="6929" max="6929" width="11.5703125" style="4" customWidth="1"/>
    <col min="6930" max="6930" width="13.85546875" style="4" customWidth="1"/>
    <col min="6931" max="7168" width="11.42578125" style="4"/>
    <col min="7169" max="7170" width="20.42578125" style="4" customWidth="1"/>
    <col min="7171" max="7171" width="21.28515625" style="4" customWidth="1"/>
    <col min="7172" max="7172" width="16" style="4" customWidth="1"/>
    <col min="7173" max="7173" width="23.5703125" style="4" customWidth="1"/>
    <col min="7174" max="7174" width="19.5703125" style="4" customWidth="1"/>
    <col min="7175" max="7175" width="14.140625" style="4" customWidth="1"/>
    <col min="7176" max="7176" width="9.5703125" style="4" customWidth="1"/>
    <col min="7177" max="7177" width="14.42578125" style="4" customWidth="1"/>
    <col min="7178" max="7178" width="16.140625" style="4" customWidth="1"/>
    <col min="7179" max="7179" width="14.42578125" style="4" customWidth="1"/>
    <col min="7180" max="7180" width="13.42578125" style="4" customWidth="1"/>
    <col min="7181" max="7181" width="14.7109375" style="4" customWidth="1"/>
    <col min="7182" max="7183" width="14.28515625" style="4" customWidth="1"/>
    <col min="7184" max="7184" width="14" style="4" customWidth="1"/>
    <col min="7185" max="7185" width="11.5703125" style="4" customWidth="1"/>
    <col min="7186" max="7186" width="13.85546875" style="4" customWidth="1"/>
    <col min="7187" max="7424" width="11.42578125" style="4"/>
    <col min="7425" max="7426" width="20.42578125" style="4" customWidth="1"/>
    <col min="7427" max="7427" width="21.28515625" style="4" customWidth="1"/>
    <col min="7428" max="7428" width="16" style="4" customWidth="1"/>
    <col min="7429" max="7429" width="23.5703125" style="4" customWidth="1"/>
    <col min="7430" max="7430" width="19.5703125" style="4" customWidth="1"/>
    <col min="7431" max="7431" width="14.140625" style="4" customWidth="1"/>
    <col min="7432" max="7432" width="9.5703125" style="4" customWidth="1"/>
    <col min="7433" max="7433" width="14.42578125" style="4" customWidth="1"/>
    <col min="7434" max="7434" width="16.140625" style="4" customWidth="1"/>
    <col min="7435" max="7435" width="14.42578125" style="4" customWidth="1"/>
    <col min="7436" max="7436" width="13.42578125" style="4" customWidth="1"/>
    <col min="7437" max="7437" width="14.7109375" style="4" customWidth="1"/>
    <col min="7438" max="7439" width="14.28515625" style="4" customWidth="1"/>
    <col min="7440" max="7440" width="14" style="4" customWidth="1"/>
    <col min="7441" max="7441" width="11.5703125" style="4" customWidth="1"/>
    <col min="7442" max="7442" width="13.85546875" style="4" customWidth="1"/>
    <col min="7443" max="7680" width="11.42578125" style="4"/>
    <col min="7681" max="7682" width="20.42578125" style="4" customWidth="1"/>
    <col min="7683" max="7683" width="21.28515625" style="4" customWidth="1"/>
    <col min="7684" max="7684" width="16" style="4" customWidth="1"/>
    <col min="7685" max="7685" width="23.5703125" style="4" customWidth="1"/>
    <col min="7686" max="7686" width="19.5703125" style="4" customWidth="1"/>
    <col min="7687" max="7687" width="14.140625" style="4" customWidth="1"/>
    <col min="7688" max="7688" width="9.5703125" style="4" customWidth="1"/>
    <col min="7689" max="7689" width="14.42578125" style="4" customWidth="1"/>
    <col min="7690" max="7690" width="16.140625" style="4" customWidth="1"/>
    <col min="7691" max="7691" width="14.42578125" style="4" customWidth="1"/>
    <col min="7692" max="7692" width="13.42578125" style="4" customWidth="1"/>
    <col min="7693" max="7693" width="14.7109375" style="4" customWidth="1"/>
    <col min="7694" max="7695" width="14.28515625" style="4" customWidth="1"/>
    <col min="7696" max="7696" width="14" style="4" customWidth="1"/>
    <col min="7697" max="7697" width="11.5703125" style="4" customWidth="1"/>
    <col min="7698" max="7698" width="13.85546875" style="4" customWidth="1"/>
    <col min="7699" max="7936" width="11.42578125" style="4"/>
    <col min="7937" max="7938" width="20.42578125" style="4" customWidth="1"/>
    <col min="7939" max="7939" width="21.28515625" style="4" customWidth="1"/>
    <col min="7940" max="7940" width="16" style="4" customWidth="1"/>
    <col min="7941" max="7941" width="23.5703125" style="4" customWidth="1"/>
    <col min="7942" max="7942" width="19.5703125" style="4" customWidth="1"/>
    <col min="7943" max="7943" width="14.140625" style="4" customWidth="1"/>
    <col min="7944" max="7944" width="9.5703125" style="4" customWidth="1"/>
    <col min="7945" max="7945" width="14.42578125" style="4" customWidth="1"/>
    <col min="7946" max="7946" width="16.140625" style="4" customWidth="1"/>
    <col min="7947" max="7947" width="14.42578125" style="4" customWidth="1"/>
    <col min="7948" max="7948" width="13.42578125" style="4" customWidth="1"/>
    <col min="7949" max="7949" width="14.7109375" style="4" customWidth="1"/>
    <col min="7950" max="7951" width="14.28515625" style="4" customWidth="1"/>
    <col min="7952" max="7952" width="14" style="4" customWidth="1"/>
    <col min="7953" max="7953" width="11.5703125" style="4" customWidth="1"/>
    <col min="7954" max="7954" width="13.85546875" style="4" customWidth="1"/>
    <col min="7955" max="8192" width="11.42578125" style="4"/>
    <col min="8193" max="8194" width="20.42578125" style="4" customWidth="1"/>
    <col min="8195" max="8195" width="21.28515625" style="4" customWidth="1"/>
    <col min="8196" max="8196" width="16" style="4" customWidth="1"/>
    <col min="8197" max="8197" width="23.5703125" style="4" customWidth="1"/>
    <col min="8198" max="8198" width="19.5703125" style="4" customWidth="1"/>
    <col min="8199" max="8199" width="14.140625" style="4" customWidth="1"/>
    <col min="8200" max="8200" width="9.5703125" style="4" customWidth="1"/>
    <col min="8201" max="8201" width="14.42578125" style="4" customWidth="1"/>
    <col min="8202" max="8202" width="16.140625" style="4" customWidth="1"/>
    <col min="8203" max="8203" width="14.42578125" style="4" customWidth="1"/>
    <col min="8204" max="8204" width="13.42578125" style="4" customWidth="1"/>
    <col min="8205" max="8205" width="14.7109375" style="4" customWidth="1"/>
    <col min="8206" max="8207" width="14.28515625" style="4" customWidth="1"/>
    <col min="8208" max="8208" width="14" style="4" customWidth="1"/>
    <col min="8209" max="8209" width="11.5703125" style="4" customWidth="1"/>
    <col min="8210" max="8210" width="13.85546875" style="4" customWidth="1"/>
    <col min="8211" max="8448" width="11.42578125" style="4"/>
    <col min="8449" max="8450" width="20.42578125" style="4" customWidth="1"/>
    <col min="8451" max="8451" width="21.28515625" style="4" customWidth="1"/>
    <col min="8452" max="8452" width="16" style="4" customWidth="1"/>
    <col min="8453" max="8453" width="23.5703125" style="4" customWidth="1"/>
    <col min="8454" max="8454" width="19.5703125" style="4" customWidth="1"/>
    <col min="8455" max="8455" width="14.140625" style="4" customWidth="1"/>
    <col min="8456" max="8456" width="9.5703125" style="4" customWidth="1"/>
    <col min="8457" max="8457" width="14.42578125" style="4" customWidth="1"/>
    <col min="8458" max="8458" width="16.140625" style="4" customWidth="1"/>
    <col min="8459" max="8459" width="14.42578125" style="4" customWidth="1"/>
    <col min="8460" max="8460" width="13.42578125" style="4" customWidth="1"/>
    <col min="8461" max="8461" width="14.7109375" style="4" customWidth="1"/>
    <col min="8462" max="8463" width="14.28515625" style="4" customWidth="1"/>
    <col min="8464" max="8464" width="14" style="4" customWidth="1"/>
    <col min="8465" max="8465" width="11.5703125" style="4" customWidth="1"/>
    <col min="8466" max="8466" width="13.85546875" style="4" customWidth="1"/>
    <col min="8467" max="8704" width="11.42578125" style="4"/>
    <col min="8705" max="8706" width="20.42578125" style="4" customWidth="1"/>
    <col min="8707" max="8707" width="21.28515625" style="4" customWidth="1"/>
    <col min="8708" max="8708" width="16" style="4" customWidth="1"/>
    <col min="8709" max="8709" width="23.5703125" style="4" customWidth="1"/>
    <col min="8710" max="8710" width="19.5703125" style="4" customWidth="1"/>
    <col min="8711" max="8711" width="14.140625" style="4" customWidth="1"/>
    <col min="8712" max="8712" width="9.5703125" style="4" customWidth="1"/>
    <col min="8713" max="8713" width="14.42578125" style="4" customWidth="1"/>
    <col min="8714" max="8714" width="16.140625" style="4" customWidth="1"/>
    <col min="8715" max="8715" width="14.42578125" style="4" customWidth="1"/>
    <col min="8716" max="8716" width="13.42578125" style="4" customWidth="1"/>
    <col min="8717" max="8717" width="14.7109375" style="4" customWidth="1"/>
    <col min="8718" max="8719" width="14.28515625" style="4" customWidth="1"/>
    <col min="8720" max="8720" width="14" style="4" customWidth="1"/>
    <col min="8721" max="8721" width="11.5703125" style="4" customWidth="1"/>
    <col min="8722" max="8722" width="13.85546875" style="4" customWidth="1"/>
    <col min="8723" max="8960" width="11.42578125" style="4"/>
    <col min="8961" max="8962" width="20.42578125" style="4" customWidth="1"/>
    <col min="8963" max="8963" width="21.28515625" style="4" customWidth="1"/>
    <col min="8964" max="8964" width="16" style="4" customWidth="1"/>
    <col min="8965" max="8965" width="23.5703125" style="4" customWidth="1"/>
    <col min="8966" max="8966" width="19.5703125" style="4" customWidth="1"/>
    <col min="8967" max="8967" width="14.140625" style="4" customWidth="1"/>
    <col min="8968" max="8968" width="9.5703125" style="4" customWidth="1"/>
    <col min="8969" max="8969" width="14.42578125" style="4" customWidth="1"/>
    <col min="8970" max="8970" width="16.140625" style="4" customWidth="1"/>
    <col min="8971" max="8971" width="14.42578125" style="4" customWidth="1"/>
    <col min="8972" max="8972" width="13.42578125" style="4" customWidth="1"/>
    <col min="8973" max="8973" width="14.7109375" style="4" customWidth="1"/>
    <col min="8974" max="8975" width="14.28515625" style="4" customWidth="1"/>
    <col min="8976" max="8976" width="14" style="4" customWidth="1"/>
    <col min="8977" max="8977" width="11.5703125" style="4" customWidth="1"/>
    <col min="8978" max="8978" width="13.85546875" style="4" customWidth="1"/>
    <col min="8979" max="9216" width="11.42578125" style="4"/>
    <col min="9217" max="9218" width="20.42578125" style="4" customWidth="1"/>
    <col min="9219" max="9219" width="21.28515625" style="4" customWidth="1"/>
    <col min="9220" max="9220" width="16" style="4" customWidth="1"/>
    <col min="9221" max="9221" width="23.5703125" style="4" customWidth="1"/>
    <col min="9222" max="9222" width="19.5703125" style="4" customWidth="1"/>
    <col min="9223" max="9223" width="14.140625" style="4" customWidth="1"/>
    <col min="9224" max="9224" width="9.5703125" style="4" customWidth="1"/>
    <col min="9225" max="9225" width="14.42578125" style="4" customWidth="1"/>
    <col min="9226" max="9226" width="16.140625" style="4" customWidth="1"/>
    <col min="9227" max="9227" width="14.42578125" style="4" customWidth="1"/>
    <col min="9228" max="9228" width="13.42578125" style="4" customWidth="1"/>
    <col min="9229" max="9229" width="14.7109375" style="4" customWidth="1"/>
    <col min="9230" max="9231" width="14.28515625" style="4" customWidth="1"/>
    <col min="9232" max="9232" width="14" style="4" customWidth="1"/>
    <col min="9233" max="9233" width="11.5703125" style="4" customWidth="1"/>
    <col min="9234" max="9234" width="13.85546875" style="4" customWidth="1"/>
    <col min="9235" max="9472" width="11.42578125" style="4"/>
    <col min="9473" max="9474" width="20.42578125" style="4" customWidth="1"/>
    <col min="9475" max="9475" width="21.28515625" style="4" customWidth="1"/>
    <col min="9476" max="9476" width="16" style="4" customWidth="1"/>
    <col min="9477" max="9477" width="23.5703125" style="4" customWidth="1"/>
    <col min="9478" max="9478" width="19.5703125" style="4" customWidth="1"/>
    <col min="9479" max="9479" width="14.140625" style="4" customWidth="1"/>
    <col min="9480" max="9480" width="9.5703125" style="4" customWidth="1"/>
    <col min="9481" max="9481" width="14.42578125" style="4" customWidth="1"/>
    <col min="9482" max="9482" width="16.140625" style="4" customWidth="1"/>
    <col min="9483" max="9483" width="14.42578125" style="4" customWidth="1"/>
    <col min="9484" max="9484" width="13.42578125" style="4" customWidth="1"/>
    <col min="9485" max="9485" width="14.7109375" style="4" customWidth="1"/>
    <col min="9486" max="9487" width="14.28515625" style="4" customWidth="1"/>
    <col min="9488" max="9488" width="14" style="4" customWidth="1"/>
    <col min="9489" max="9489" width="11.5703125" style="4" customWidth="1"/>
    <col min="9490" max="9490" width="13.85546875" style="4" customWidth="1"/>
    <col min="9491" max="9728" width="11.42578125" style="4"/>
    <col min="9729" max="9730" width="20.42578125" style="4" customWidth="1"/>
    <col min="9731" max="9731" width="21.28515625" style="4" customWidth="1"/>
    <col min="9732" max="9732" width="16" style="4" customWidth="1"/>
    <col min="9733" max="9733" width="23.5703125" style="4" customWidth="1"/>
    <col min="9734" max="9734" width="19.5703125" style="4" customWidth="1"/>
    <col min="9735" max="9735" width="14.140625" style="4" customWidth="1"/>
    <col min="9736" max="9736" width="9.5703125" style="4" customWidth="1"/>
    <col min="9737" max="9737" width="14.42578125" style="4" customWidth="1"/>
    <col min="9738" max="9738" width="16.140625" style="4" customWidth="1"/>
    <col min="9739" max="9739" width="14.42578125" style="4" customWidth="1"/>
    <col min="9740" max="9740" width="13.42578125" style="4" customWidth="1"/>
    <col min="9741" max="9741" width="14.7109375" style="4" customWidth="1"/>
    <col min="9742" max="9743" width="14.28515625" style="4" customWidth="1"/>
    <col min="9744" max="9744" width="14" style="4" customWidth="1"/>
    <col min="9745" max="9745" width="11.5703125" style="4" customWidth="1"/>
    <col min="9746" max="9746" width="13.85546875" style="4" customWidth="1"/>
    <col min="9747" max="9984" width="11.42578125" style="4"/>
    <col min="9985" max="9986" width="20.42578125" style="4" customWidth="1"/>
    <col min="9987" max="9987" width="21.28515625" style="4" customWidth="1"/>
    <col min="9988" max="9988" width="16" style="4" customWidth="1"/>
    <col min="9989" max="9989" width="23.5703125" style="4" customWidth="1"/>
    <col min="9990" max="9990" width="19.5703125" style="4" customWidth="1"/>
    <col min="9991" max="9991" width="14.140625" style="4" customWidth="1"/>
    <col min="9992" max="9992" width="9.5703125" style="4" customWidth="1"/>
    <col min="9993" max="9993" width="14.42578125" style="4" customWidth="1"/>
    <col min="9994" max="9994" width="16.140625" style="4" customWidth="1"/>
    <col min="9995" max="9995" width="14.42578125" style="4" customWidth="1"/>
    <col min="9996" max="9996" width="13.42578125" style="4" customWidth="1"/>
    <col min="9997" max="9997" width="14.7109375" style="4" customWidth="1"/>
    <col min="9998" max="9999" width="14.28515625" style="4" customWidth="1"/>
    <col min="10000" max="10000" width="14" style="4" customWidth="1"/>
    <col min="10001" max="10001" width="11.5703125" style="4" customWidth="1"/>
    <col min="10002" max="10002" width="13.85546875" style="4" customWidth="1"/>
    <col min="10003" max="10240" width="11.42578125" style="4"/>
    <col min="10241" max="10242" width="20.42578125" style="4" customWidth="1"/>
    <col min="10243" max="10243" width="21.28515625" style="4" customWidth="1"/>
    <col min="10244" max="10244" width="16" style="4" customWidth="1"/>
    <col min="10245" max="10245" width="23.5703125" style="4" customWidth="1"/>
    <col min="10246" max="10246" width="19.5703125" style="4" customWidth="1"/>
    <col min="10247" max="10247" width="14.140625" style="4" customWidth="1"/>
    <col min="10248" max="10248" width="9.5703125" style="4" customWidth="1"/>
    <col min="10249" max="10249" width="14.42578125" style="4" customWidth="1"/>
    <col min="10250" max="10250" width="16.140625" style="4" customWidth="1"/>
    <col min="10251" max="10251" width="14.42578125" style="4" customWidth="1"/>
    <col min="10252" max="10252" width="13.42578125" style="4" customWidth="1"/>
    <col min="10253" max="10253" width="14.7109375" style="4" customWidth="1"/>
    <col min="10254" max="10255" width="14.28515625" style="4" customWidth="1"/>
    <col min="10256" max="10256" width="14" style="4" customWidth="1"/>
    <col min="10257" max="10257" width="11.5703125" style="4" customWidth="1"/>
    <col min="10258" max="10258" width="13.85546875" style="4" customWidth="1"/>
    <col min="10259" max="10496" width="11.42578125" style="4"/>
    <col min="10497" max="10498" width="20.42578125" style="4" customWidth="1"/>
    <col min="10499" max="10499" width="21.28515625" style="4" customWidth="1"/>
    <col min="10500" max="10500" width="16" style="4" customWidth="1"/>
    <col min="10501" max="10501" width="23.5703125" style="4" customWidth="1"/>
    <col min="10502" max="10502" width="19.5703125" style="4" customWidth="1"/>
    <col min="10503" max="10503" width="14.140625" style="4" customWidth="1"/>
    <col min="10504" max="10504" width="9.5703125" style="4" customWidth="1"/>
    <col min="10505" max="10505" width="14.42578125" style="4" customWidth="1"/>
    <col min="10506" max="10506" width="16.140625" style="4" customWidth="1"/>
    <col min="10507" max="10507" width="14.42578125" style="4" customWidth="1"/>
    <col min="10508" max="10508" width="13.42578125" style="4" customWidth="1"/>
    <col min="10509" max="10509" width="14.7109375" style="4" customWidth="1"/>
    <col min="10510" max="10511" width="14.28515625" style="4" customWidth="1"/>
    <col min="10512" max="10512" width="14" style="4" customWidth="1"/>
    <col min="10513" max="10513" width="11.5703125" style="4" customWidth="1"/>
    <col min="10514" max="10514" width="13.85546875" style="4" customWidth="1"/>
    <col min="10515" max="10752" width="11.42578125" style="4"/>
    <col min="10753" max="10754" width="20.42578125" style="4" customWidth="1"/>
    <col min="10755" max="10755" width="21.28515625" style="4" customWidth="1"/>
    <col min="10756" max="10756" width="16" style="4" customWidth="1"/>
    <col min="10757" max="10757" width="23.5703125" style="4" customWidth="1"/>
    <col min="10758" max="10758" width="19.5703125" style="4" customWidth="1"/>
    <col min="10759" max="10759" width="14.140625" style="4" customWidth="1"/>
    <col min="10760" max="10760" width="9.5703125" style="4" customWidth="1"/>
    <col min="10761" max="10761" width="14.42578125" style="4" customWidth="1"/>
    <col min="10762" max="10762" width="16.140625" style="4" customWidth="1"/>
    <col min="10763" max="10763" width="14.42578125" style="4" customWidth="1"/>
    <col min="10764" max="10764" width="13.42578125" style="4" customWidth="1"/>
    <col min="10765" max="10765" width="14.7109375" style="4" customWidth="1"/>
    <col min="10766" max="10767" width="14.28515625" style="4" customWidth="1"/>
    <col min="10768" max="10768" width="14" style="4" customWidth="1"/>
    <col min="10769" max="10769" width="11.5703125" style="4" customWidth="1"/>
    <col min="10770" max="10770" width="13.85546875" style="4" customWidth="1"/>
    <col min="10771" max="11008" width="11.42578125" style="4"/>
    <col min="11009" max="11010" width="20.42578125" style="4" customWidth="1"/>
    <col min="11011" max="11011" width="21.28515625" style="4" customWidth="1"/>
    <col min="11012" max="11012" width="16" style="4" customWidth="1"/>
    <col min="11013" max="11013" width="23.5703125" style="4" customWidth="1"/>
    <col min="11014" max="11014" width="19.5703125" style="4" customWidth="1"/>
    <col min="11015" max="11015" width="14.140625" style="4" customWidth="1"/>
    <col min="11016" max="11016" width="9.5703125" style="4" customWidth="1"/>
    <col min="11017" max="11017" width="14.42578125" style="4" customWidth="1"/>
    <col min="11018" max="11018" width="16.140625" style="4" customWidth="1"/>
    <col min="11019" max="11019" width="14.42578125" style="4" customWidth="1"/>
    <col min="11020" max="11020" width="13.42578125" style="4" customWidth="1"/>
    <col min="11021" max="11021" width="14.7109375" style="4" customWidth="1"/>
    <col min="11022" max="11023" width="14.28515625" style="4" customWidth="1"/>
    <col min="11024" max="11024" width="14" style="4" customWidth="1"/>
    <col min="11025" max="11025" width="11.5703125" style="4" customWidth="1"/>
    <col min="11026" max="11026" width="13.85546875" style="4" customWidth="1"/>
    <col min="11027" max="11264" width="11.42578125" style="4"/>
    <col min="11265" max="11266" width="20.42578125" style="4" customWidth="1"/>
    <col min="11267" max="11267" width="21.28515625" style="4" customWidth="1"/>
    <col min="11268" max="11268" width="16" style="4" customWidth="1"/>
    <col min="11269" max="11269" width="23.5703125" style="4" customWidth="1"/>
    <col min="11270" max="11270" width="19.5703125" style="4" customWidth="1"/>
    <col min="11271" max="11271" width="14.140625" style="4" customWidth="1"/>
    <col min="11272" max="11272" width="9.5703125" style="4" customWidth="1"/>
    <col min="11273" max="11273" width="14.42578125" style="4" customWidth="1"/>
    <col min="11274" max="11274" width="16.140625" style="4" customWidth="1"/>
    <col min="11275" max="11275" width="14.42578125" style="4" customWidth="1"/>
    <col min="11276" max="11276" width="13.42578125" style="4" customWidth="1"/>
    <col min="11277" max="11277" width="14.7109375" style="4" customWidth="1"/>
    <col min="11278" max="11279" width="14.28515625" style="4" customWidth="1"/>
    <col min="11280" max="11280" width="14" style="4" customWidth="1"/>
    <col min="11281" max="11281" width="11.5703125" style="4" customWidth="1"/>
    <col min="11282" max="11282" width="13.85546875" style="4" customWidth="1"/>
    <col min="11283" max="11520" width="11.42578125" style="4"/>
    <col min="11521" max="11522" width="20.42578125" style="4" customWidth="1"/>
    <col min="11523" max="11523" width="21.28515625" style="4" customWidth="1"/>
    <col min="11524" max="11524" width="16" style="4" customWidth="1"/>
    <col min="11525" max="11525" width="23.5703125" style="4" customWidth="1"/>
    <col min="11526" max="11526" width="19.5703125" style="4" customWidth="1"/>
    <col min="11527" max="11527" width="14.140625" style="4" customWidth="1"/>
    <col min="11528" max="11528" width="9.5703125" style="4" customWidth="1"/>
    <col min="11529" max="11529" width="14.42578125" style="4" customWidth="1"/>
    <col min="11530" max="11530" width="16.140625" style="4" customWidth="1"/>
    <col min="11531" max="11531" width="14.42578125" style="4" customWidth="1"/>
    <col min="11532" max="11532" width="13.42578125" style="4" customWidth="1"/>
    <col min="11533" max="11533" width="14.7109375" style="4" customWidth="1"/>
    <col min="11534" max="11535" width="14.28515625" style="4" customWidth="1"/>
    <col min="11536" max="11536" width="14" style="4" customWidth="1"/>
    <col min="11537" max="11537" width="11.5703125" style="4" customWidth="1"/>
    <col min="11538" max="11538" width="13.85546875" style="4" customWidth="1"/>
    <col min="11539" max="11776" width="11.42578125" style="4"/>
    <col min="11777" max="11778" width="20.42578125" style="4" customWidth="1"/>
    <col min="11779" max="11779" width="21.28515625" style="4" customWidth="1"/>
    <col min="11780" max="11780" width="16" style="4" customWidth="1"/>
    <col min="11781" max="11781" width="23.5703125" style="4" customWidth="1"/>
    <col min="11782" max="11782" width="19.5703125" style="4" customWidth="1"/>
    <col min="11783" max="11783" width="14.140625" style="4" customWidth="1"/>
    <col min="11784" max="11784" width="9.5703125" style="4" customWidth="1"/>
    <col min="11785" max="11785" width="14.42578125" style="4" customWidth="1"/>
    <col min="11786" max="11786" width="16.140625" style="4" customWidth="1"/>
    <col min="11787" max="11787" width="14.42578125" style="4" customWidth="1"/>
    <col min="11788" max="11788" width="13.42578125" style="4" customWidth="1"/>
    <col min="11789" max="11789" width="14.7109375" style="4" customWidth="1"/>
    <col min="11790" max="11791" width="14.28515625" style="4" customWidth="1"/>
    <col min="11792" max="11792" width="14" style="4" customWidth="1"/>
    <col min="11793" max="11793" width="11.5703125" style="4" customWidth="1"/>
    <col min="11794" max="11794" width="13.85546875" style="4" customWidth="1"/>
    <col min="11795" max="12032" width="11.42578125" style="4"/>
    <col min="12033" max="12034" width="20.42578125" style="4" customWidth="1"/>
    <col min="12035" max="12035" width="21.28515625" style="4" customWidth="1"/>
    <col min="12036" max="12036" width="16" style="4" customWidth="1"/>
    <col min="12037" max="12037" width="23.5703125" style="4" customWidth="1"/>
    <col min="12038" max="12038" width="19.5703125" style="4" customWidth="1"/>
    <col min="12039" max="12039" width="14.140625" style="4" customWidth="1"/>
    <col min="12040" max="12040" width="9.5703125" style="4" customWidth="1"/>
    <col min="12041" max="12041" width="14.42578125" style="4" customWidth="1"/>
    <col min="12042" max="12042" width="16.140625" style="4" customWidth="1"/>
    <col min="12043" max="12043" width="14.42578125" style="4" customWidth="1"/>
    <col min="12044" max="12044" width="13.42578125" style="4" customWidth="1"/>
    <col min="12045" max="12045" width="14.7109375" style="4" customWidth="1"/>
    <col min="12046" max="12047" width="14.28515625" style="4" customWidth="1"/>
    <col min="12048" max="12048" width="14" style="4" customWidth="1"/>
    <col min="12049" max="12049" width="11.5703125" style="4" customWidth="1"/>
    <col min="12050" max="12050" width="13.85546875" style="4" customWidth="1"/>
    <col min="12051" max="12288" width="11.42578125" style="4"/>
    <col min="12289" max="12290" width="20.42578125" style="4" customWidth="1"/>
    <col min="12291" max="12291" width="21.28515625" style="4" customWidth="1"/>
    <col min="12292" max="12292" width="16" style="4" customWidth="1"/>
    <col min="12293" max="12293" width="23.5703125" style="4" customWidth="1"/>
    <col min="12294" max="12294" width="19.5703125" style="4" customWidth="1"/>
    <col min="12295" max="12295" width="14.140625" style="4" customWidth="1"/>
    <col min="12296" max="12296" width="9.5703125" style="4" customWidth="1"/>
    <col min="12297" max="12297" width="14.42578125" style="4" customWidth="1"/>
    <col min="12298" max="12298" width="16.140625" style="4" customWidth="1"/>
    <col min="12299" max="12299" width="14.42578125" style="4" customWidth="1"/>
    <col min="12300" max="12300" width="13.42578125" style="4" customWidth="1"/>
    <col min="12301" max="12301" width="14.7109375" style="4" customWidth="1"/>
    <col min="12302" max="12303" width="14.28515625" style="4" customWidth="1"/>
    <col min="12304" max="12304" width="14" style="4" customWidth="1"/>
    <col min="12305" max="12305" width="11.5703125" style="4" customWidth="1"/>
    <col min="12306" max="12306" width="13.85546875" style="4" customWidth="1"/>
    <col min="12307" max="12544" width="11.42578125" style="4"/>
    <col min="12545" max="12546" width="20.42578125" style="4" customWidth="1"/>
    <col min="12547" max="12547" width="21.28515625" style="4" customWidth="1"/>
    <col min="12548" max="12548" width="16" style="4" customWidth="1"/>
    <col min="12549" max="12549" width="23.5703125" style="4" customWidth="1"/>
    <col min="12550" max="12550" width="19.5703125" style="4" customWidth="1"/>
    <col min="12551" max="12551" width="14.140625" style="4" customWidth="1"/>
    <col min="12552" max="12552" width="9.5703125" style="4" customWidth="1"/>
    <col min="12553" max="12553" width="14.42578125" style="4" customWidth="1"/>
    <col min="12554" max="12554" width="16.140625" style="4" customWidth="1"/>
    <col min="12555" max="12555" width="14.42578125" style="4" customWidth="1"/>
    <col min="12556" max="12556" width="13.42578125" style="4" customWidth="1"/>
    <col min="12557" max="12557" width="14.7109375" style="4" customWidth="1"/>
    <col min="12558" max="12559" width="14.28515625" style="4" customWidth="1"/>
    <col min="12560" max="12560" width="14" style="4" customWidth="1"/>
    <col min="12561" max="12561" width="11.5703125" style="4" customWidth="1"/>
    <col min="12562" max="12562" width="13.85546875" style="4" customWidth="1"/>
    <col min="12563" max="12800" width="11.42578125" style="4"/>
    <col min="12801" max="12802" width="20.42578125" style="4" customWidth="1"/>
    <col min="12803" max="12803" width="21.28515625" style="4" customWidth="1"/>
    <col min="12804" max="12804" width="16" style="4" customWidth="1"/>
    <col min="12805" max="12805" width="23.5703125" style="4" customWidth="1"/>
    <col min="12806" max="12806" width="19.5703125" style="4" customWidth="1"/>
    <col min="12807" max="12807" width="14.140625" style="4" customWidth="1"/>
    <col min="12808" max="12808" width="9.5703125" style="4" customWidth="1"/>
    <col min="12809" max="12809" width="14.42578125" style="4" customWidth="1"/>
    <col min="12810" max="12810" width="16.140625" style="4" customWidth="1"/>
    <col min="12811" max="12811" width="14.42578125" style="4" customWidth="1"/>
    <col min="12812" max="12812" width="13.42578125" style="4" customWidth="1"/>
    <col min="12813" max="12813" width="14.7109375" style="4" customWidth="1"/>
    <col min="12814" max="12815" width="14.28515625" style="4" customWidth="1"/>
    <col min="12816" max="12816" width="14" style="4" customWidth="1"/>
    <col min="12817" max="12817" width="11.5703125" style="4" customWidth="1"/>
    <col min="12818" max="12818" width="13.85546875" style="4" customWidth="1"/>
    <col min="12819" max="13056" width="11.42578125" style="4"/>
    <col min="13057" max="13058" width="20.42578125" style="4" customWidth="1"/>
    <col min="13059" max="13059" width="21.28515625" style="4" customWidth="1"/>
    <col min="13060" max="13060" width="16" style="4" customWidth="1"/>
    <col min="13061" max="13061" width="23.5703125" style="4" customWidth="1"/>
    <col min="13062" max="13062" width="19.5703125" style="4" customWidth="1"/>
    <col min="13063" max="13063" width="14.140625" style="4" customWidth="1"/>
    <col min="13064" max="13064" width="9.5703125" style="4" customWidth="1"/>
    <col min="13065" max="13065" width="14.42578125" style="4" customWidth="1"/>
    <col min="13066" max="13066" width="16.140625" style="4" customWidth="1"/>
    <col min="13067" max="13067" width="14.42578125" style="4" customWidth="1"/>
    <col min="13068" max="13068" width="13.42578125" style="4" customWidth="1"/>
    <col min="13069" max="13069" width="14.7109375" style="4" customWidth="1"/>
    <col min="13070" max="13071" width="14.28515625" style="4" customWidth="1"/>
    <col min="13072" max="13072" width="14" style="4" customWidth="1"/>
    <col min="13073" max="13073" width="11.5703125" style="4" customWidth="1"/>
    <col min="13074" max="13074" width="13.85546875" style="4" customWidth="1"/>
    <col min="13075" max="13312" width="11.42578125" style="4"/>
    <col min="13313" max="13314" width="20.42578125" style="4" customWidth="1"/>
    <col min="13315" max="13315" width="21.28515625" style="4" customWidth="1"/>
    <col min="13316" max="13316" width="16" style="4" customWidth="1"/>
    <col min="13317" max="13317" width="23.5703125" style="4" customWidth="1"/>
    <col min="13318" max="13318" width="19.5703125" style="4" customWidth="1"/>
    <col min="13319" max="13319" width="14.140625" style="4" customWidth="1"/>
    <col min="13320" max="13320" width="9.5703125" style="4" customWidth="1"/>
    <col min="13321" max="13321" width="14.42578125" style="4" customWidth="1"/>
    <col min="13322" max="13322" width="16.140625" style="4" customWidth="1"/>
    <col min="13323" max="13323" width="14.42578125" style="4" customWidth="1"/>
    <col min="13324" max="13324" width="13.42578125" style="4" customWidth="1"/>
    <col min="13325" max="13325" width="14.7109375" style="4" customWidth="1"/>
    <col min="13326" max="13327" width="14.28515625" style="4" customWidth="1"/>
    <col min="13328" max="13328" width="14" style="4" customWidth="1"/>
    <col min="13329" max="13329" width="11.5703125" style="4" customWidth="1"/>
    <col min="13330" max="13330" width="13.85546875" style="4" customWidth="1"/>
    <col min="13331" max="13568" width="11.42578125" style="4"/>
    <col min="13569" max="13570" width="20.42578125" style="4" customWidth="1"/>
    <col min="13571" max="13571" width="21.28515625" style="4" customWidth="1"/>
    <col min="13572" max="13572" width="16" style="4" customWidth="1"/>
    <col min="13573" max="13573" width="23.5703125" style="4" customWidth="1"/>
    <col min="13574" max="13574" width="19.5703125" style="4" customWidth="1"/>
    <col min="13575" max="13575" width="14.140625" style="4" customWidth="1"/>
    <col min="13576" max="13576" width="9.5703125" style="4" customWidth="1"/>
    <col min="13577" max="13577" width="14.42578125" style="4" customWidth="1"/>
    <col min="13578" max="13578" width="16.140625" style="4" customWidth="1"/>
    <col min="13579" max="13579" width="14.42578125" style="4" customWidth="1"/>
    <col min="13580" max="13580" width="13.42578125" style="4" customWidth="1"/>
    <col min="13581" max="13581" width="14.7109375" style="4" customWidth="1"/>
    <col min="13582" max="13583" width="14.28515625" style="4" customWidth="1"/>
    <col min="13584" max="13584" width="14" style="4" customWidth="1"/>
    <col min="13585" max="13585" width="11.5703125" style="4" customWidth="1"/>
    <col min="13586" max="13586" width="13.85546875" style="4" customWidth="1"/>
    <col min="13587" max="13824" width="11.42578125" style="4"/>
    <col min="13825" max="13826" width="20.42578125" style="4" customWidth="1"/>
    <col min="13827" max="13827" width="21.28515625" style="4" customWidth="1"/>
    <col min="13828" max="13828" width="16" style="4" customWidth="1"/>
    <col min="13829" max="13829" width="23.5703125" style="4" customWidth="1"/>
    <col min="13830" max="13830" width="19.5703125" style="4" customWidth="1"/>
    <col min="13831" max="13831" width="14.140625" style="4" customWidth="1"/>
    <col min="13832" max="13832" width="9.5703125" style="4" customWidth="1"/>
    <col min="13833" max="13833" width="14.42578125" style="4" customWidth="1"/>
    <col min="13834" max="13834" width="16.140625" style="4" customWidth="1"/>
    <col min="13835" max="13835" width="14.42578125" style="4" customWidth="1"/>
    <col min="13836" max="13836" width="13.42578125" style="4" customWidth="1"/>
    <col min="13837" max="13837" width="14.7109375" style="4" customWidth="1"/>
    <col min="13838" max="13839" width="14.28515625" style="4" customWidth="1"/>
    <col min="13840" max="13840" width="14" style="4" customWidth="1"/>
    <col min="13841" max="13841" width="11.5703125" style="4" customWidth="1"/>
    <col min="13842" max="13842" width="13.85546875" style="4" customWidth="1"/>
    <col min="13843" max="14080" width="11.42578125" style="4"/>
    <col min="14081" max="14082" width="20.42578125" style="4" customWidth="1"/>
    <col min="14083" max="14083" width="21.28515625" style="4" customWidth="1"/>
    <col min="14084" max="14084" width="16" style="4" customWidth="1"/>
    <col min="14085" max="14085" width="23.5703125" style="4" customWidth="1"/>
    <col min="14086" max="14086" width="19.5703125" style="4" customWidth="1"/>
    <col min="14087" max="14087" width="14.140625" style="4" customWidth="1"/>
    <col min="14088" max="14088" width="9.5703125" style="4" customWidth="1"/>
    <col min="14089" max="14089" width="14.42578125" style="4" customWidth="1"/>
    <col min="14090" max="14090" width="16.140625" style="4" customWidth="1"/>
    <col min="14091" max="14091" width="14.42578125" style="4" customWidth="1"/>
    <col min="14092" max="14092" width="13.42578125" style="4" customWidth="1"/>
    <col min="14093" max="14093" width="14.7109375" style="4" customWidth="1"/>
    <col min="14094" max="14095" width="14.28515625" style="4" customWidth="1"/>
    <col min="14096" max="14096" width="14" style="4" customWidth="1"/>
    <col min="14097" max="14097" width="11.5703125" style="4" customWidth="1"/>
    <col min="14098" max="14098" width="13.85546875" style="4" customWidth="1"/>
    <col min="14099" max="14336" width="11.42578125" style="4"/>
    <col min="14337" max="14338" width="20.42578125" style="4" customWidth="1"/>
    <col min="14339" max="14339" width="21.28515625" style="4" customWidth="1"/>
    <col min="14340" max="14340" width="16" style="4" customWidth="1"/>
    <col min="14341" max="14341" width="23.5703125" style="4" customWidth="1"/>
    <col min="14342" max="14342" width="19.5703125" style="4" customWidth="1"/>
    <col min="14343" max="14343" width="14.140625" style="4" customWidth="1"/>
    <col min="14344" max="14344" width="9.5703125" style="4" customWidth="1"/>
    <col min="14345" max="14345" width="14.42578125" style="4" customWidth="1"/>
    <col min="14346" max="14346" width="16.140625" style="4" customWidth="1"/>
    <col min="14347" max="14347" width="14.42578125" style="4" customWidth="1"/>
    <col min="14348" max="14348" width="13.42578125" style="4" customWidth="1"/>
    <col min="14349" max="14349" width="14.7109375" style="4" customWidth="1"/>
    <col min="14350" max="14351" width="14.28515625" style="4" customWidth="1"/>
    <col min="14352" max="14352" width="14" style="4" customWidth="1"/>
    <col min="14353" max="14353" width="11.5703125" style="4" customWidth="1"/>
    <col min="14354" max="14354" width="13.85546875" style="4" customWidth="1"/>
    <col min="14355" max="14592" width="11.42578125" style="4"/>
    <col min="14593" max="14594" width="20.42578125" style="4" customWidth="1"/>
    <col min="14595" max="14595" width="21.28515625" style="4" customWidth="1"/>
    <col min="14596" max="14596" width="16" style="4" customWidth="1"/>
    <col min="14597" max="14597" width="23.5703125" style="4" customWidth="1"/>
    <col min="14598" max="14598" width="19.5703125" style="4" customWidth="1"/>
    <col min="14599" max="14599" width="14.140625" style="4" customWidth="1"/>
    <col min="14600" max="14600" width="9.5703125" style="4" customWidth="1"/>
    <col min="14601" max="14601" width="14.42578125" style="4" customWidth="1"/>
    <col min="14602" max="14602" width="16.140625" style="4" customWidth="1"/>
    <col min="14603" max="14603" width="14.42578125" style="4" customWidth="1"/>
    <col min="14604" max="14604" width="13.42578125" style="4" customWidth="1"/>
    <col min="14605" max="14605" width="14.7109375" style="4" customWidth="1"/>
    <col min="14606" max="14607" width="14.28515625" style="4" customWidth="1"/>
    <col min="14608" max="14608" width="14" style="4" customWidth="1"/>
    <col min="14609" max="14609" width="11.5703125" style="4" customWidth="1"/>
    <col min="14610" max="14610" width="13.85546875" style="4" customWidth="1"/>
    <col min="14611" max="14848" width="11.42578125" style="4"/>
    <col min="14849" max="14850" width="20.42578125" style="4" customWidth="1"/>
    <col min="14851" max="14851" width="21.28515625" style="4" customWidth="1"/>
    <col min="14852" max="14852" width="16" style="4" customWidth="1"/>
    <col min="14853" max="14853" width="23.5703125" style="4" customWidth="1"/>
    <col min="14854" max="14854" width="19.5703125" style="4" customWidth="1"/>
    <col min="14855" max="14855" width="14.140625" style="4" customWidth="1"/>
    <col min="14856" max="14856" width="9.5703125" style="4" customWidth="1"/>
    <col min="14857" max="14857" width="14.42578125" style="4" customWidth="1"/>
    <col min="14858" max="14858" width="16.140625" style="4" customWidth="1"/>
    <col min="14859" max="14859" width="14.42578125" style="4" customWidth="1"/>
    <col min="14860" max="14860" width="13.42578125" style="4" customWidth="1"/>
    <col min="14861" max="14861" width="14.7109375" style="4" customWidth="1"/>
    <col min="14862" max="14863" width="14.28515625" style="4" customWidth="1"/>
    <col min="14864" max="14864" width="14" style="4" customWidth="1"/>
    <col min="14865" max="14865" width="11.5703125" style="4" customWidth="1"/>
    <col min="14866" max="14866" width="13.85546875" style="4" customWidth="1"/>
    <col min="14867" max="15104" width="11.42578125" style="4"/>
    <col min="15105" max="15106" width="20.42578125" style="4" customWidth="1"/>
    <col min="15107" max="15107" width="21.28515625" style="4" customWidth="1"/>
    <col min="15108" max="15108" width="16" style="4" customWidth="1"/>
    <col min="15109" max="15109" width="23.5703125" style="4" customWidth="1"/>
    <col min="15110" max="15110" width="19.5703125" style="4" customWidth="1"/>
    <col min="15111" max="15111" width="14.140625" style="4" customWidth="1"/>
    <col min="15112" max="15112" width="9.5703125" style="4" customWidth="1"/>
    <col min="15113" max="15113" width="14.42578125" style="4" customWidth="1"/>
    <col min="15114" max="15114" width="16.140625" style="4" customWidth="1"/>
    <col min="15115" max="15115" width="14.42578125" style="4" customWidth="1"/>
    <col min="15116" max="15116" width="13.42578125" style="4" customWidth="1"/>
    <col min="15117" max="15117" width="14.7109375" style="4" customWidth="1"/>
    <col min="15118" max="15119" width="14.28515625" style="4" customWidth="1"/>
    <col min="15120" max="15120" width="14" style="4" customWidth="1"/>
    <col min="15121" max="15121" width="11.5703125" style="4" customWidth="1"/>
    <col min="15122" max="15122" width="13.85546875" style="4" customWidth="1"/>
    <col min="15123" max="15360" width="11.42578125" style="4"/>
    <col min="15361" max="15362" width="20.42578125" style="4" customWidth="1"/>
    <col min="15363" max="15363" width="21.28515625" style="4" customWidth="1"/>
    <col min="15364" max="15364" width="16" style="4" customWidth="1"/>
    <col min="15365" max="15365" width="23.5703125" style="4" customWidth="1"/>
    <col min="15366" max="15366" width="19.5703125" style="4" customWidth="1"/>
    <col min="15367" max="15367" width="14.140625" style="4" customWidth="1"/>
    <col min="15368" max="15368" width="9.5703125" style="4" customWidth="1"/>
    <col min="15369" max="15369" width="14.42578125" style="4" customWidth="1"/>
    <col min="15370" max="15370" width="16.140625" style="4" customWidth="1"/>
    <col min="15371" max="15371" width="14.42578125" style="4" customWidth="1"/>
    <col min="15372" max="15372" width="13.42578125" style="4" customWidth="1"/>
    <col min="15373" max="15373" width="14.7109375" style="4" customWidth="1"/>
    <col min="15374" max="15375" width="14.28515625" style="4" customWidth="1"/>
    <col min="15376" max="15376" width="14" style="4" customWidth="1"/>
    <col min="15377" max="15377" width="11.5703125" style="4" customWidth="1"/>
    <col min="15378" max="15378" width="13.85546875" style="4" customWidth="1"/>
    <col min="15379" max="15616" width="11.42578125" style="4"/>
    <col min="15617" max="15618" width="20.42578125" style="4" customWidth="1"/>
    <col min="15619" max="15619" width="21.28515625" style="4" customWidth="1"/>
    <col min="15620" max="15620" width="16" style="4" customWidth="1"/>
    <col min="15621" max="15621" width="23.5703125" style="4" customWidth="1"/>
    <col min="15622" max="15622" width="19.5703125" style="4" customWidth="1"/>
    <col min="15623" max="15623" width="14.140625" style="4" customWidth="1"/>
    <col min="15624" max="15624" width="9.5703125" style="4" customWidth="1"/>
    <col min="15625" max="15625" width="14.42578125" style="4" customWidth="1"/>
    <col min="15626" max="15626" width="16.140625" style="4" customWidth="1"/>
    <col min="15627" max="15627" width="14.42578125" style="4" customWidth="1"/>
    <col min="15628" max="15628" width="13.42578125" style="4" customWidth="1"/>
    <col min="15629" max="15629" width="14.7109375" style="4" customWidth="1"/>
    <col min="15630" max="15631" width="14.28515625" style="4" customWidth="1"/>
    <col min="15632" max="15632" width="14" style="4" customWidth="1"/>
    <col min="15633" max="15633" width="11.5703125" style="4" customWidth="1"/>
    <col min="15634" max="15634" width="13.85546875" style="4" customWidth="1"/>
    <col min="15635" max="15872" width="11.42578125" style="4"/>
    <col min="15873" max="15874" width="20.42578125" style="4" customWidth="1"/>
    <col min="15875" max="15875" width="21.28515625" style="4" customWidth="1"/>
    <col min="15876" max="15876" width="16" style="4" customWidth="1"/>
    <col min="15877" max="15877" width="23.5703125" style="4" customWidth="1"/>
    <col min="15878" max="15878" width="19.5703125" style="4" customWidth="1"/>
    <col min="15879" max="15879" width="14.140625" style="4" customWidth="1"/>
    <col min="15880" max="15880" width="9.5703125" style="4" customWidth="1"/>
    <col min="15881" max="15881" width="14.42578125" style="4" customWidth="1"/>
    <col min="15882" max="15882" width="16.140625" style="4" customWidth="1"/>
    <col min="15883" max="15883" width="14.42578125" style="4" customWidth="1"/>
    <col min="15884" max="15884" width="13.42578125" style="4" customWidth="1"/>
    <col min="15885" max="15885" width="14.7109375" style="4" customWidth="1"/>
    <col min="15886" max="15887" width="14.28515625" style="4" customWidth="1"/>
    <col min="15888" max="15888" width="14" style="4" customWidth="1"/>
    <col min="15889" max="15889" width="11.5703125" style="4" customWidth="1"/>
    <col min="15890" max="15890" width="13.85546875" style="4" customWidth="1"/>
    <col min="15891" max="16128" width="11.42578125" style="4"/>
    <col min="16129" max="16130" width="20.42578125" style="4" customWidth="1"/>
    <col min="16131" max="16131" width="21.28515625" style="4" customWidth="1"/>
    <col min="16132" max="16132" width="16" style="4" customWidth="1"/>
    <col min="16133" max="16133" width="23.5703125" style="4" customWidth="1"/>
    <col min="16134" max="16134" width="19.5703125" style="4" customWidth="1"/>
    <col min="16135" max="16135" width="14.140625" style="4" customWidth="1"/>
    <col min="16136" max="16136" width="9.5703125" style="4" customWidth="1"/>
    <col min="16137" max="16137" width="14.42578125" style="4" customWidth="1"/>
    <col min="16138" max="16138" width="16.140625" style="4" customWidth="1"/>
    <col min="16139" max="16139" width="14.42578125" style="4" customWidth="1"/>
    <col min="16140" max="16140" width="13.42578125" style="4" customWidth="1"/>
    <col min="16141" max="16141" width="14.7109375" style="4" customWidth="1"/>
    <col min="16142" max="16143" width="14.28515625" style="4" customWidth="1"/>
    <col min="16144" max="16144" width="14" style="4" customWidth="1"/>
    <col min="16145" max="16145" width="11.5703125" style="4" customWidth="1"/>
    <col min="16146" max="16146" width="13.85546875" style="4" customWidth="1"/>
    <col min="16147" max="16384" width="11.42578125" style="4"/>
  </cols>
  <sheetData>
    <row r="1" spans="1:29" s="11" customFormat="1" ht="8.25" customHeight="1" thickBot="1" x14ac:dyDescent="0.25">
      <c r="A1" s="1"/>
      <c r="B1" s="2"/>
      <c r="C1" s="1"/>
      <c r="D1" s="3"/>
      <c r="E1" s="4"/>
      <c r="F1" s="4"/>
      <c r="G1" s="5"/>
      <c r="H1" s="5"/>
      <c r="I1" s="5"/>
      <c r="J1" s="5"/>
      <c r="K1" s="6"/>
      <c r="L1" s="7"/>
      <c r="M1" s="7"/>
      <c r="N1" s="8"/>
      <c r="O1" s="8"/>
      <c r="P1" s="9"/>
      <c r="Q1" s="8"/>
      <c r="R1" s="8"/>
      <c r="S1" s="8"/>
      <c r="T1" s="10"/>
      <c r="U1" s="10"/>
      <c r="V1" s="10"/>
      <c r="W1" s="10"/>
      <c r="X1" s="10"/>
      <c r="Y1" s="10"/>
      <c r="Z1" s="10"/>
      <c r="AA1" s="10"/>
      <c r="AB1" s="10"/>
    </row>
    <row r="2" spans="1:29" ht="25.5" customHeight="1" thickBot="1" x14ac:dyDescent="0.25">
      <c r="A2" s="568" t="s">
        <v>0</v>
      </c>
      <c r="B2" s="569"/>
      <c r="C2" s="569"/>
      <c r="D2" s="569"/>
      <c r="E2" s="569"/>
      <c r="F2" s="569"/>
      <c r="G2" s="569"/>
      <c r="H2" s="569"/>
      <c r="I2" s="570"/>
      <c r="J2" s="12"/>
      <c r="K2" s="6"/>
      <c r="L2" s="13"/>
      <c r="M2" s="13"/>
      <c r="N2" s="14"/>
      <c r="O2" s="14"/>
      <c r="P2" s="15"/>
      <c r="Q2" s="14"/>
      <c r="R2" s="14"/>
      <c r="S2" s="14"/>
      <c r="T2" s="14"/>
      <c r="U2" s="14"/>
      <c r="V2" s="14"/>
      <c r="W2" s="16"/>
      <c r="X2" s="16"/>
      <c r="Y2" s="16"/>
      <c r="Z2" s="16"/>
      <c r="AA2" s="16"/>
      <c r="AB2" s="16"/>
      <c r="AC2" s="16"/>
    </row>
    <row r="3" spans="1:29" ht="31.5" customHeight="1" x14ac:dyDescent="0.2">
      <c r="A3" s="571" t="s">
        <v>1</v>
      </c>
      <c r="B3" s="571"/>
      <c r="C3" s="571"/>
      <c r="D3" s="571"/>
      <c r="E3" s="571"/>
      <c r="F3" s="571"/>
      <c r="G3" s="571"/>
      <c r="H3" s="571"/>
      <c r="I3" s="571"/>
      <c r="J3" s="12"/>
      <c r="K3" s="6"/>
      <c r="L3" s="13"/>
      <c r="M3" s="13"/>
      <c r="N3" s="14"/>
      <c r="O3" s="14"/>
      <c r="P3" s="15"/>
      <c r="Q3" s="14"/>
      <c r="R3" s="14"/>
      <c r="S3" s="14"/>
      <c r="T3" s="14"/>
      <c r="U3" s="14"/>
      <c r="V3" s="14"/>
      <c r="W3" s="16"/>
      <c r="X3" s="16"/>
      <c r="Y3" s="16"/>
      <c r="Z3" s="16"/>
      <c r="AA3" s="16"/>
      <c r="AB3" s="16"/>
      <c r="AC3" s="16"/>
    </row>
    <row r="4" spans="1:29" ht="12.75" customHeight="1" x14ac:dyDescent="0.5">
      <c r="A4" s="17"/>
      <c r="B4" s="18"/>
      <c r="C4" s="7"/>
      <c r="D4" s="7"/>
      <c r="E4" s="19"/>
      <c r="F4" s="20"/>
      <c r="G4" s="21"/>
      <c r="H4" s="22"/>
      <c r="I4" s="22"/>
      <c r="J4" s="23"/>
      <c r="K4" s="24"/>
      <c r="N4" s="14"/>
      <c r="O4" s="14"/>
      <c r="P4" s="25"/>
      <c r="Q4" s="14"/>
      <c r="R4" s="14"/>
      <c r="S4" s="20"/>
      <c r="U4" s="26"/>
      <c r="V4" s="26"/>
      <c r="W4" s="16"/>
      <c r="X4" s="26"/>
      <c r="Y4" s="27"/>
      <c r="Z4" s="16"/>
      <c r="AA4" s="16"/>
      <c r="AB4" s="16"/>
      <c r="AC4" s="16"/>
    </row>
    <row r="5" spans="1:29" x14ac:dyDescent="0.2">
      <c r="A5" s="28" t="s">
        <v>2</v>
      </c>
      <c r="B5" s="29"/>
      <c r="C5" s="30" t="s">
        <v>3</v>
      </c>
      <c r="D5" s="30" t="s">
        <v>4</v>
      </c>
      <c r="E5" s="31"/>
      <c r="F5" s="32"/>
      <c r="G5" s="32"/>
      <c r="H5" s="7"/>
      <c r="I5" s="7"/>
      <c r="J5" s="32"/>
      <c r="N5" s="14"/>
      <c r="O5" s="14"/>
      <c r="P5" s="14"/>
      <c r="Q5" s="14"/>
      <c r="R5" s="14"/>
      <c r="S5" s="20"/>
      <c r="U5" s="26"/>
      <c r="V5" s="26"/>
      <c r="W5" s="16"/>
      <c r="X5" s="26"/>
      <c r="Y5" s="27"/>
      <c r="Z5" s="16"/>
      <c r="AA5" s="16"/>
      <c r="AB5" s="16"/>
      <c r="AC5" s="16"/>
    </row>
    <row r="6" spans="1:29" x14ac:dyDescent="0.2">
      <c r="B6" s="33"/>
      <c r="C6" s="34" t="s">
        <v>5</v>
      </c>
      <c r="D6" s="34" t="s">
        <v>6</v>
      </c>
      <c r="E6" s="35" t="s">
        <v>7</v>
      </c>
      <c r="G6" s="32"/>
      <c r="H6" s="7"/>
      <c r="I6" s="7"/>
      <c r="J6" s="7"/>
      <c r="N6" s="14"/>
      <c r="O6" s="14"/>
      <c r="P6" s="14"/>
      <c r="Q6" s="14"/>
      <c r="R6" s="14"/>
      <c r="S6" s="20"/>
      <c r="U6" s="26"/>
      <c r="V6" s="26"/>
      <c r="W6" s="16"/>
      <c r="X6" s="26"/>
      <c r="Y6" s="16"/>
      <c r="Z6" s="16"/>
      <c r="AA6" s="16"/>
      <c r="AB6" s="16"/>
      <c r="AC6" s="16"/>
    </row>
    <row r="7" spans="1:29" ht="12.75" customHeight="1" x14ac:dyDescent="0.2">
      <c r="B7" s="36" t="s">
        <v>8</v>
      </c>
      <c r="C7" s="37">
        <f>1.1%*E7</f>
        <v>10.758000000000001</v>
      </c>
      <c r="D7" s="38">
        <f>E7-C7</f>
        <v>967.24199999999996</v>
      </c>
      <c r="E7" s="39">
        <v>978</v>
      </c>
      <c r="F7" s="40"/>
      <c r="G7" s="299"/>
      <c r="H7" s="41"/>
      <c r="I7" s="301"/>
      <c r="J7" s="41"/>
      <c r="N7" s="14"/>
      <c r="O7" s="14"/>
      <c r="P7" s="14"/>
      <c r="Q7" s="14"/>
      <c r="R7" s="14"/>
      <c r="S7" s="20"/>
      <c r="U7" s="26"/>
      <c r="V7" s="26"/>
      <c r="W7" s="16"/>
      <c r="X7" s="26"/>
      <c r="Y7" s="16"/>
      <c r="Z7" s="16"/>
      <c r="AA7" s="16"/>
      <c r="AB7" s="16"/>
      <c r="AC7" s="16"/>
    </row>
    <row r="8" spans="1:29" ht="12.75" customHeight="1" x14ac:dyDescent="0.2">
      <c r="B8" s="36" t="s">
        <v>9</v>
      </c>
      <c r="C8" s="37">
        <f>1.1%*E8</f>
        <v>5.4120000000000008</v>
      </c>
      <c r="D8" s="38">
        <f>E8-C8</f>
        <v>486.58800000000002</v>
      </c>
      <c r="E8" s="39">
        <v>492</v>
      </c>
      <c r="F8" s="42"/>
      <c r="G8" s="300"/>
      <c r="H8" s="43"/>
      <c r="I8" s="301"/>
      <c r="J8" s="43"/>
      <c r="L8" s="44"/>
      <c r="N8" s="14"/>
      <c r="O8" s="14"/>
      <c r="P8" s="14"/>
      <c r="Q8" s="14"/>
      <c r="R8" s="14"/>
      <c r="S8" s="20"/>
      <c r="U8" s="26"/>
      <c r="V8" s="26"/>
      <c r="W8" s="16"/>
      <c r="X8" s="26"/>
      <c r="Y8" s="16"/>
      <c r="Z8" s="16"/>
      <c r="AA8" s="16"/>
      <c r="AB8" s="16"/>
      <c r="AC8" s="16"/>
    </row>
    <row r="9" spans="1:29" x14ac:dyDescent="0.2">
      <c r="B9" s="45" t="s">
        <v>7</v>
      </c>
      <c r="C9" s="46">
        <f>SUM(C7:C8)</f>
        <v>16.170000000000002</v>
      </c>
      <c r="D9" s="47">
        <f>SUM(D7:D8)</f>
        <v>1453.83</v>
      </c>
      <c r="E9" s="48">
        <f>SUM(E7:E8)</f>
        <v>1470</v>
      </c>
      <c r="F9" s="49"/>
      <c r="G9" s="302"/>
      <c r="H9" s="7"/>
      <c r="I9" s="303"/>
      <c r="J9" s="7"/>
      <c r="L9" s="44"/>
      <c r="O9" s="51"/>
      <c r="P9" s="52"/>
      <c r="Q9" s="52"/>
      <c r="R9" s="52"/>
      <c r="S9" s="26"/>
      <c r="U9" s="26"/>
      <c r="V9" s="26"/>
      <c r="W9" s="16"/>
      <c r="X9" s="26"/>
      <c r="Y9" s="16"/>
      <c r="Z9" s="16"/>
      <c r="AA9" s="16"/>
      <c r="AB9" s="16"/>
      <c r="AC9" s="16"/>
    </row>
    <row r="10" spans="1:29" x14ac:dyDescent="0.2">
      <c r="B10" s="53"/>
      <c r="C10" s="54"/>
      <c r="D10" s="50"/>
      <c r="E10" s="50"/>
      <c r="G10" s="55"/>
      <c r="H10" s="7"/>
      <c r="I10" s="7"/>
      <c r="J10" s="305"/>
      <c r="L10" s="44"/>
      <c r="O10" s="51"/>
      <c r="P10" s="52"/>
      <c r="Q10" s="52"/>
      <c r="R10" s="52"/>
      <c r="S10" s="26"/>
      <c r="U10" s="26"/>
      <c r="V10" s="26"/>
      <c r="W10" s="16"/>
      <c r="X10" s="26"/>
      <c r="Y10" s="16"/>
      <c r="Z10" s="16"/>
      <c r="AA10" s="16"/>
      <c r="AB10" s="16"/>
      <c r="AC10" s="16"/>
    </row>
    <row r="11" spans="1:29" s="11" customFormat="1" hidden="1" x14ac:dyDescent="0.2">
      <c r="A11" s="56" t="s">
        <v>10</v>
      </c>
      <c r="B11" s="57"/>
      <c r="C11" s="58"/>
      <c r="D11" s="8"/>
      <c r="E11" s="44"/>
      <c r="F11" s="59"/>
      <c r="G11" s="44"/>
      <c r="H11" s="60"/>
      <c r="I11" s="44"/>
      <c r="L11" s="59"/>
      <c r="O11" s="8"/>
      <c r="P11" s="61"/>
      <c r="Q11" s="61"/>
      <c r="R11" s="61"/>
      <c r="S11" s="8"/>
      <c r="T11" s="8"/>
      <c r="U11" s="8"/>
      <c r="V11" s="8"/>
    </row>
    <row r="12" spans="1:29" s="11" customFormat="1" hidden="1" x14ac:dyDescent="0.2">
      <c r="A12" s="4" t="s">
        <v>109</v>
      </c>
      <c r="B12" s="57"/>
      <c r="C12" s="58"/>
      <c r="D12" s="8"/>
      <c r="E12" s="44"/>
      <c r="F12" s="59"/>
      <c r="G12" s="44"/>
      <c r="H12" s="60"/>
      <c r="I12" s="44"/>
      <c r="J12" s="62"/>
      <c r="O12" s="8"/>
      <c r="P12" s="9"/>
      <c r="Q12" s="9"/>
      <c r="R12" s="9"/>
      <c r="S12" s="8"/>
      <c r="T12" s="8"/>
      <c r="U12" s="8"/>
      <c r="V12" s="8"/>
    </row>
    <row r="13" spans="1:29" s="11" customFormat="1" ht="39" hidden="1" customHeight="1" x14ac:dyDescent="0.2">
      <c r="A13" s="306" t="s">
        <v>11</v>
      </c>
      <c r="B13" s="306" t="s">
        <v>108</v>
      </c>
      <c r="C13" s="306" t="s">
        <v>12</v>
      </c>
      <c r="D13" s="306" t="s">
        <v>107</v>
      </c>
      <c r="E13" s="306" t="s">
        <v>106</v>
      </c>
      <c r="F13" s="306" t="s">
        <v>13</v>
      </c>
      <c r="G13" s="306" t="s">
        <v>14</v>
      </c>
      <c r="H13" s="306" t="s">
        <v>15</v>
      </c>
      <c r="I13" s="44"/>
      <c r="J13" s="281" t="s">
        <v>16</v>
      </c>
      <c r="K13" s="282" t="s">
        <v>14</v>
      </c>
      <c r="L13" s="282" t="s">
        <v>15</v>
      </c>
      <c r="O13" s="8"/>
      <c r="P13" s="8"/>
      <c r="Q13" s="8"/>
      <c r="R13" s="8"/>
      <c r="S13" s="8"/>
      <c r="T13" s="8"/>
      <c r="U13" s="8"/>
      <c r="V13" s="8"/>
    </row>
    <row r="14" spans="1:29" s="293" customFormat="1" ht="15.75" hidden="1" customHeight="1" x14ac:dyDescent="0.25">
      <c r="A14" s="283">
        <f>LN((C7/E7)/(C8/E8))</f>
        <v>0</v>
      </c>
      <c r="B14" s="304">
        <f>SQRT((D7/(C7*E7)+(D8/(C8*E8))))</f>
        <v>0.52409316012507801</v>
      </c>
      <c r="C14" s="284">
        <f>-NORMSINV(2.5/100)</f>
        <v>1.9599639845400538</v>
      </c>
      <c r="D14" s="284">
        <f>A14-(C14*B14)</f>
        <v>-1.0272037183889364</v>
      </c>
      <c r="E14" s="285">
        <f>A14+(C14*B14)</f>
        <v>1.0272037183889364</v>
      </c>
      <c r="F14" s="286">
        <f>(C7/E7)/(C8/E8)</f>
        <v>1</v>
      </c>
      <c r="G14" s="287">
        <f>EXP(D14)</f>
        <v>0.35800664962267059</v>
      </c>
      <c r="H14" s="288">
        <f>EXP(E14)</f>
        <v>2.7932442066480418</v>
      </c>
      <c r="I14" s="289"/>
      <c r="J14" s="290">
        <f>1-F14</f>
        <v>0</v>
      </c>
      <c r="K14" s="291">
        <f>1-G14</f>
        <v>0.64199335037732941</v>
      </c>
      <c r="L14" s="291">
        <f>1-H14</f>
        <v>-1.7932442066480418</v>
      </c>
      <c r="M14" s="292"/>
      <c r="O14" s="294"/>
      <c r="P14" s="294"/>
      <c r="Q14" s="294"/>
      <c r="R14" s="294"/>
      <c r="S14" s="294"/>
      <c r="T14" s="294"/>
      <c r="U14" s="294"/>
      <c r="V14" s="294"/>
    </row>
    <row r="15" spans="1:29" s="11" customFormat="1" hidden="1" x14ac:dyDescent="0.2">
      <c r="B15" s="57"/>
      <c r="C15" s="63"/>
      <c r="D15" s="64"/>
      <c r="E15" s="65"/>
      <c r="F15" s="66"/>
      <c r="G15" s="67"/>
      <c r="H15" s="64"/>
      <c r="I15" s="44"/>
      <c r="J15" s="59"/>
      <c r="K15" s="59"/>
      <c r="L15" s="59"/>
      <c r="O15" s="8"/>
      <c r="P15" s="8"/>
      <c r="Q15" s="8"/>
      <c r="R15" s="8"/>
      <c r="S15" s="8"/>
      <c r="T15" s="8"/>
      <c r="U15" s="8"/>
      <c r="V15" s="8"/>
    </row>
    <row r="16" spans="1:29" s="16" customFormat="1" hidden="1" x14ac:dyDescent="0.2">
      <c r="B16" s="68"/>
      <c r="C16" s="69"/>
      <c r="D16" s="70"/>
      <c r="E16" s="71"/>
      <c r="F16" s="72"/>
      <c r="G16" s="73"/>
      <c r="H16" s="74"/>
      <c r="I16" s="75"/>
      <c r="L16" s="76"/>
      <c r="M16" s="76"/>
    </row>
    <row r="17" spans="1:29" ht="18.75" hidden="1" x14ac:dyDescent="0.3">
      <c r="A17" s="77" t="s">
        <v>17</v>
      </c>
      <c r="B17" s="78"/>
      <c r="C17" s="79"/>
      <c r="D17" s="80"/>
      <c r="E17" s="75"/>
      <c r="F17" s="75"/>
      <c r="G17" s="75"/>
      <c r="H17" s="81"/>
      <c r="I17" s="75"/>
      <c r="J17" s="16"/>
      <c r="K17" s="82"/>
      <c r="L17" s="8"/>
      <c r="M17" s="83"/>
      <c r="N17" s="83"/>
      <c r="O17" s="8"/>
      <c r="P17" s="8"/>
      <c r="Q17" s="84"/>
      <c r="R17" s="83"/>
      <c r="S17" s="85"/>
      <c r="T17" s="85"/>
      <c r="U17" s="85"/>
      <c r="V17" s="16"/>
      <c r="W17" s="16"/>
      <c r="X17" s="16"/>
      <c r="Y17" s="16"/>
      <c r="Z17" s="16"/>
      <c r="AA17" s="16"/>
      <c r="AB17" s="16"/>
    </row>
    <row r="18" spans="1:29" hidden="1" x14ac:dyDescent="0.2">
      <c r="A18" s="86" t="s">
        <v>18</v>
      </c>
      <c r="B18" s="87" t="s">
        <v>19</v>
      </c>
      <c r="C18" s="88"/>
      <c r="D18" s="89"/>
      <c r="E18" s="90"/>
      <c r="F18" s="90"/>
      <c r="G18" s="90"/>
      <c r="H18" s="91"/>
      <c r="I18" s="90"/>
      <c r="J18" s="92"/>
      <c r="K18" s="93"/>
      <c r="L18" s="94"/>
      <c r="M18" s="83"/>
      <c r="N18" s="8"/>
      <c r="O18" s="8"/>
      <c r="P18" s="84"/>
      <c r="Q18" s="83"/>
      <c r="R18" s="85"/>
      <c r="S18" s="85"/>
      <c r="T18" s="85"/>
      <c r="V18" s="16" t="s">
        <v>20</v>
      </c>
      <c r="W18" s="16"/>
      <c r="X18" s="16"/>
      <c r="Y18" s="16"/>
      <c r="Z18" s="16"/>
      <c r="AA18" s="16"/>
    </row>
    <row r="19" spans="1:29" hidden="1" x14ac:dyDescent="0.2">
      <c r="A19" s="95" t="s">
        <v>21</v>
      </c>
      <c r="B19" s="96" t="s">
        <v>22</v>
      </c>
      <c r="C19" s="97"/>
      <c r="D19" s="96" t="s">
        <v>23</v>
      </c>
      <c r="E19" s="96"/>
      <c r="F19" s="96" t="s">
        <v>24</v>
      </c>
      <c r="G19" s="96"/>
      <c r="H19" s="96" t="s">
        <v>25</v>
      </c>
      <c r="I19" s="98"/>
      <c r="J19" s="98"/>
      <c r="K19" s="98"/>
      <c r="L19" s="94"/>
      <c r="M19" s="16"/>
      <c r="O19" s="4"/>
      <c r="S19" s="16"/>
      <c r="U19" s="4"/>
      <c r="V19" s="4" t="s">
        <v>26</v>
      </c>
      <c r="X19" s="99"/>
      <c r="Y19" s="99"/>
      <c r="Z19" s="99"/>
      <c r="AA19" s="99"/>
      <c r="AB19" s="99"/>
      <c r="AC19" s="99"/>
    </row>
    <row r="20" spans="1:29" ht="38.25" hidden="1" customHeight="1" x14ac:dyDescent="0.2">
      <c r="A20" s="295" t="s">
        <v>27</v>
      </c>
      <c r="B20" s="295" t="s">
        <v>28</v>
      </c>
      <c r="C20" s="296" t="s">
        <v>29</v>
      </c>
      <c r="D20" s="296" t="s">
        <v>22</v>
      </c>
      <c r="E20" s="296" t="s">
        <v>23</v>
      </c>
      <c r="F20" s="296" t="s">
        <v>24</v>
      </c>
      <c r="G20" s="296" t="s">
        <v>25</v>
      </c>
      <c r="H20" s="297" t="s">
        <v>12</v>
      </c>
      <c r="I20" s="298" t="s">
        <v>30</v>
      </c>
      <c r="J20" s="298" t="s">
        <v>14</v>
      </c>
      <c r="K20" s="296" t="s">
        <v>15</v>
      </c>
      <c r="L20" s="100"/>
      <c r="M20" s="101"/>
      <c r="N20" s="102" t="s">
        <v>31</v>
      </c>
      <c r="O20" s="103" t="s">
        <v>32</v>
      </c>
      <c r="P20" s="104"/>
      <c r="Q20" s="105"/>
      <c r="R20" s="106"/>
      <c r="S20" s="106"/>
      <c r="T20" s="107"/>
      <c r="V20" s="108"/>
      <c r="W20" s="102" t="s">
        <v>33</v>
      </c>
      <c r="X20" s="103" t="s">
        <v>34</v>
      </c>
      <c r="Y20" s="109"/>
      <c r="Z20" s="109"/>
      <c r="AA20" s="109"/>
      <c r="AB20" s="109"/>
      <c r="AC20" s="110"/>
    </row>
    <row r="21" spans="1:29" ht="12.75" hidden="1" customHeight="1" x14ac:dyDescent="0.2">
      <c r="A21" s="111">
        <f>C7</f>
        <v>10.758000000000001</v>
      </c>
      <c r="B21" s="111">
        <f>E7</f>
        <v>978</v>
      </c>
      <c r="C21" s="112">
        <f>A21/B21</f>
        <v>1.1000000000000001E-2</v>
      </c>
      <c r="D21" s="113">
        <f>2*A21+H21^2</f>
        <v>25.357458820694127</v>
      </c>
      <c r="E21" s="113">
        <f>H21*SQRT((H21^2)+(4*A21*(1-C21)))</f>
        <v>13.350808950303538</v>
      </c>
      <c r="F21" s="114">
        <f>2*(B21+H21^2)</f>
        <v>1963.6829176413883</v>
      </c>
      <c r="G21" s="115" t="s">
        <v>35</v>
      </c>
      <c r="H21" s="116">
        <f>-NORMSINV(2.5/100)</f>
        <v>1.9599639845400538</v>
      </c>
      <c r="I21" s="117">
        <f>C21</f>
        <v>1.1000000000000001E-2</v>
      </c>
      <c r="J21" s="118">
        <f>(D21-E21)/F21</f>
        <v>6.1143526597522034E-3</v>
      </c>
      <c r="K21" s="119">
        <f>(D21+E21)/F21</f>
        <v>1.9712076437213601E-2</v>
      </c>
      <c r="L21" s="100"/>
      <c r="M21" s="120">
        <f>B21</f>
        <v>978</v>
      </c>
      <c r="N21" s="32" t="s">
        <v>36</v>
      </c>
      <c r="O21" s="8"/>
      <c r="P21" s="84"/>
      <c r="Q21" s="83"/>
      <c r="R21" s="85"/>
      <c r="S21" s="85"/>
      <c r="T21" s="121"/>
      <c r="V21" s="122">
        <f>ABS(C21-C22)</f>
        <v>0</v>
      </c>
      <c r="W21" s="32" t="s">
        <v>37</v>
      </c>
      <c r="X21" s="8"/>
      <c r="Y21" s="32"/>
      <c r="Z21" s="32"/>
      <c r="AA21" s="32"/>
      <c r="AB21" s="32"/>
      <c r="AC21" s="123"/>
    </row>
    <row r="22" spans="1:29" hidden="1" x14ac:dyDescent="0.2">
      <c r="A22" s="111">
        <f>C8</f>
        <v>5.4120000000000008</v>
      </c>
      <c r="B22" s="111">
        <f>E8</f>
        <v>492</v>
      </c>
      <c r="C22" s="112">
        <f>A22/B22</f>
        <v>1.1000000000000001E-2</v>
      </c>
      <c r="D22" s="113">
        <f>2*A22+H22^2</f>
        <v>14.665458820694127</v>
      </c>
      <c r="E22" s="113">
        <f>H22*SQRT((H22^2)+(4*A22*(1-C22)))</f>
        <v>9.8489566714155501</v>
      </c>
      <c r="F22" s="114">
        <f>2*(B22+H22^2)</f>
        <v>991.68291764138826</v>
      </c>
      <c r="G22" s="115" t="s">
        <v>35</v>
      </c>
      <c r="H22" s="116">
        <f>-NORMSINV(2.5/100)</f>
        <v>1.9599639845400538</v>
      </c>
      <c r="I22" s="117">
        <f>C22</f>
        <v>1.1000000000000001E-2</v>
      </c>
      <c r="J22" s="118">
        <f>(D22-E22)/F22</f>
        <v>4.8568973646678434E-3</v>
      </c>
      <c r="K22" s="119">
        <f>(D22+E22)/F22</f>
        <v>2.4720013883484646E-2</v>
      </c>
      <c r="L22" s="100"/>
      <c r="M22" s="124">
        <f>I26</f>
        <v>0</v>
      </c>
      <c r="N22" s="32" t="s">
        <v>38</v>
      </c>
      <c r="O22" s="32"/>
      <c r="P22" s="32"/>
      <c r="Q22" s="32"/>
      <c r="R22" s="32"/>
      <c r="S22" s="32"/>
      <c r="T22" s="125"/>
      <c r="V22" s="126">
        <f>SQRT((C23*(1-C23)/B21)+(C23*(1-C23)/B22))</f>
        <v>5.7650247613758587E-3</v>
      </c>
      <c r="W22" s="127" t="s">
        <v>39</v>
      </c>
      <c r="X22" s="32"/>
      <c r="Y22" s="32"/>
      <c r="Z22" s="32"/>
      <c r="AA22" s="32"/>
      <c r="AB22" s="32"/>
      <c r="AC22" s="123"/>
    </row>
    <row r="23" spans="1:29" hidden="1" x14ac:dyDescent="0.2">
      <c r="A23" s="128">
        <f>A21+A22</f>
        <v>16.170000000000002</v>
      </c>
      <c r="B23" s="128">
        <f>B21+B22</f>
        <v>1470</v>
      </c>
      <c r="C23" s="129">
        <f>A23/B23</f>
        <v>1.1000000000000001E-2</v>
      </c>
      <c r="D23" s="130"/>
      <c r="E23" s="130"/>
      <c r="F23" s="131"/>
      <c r="G23" s="41"/>
      <c r="H23" s="132"/>
      <c r="I23" s="133"/>
      <c r="J23" s="133"/>
      <c r="K23" s="133"/>
      <c r="L23" s="100"/>
      <c r="M23" s="134">
        <f>(A21+A22)/(B21+B22)</f>
        <v>1.1000000000000001E-2</v>
      </c>
      <c r="N23" s="32" t="s">
        <v>40</v>
      </c>
      <c r="O23" s="8"/>
      <c r="P23" s="84"/>
      <c r="Q23" s="83"/>
      <c r="R23" s="85"/>
      <c r="S23" s="85"/>
      <c r="T23" s="123"/>
      <c r="V23" s="135">
        <f>V21/V22</f>
        <v>0</v>
      </c>
      <c r="W23" s="32" t="s">
        <v>41</v>
      </c>
      <c r="X23" s="8"/>
      <c r="Y23" s="32"/>
      <c r="Z23" s="32"/>
      <c r="AA23" s="32"/>
      <c r="AB23" s="32"/>
      <c r="AC23" s="123"/>
    </row>
    <row r="24" spans="1:29" hidden="1" x14ac:dyDescent="0.2">
      <c r="A24" s="96"/>
      <c r="B24" s="87" t="s">
        <v>42</v>
      </c>
      <c r="C24" s="96"/>
      <c r="D24" s="96"/>
      <c r="E24" s="90"/>
      <c r="F24" s="90"/>
      <c r="G24" s="90"/>
      <c r="H24" s="91"/>
      <c r="I24" s="90"/>
      <c r="J24" s="92"/>
      <c r="K24" s="96"/>
      <c r="L24" s="100"/>
      <c r="M24" s="136">
        <f>SQRT(M21*M22^2/(2*M23*(1-M23)))-H21</f>
        <v>-1.9599639845400538</v>
      </c>
      <c r="N24" s="32" t="s">
        <v>43</v>
      </c>
      <c r="O24" s="32"/>
      <c r="P24" s="32"/>
      <c r="Q24" s="32"/>
      <c r="R24" s="32"/>
      <c r="S24" s="11"/>
      <c r="T24" s="121"/>
      <c r="V24" s="137">
        <f>NORMSDIST(-V23)</f>
        <v>0.5</v>
      </c>
      <c r="W24" s="82" t="s">
        <v>44</v>
      </c>
      <c r="X24" s="32"/>
      <c r="Y24" s="11"/>
      <c r="Z24" s="11"/>
      <c r="AA24" s="11"/>
      <c r="AB24" s="11"/>
      <c r="AC24" s="125"/>
    </row>
    <row r="25" spans="1:29" hidden="1" x14ac:dyDescent="0.2">
      <c r="A25" s="96"/>
      <c r="B25" s="87" t="s">
        <v>45</v>
      </c>
      <c r="C25" s="88"/>
      <c r="D25" s="89"/>
      <c r="E25" s="90"/>
      <c r="F25" s="90"/>
      <c r="I25" s="138"/>
      <c r="J25" s="138"/>
      <c r="K25" s="138"/>
      <c r="L25" s="100"/>
      <c r="M25" s="139">
        <f>NORMSDIST(M24)</f>
        <v>2.5000000000000022E-2</v>
      </c>
      <c r="N25" s="82" t="s">
        <v>46</v>
      </c>
      <c r="O25" s="140"/>
      <c r="P25" s="32"/>
      <c r="Q25" s="32"/>
      <c r="R25" s="32"/>
      <c r="S25" s="32"/>
      <c r="T25" s="123"/>
      <c r="V25" s="141">
        <f>1-V24</f>
        <v>0.5</v>
      </c>
      <c r="W25" s="142" t="s">
        <v>47</v>
      </c>
      <c r="X25" s="140"/>
      <c r="Y25" s="11"/>
      <c r="Z25" s="11"/>
      <c r="AA25" s="11"/>
      <c r="AB25" s="11"/>
      <c r="AC25" s="125"/>
    </row>
    <row r="26" spans="1:29" ht="15" hidden="1" customHeight="1" x14ac:dyDescent="0.3">
      <c r="A26" s="143" t="s">
        <v>48</v>
      </c>
      <c r="B26" s="144"/>
      <c r="D26" s="88"/>
      <c r="E26" s="145" t="s">
        <v>49</v>
      </c>
      <c r="F26" s="96"/>
      <c r="G26" s="88"/>
      <c r="H26" s="146" t="s">
        <v>50</v>
      </c>
      <c r="I26" s="147">
        <f>C22-C21</f>
        <v>0</v>
      </c>
      <c r="J26" s="148">
        <f>I26+SQRT((C22-J22)^2+(K21-C21)^2)</f>
        <v>1.0660111905420004E-2</v>
      </c>
      <c r="K26" s="149">
        <f>I26-SQRT((C21-J21)^2+(K22-C22)^2)</f>
        <v>-1.4563939401696292E-2</v>
      </c>
      <c r="L26" s="32"/>
      <c r="M26" s="150">
        <f>1-M25</f>
        <v>0.97499999999999998</v>
      </c>
      <c r="N26" s="151" t="s">
        <v>51</v>
      </c>
      <c r="O26" s="152"/>
      <c r="P26" s="153"/>
      <c r="Q26" s="152"/>
      <c r="R26" s="152"/>
      <c r="S26" s="152"/>
      <c r="T26" s="154"/>
      <c r="V26" s="155"/>
      <c r="W26" s="156"/>
      <c r="X26" s="152"/>
      <c r="Y26" s="156"/>
      <c r="Z26" s="156"/>
      <c r="AA26" s="156"/>
      <c r="AB26" s="156"/>
      <c r="AC26" s="157"/>
    </row>
    <row r="27" spans="1:29" ht="13.5" hidden="1" thickBot="1" x14ac:dyDescent="0.25">
      <c r="C27" s="49"/>
      <c r="E27" s="158"/>
      <c r="H27" s="159" t="s">
        <v>52</v>
      </c>
      <c r="I27" s="160" t="e">
        <f>1/I26</f>
        <v>#DIV/0!</v>
      </c>
      <c r="J27" s="161">
        <f>1/J26</f>
        <v>93.807645630020275</v>
      </c>
      <c r="K27" s="162">
        <f>1/K26</f>
        <v>-68.662741063281814</v>
      </c>
      <c r="L27" s="50"/>
      <c r="N27" s="4"/>
      <c r="O27" s="4"/>
      <c r="T27" s="4"/>
      <c r="U27" s="4"/>
      <c r="V27" s="16"/>
      <c r="W27" s="16"/>
      <c r="X27" s="16"/>
      <c r="Y27" s="16"/>
      <c r="Z27" s="16"/>
      <c r="AA27" s="16"/>
      <c r="AB27" s="16"/>
    </row>
    <row r="28" spans="1:29" hidden="1" x14ac:dyDescent="0.2">
      <c r="A28" s="11"/>
      <c r="B28" s="163"/>
      <c r="C28" s="49"/>
      <c r="D28" s="164"/>
      <c r="I28" s="165"/>
      <c r="J28" s="166"/>
      <c r="K28" s="166"/>
      <c r="L28" s="167"/>
      <c r="M28" s="167"/>
      <c r="N28" s="19"/>
      <c r="O28" s="19"/>
      <c r="P28" s="19"/>
      <c r="Q28" s="19"/>
      <c r="R28" s="19"/>
      <c r="S28" s="19"/>
      <c r="T28" s="4"/>
      <c r="U28" s="4"/>
    </row>
    <row r="29" spans="1:29" ht="15.75" hidden="1" x14ac:dyDescent="0.25">
      <c r="A29" s="62"/>
      <c r="B29" s="62"/>
      <c r="C29" s="163"/>
      <c r="D29" s="164"/>
      <c r="E29" s="168"/>
      <c r="F29" s="169"/>
      <c r="G29" s="170" t="s">
        <v>53</v>
      </c>
      <c r="H29" s="171" t="s">
        <v>54</v>
      </c>
      <c r="I29" s="172" t="e">
        <f>I27</f>
        <v>#DIV/0!</v>
      </c>
      <c r="J29" s="172">
        <f>J27</f>
        <v>93.807645630020275</v>
      </c>
      <c r="K29" s="172">
        <f>K27</f>
        <v>-68.662741063281814</v>
      </c>
      <c r="L29" s="55"/>
      <c r="T29" s="4"/>
      <c r="U29" s="4"/>
    </row>
    <row r="30" spans="1:29" s="11" customFormat="1" hidden="1" x14ac:dyDescent="0.2">
      <c r="A30" s="44"/>
      <c r="B30" s="164"/>
      <c r="C30" s="164"/>
      <c r="D30" s="173"/>
      <c r="E30" s="174"/>
      <c r="F30" s="175"/>
      <c r="G30" s="176"/>
      <c r="H30" s="177" t="s">
        <v>55</v>
      </c>
      <c r="I30" s="178" t="e">
        <f>(1-C22)*I27</f>
        <v>#DIV/0!</v>
      </c>
      <c r="J30" s="178">
        <f>(1-C22)*J27</f>
        <v>92.775761528090058</v>
      </c>
      <c r="K30" s="178">
        <f>(1-C22)*K27</f>
        <v>-67.907450911585713</v>
      </c>
      <c r="L30" s="4"/>
      <c r="M30" s="4"/>
      <c r="N30" s="16"/>
      <c r="O30" s="16"/>
      <c r="P30" s="4"/>
      <c r="Q30" s="4"/>
      <c r="R30" s="4"/>
      <c r="S30" s="4"/>
    </row>
    <row r="31" spans="1:29" s="11" customFormat="1" hidden="1" x14ac:dyDescent="0.2">
      <c r="B31" s="163"/>
      <c r="C31" s="163"/>
      <c r="D31" s="163"/>
      <c r="E31" s="179"/>
      <c r="F31" s="180"/>
      <c r="G31" s="181"/>
      <c r="H31" s="182" t="s">
        <v>56</v>
      </c>
      <c r="I31" s="183" t="e">
        <f>I27*I26</f>
        <v>#DIV/0!</v>
      </c>
      <c r="J31" s="183">
        <f>J27*J26</f>
        <v>1</v>
      </c>
      <c r="K31" s="183">
        <f>K27*K26</f>
        <v>1</v>
      </c>
    </row>
    <row r="32" spans="1:29" s="11" customFormat="1" hidden="1" x14ac:dyDescent="0.2">
      <c r="A32" s="59"/>
      <c r="B32" s="184"/>
      <c r="D32" s="59"/>
      <c r="F32" s="185"/>
      <c r="G32" s="186"/>
      <c r="H32" s="187" t="s">
        <v>57</v>
      </c>
      <c r="I32" s="188" t="e">
        <f>(C22-I26)*I27</f>
        <v>#DIV/0!</v>
      </c>
      <c r="J32" s="188">
        <f>(C22-J26)*J27</f>
        <v>3.188410193022314E-2</v>
      </c>
      <c r="K32" s="188">
        <f>(C22-K26)*K27</f>
        <v>-1.7552901516961001</v>
      </c>
    </row>
    <row r="33" spans="1:21" s="11" customFormat="1" hidden="1" x14ac:dyDescent="0.2">
      <c r="A33" s="59"/>
      <c r="F33" s="189"/>
      <c r="G33" s="189"/>
      <c r="H33" s="189"/>
      <c r="I33" s="190"/>
      <c r="J33" s="190"/>
      <c r="K33" s="190"/>
    </row>
    <row r="34" spans="1:21" s="11" customFormat="1" ht="15.75" hidden="1" x14ac:dyDescent="0.25">
      <c r="E34" s="191"/>
      <c r="F34" s="192"/>
      <c r="G34" s="170" t="s">
        <v>58</v>
      </c>
      <c r="H34" s="171" t="s">
        <v>59</v>
      </c>
      <c r="I34" s="172" t="e">
        <f>ABS(I27)</f>
        <v>#DIV/0!</v>
      </c>
      <c r="J34" s="172">
        <f>ABS(K27)</f>
        <v>68.662741063281814</v>
      </c>
      <c r="K34" s="172">
        <f>ABS(J27)</f>
        <v>93.807645630020275</v>
      </c>
      <c r="M34" s="193"/>
      <c r="N34" s="193"/>
      <c r="O34" s="194"/>
      <c r="P34" s="195"/>
    </row>
    <row r="35" spans="1:21" s="11" customFormat="1" ht="13.5" hidden="1" customHeight="1" x14ac:dyDescent="0.2">
      <c r="F35" s="196"/>
      <c r="G35" s="197"/>
      <c r="H35" s="198" t="s">
        <v>55</v>
      </c>
      <c r="I35" s="178" t="e">
        <f>ABS((1-(C22-I26))*I27)</f>
        <v>#DIV/0!</v>
      </c>
      <c r="J35" s="178">
        <f>ABS((1-(C22-K26))*K27)</f>
        <v>66.907450911585713</v>
      </c>
      <c r="K35" s="178">
        <f>ABS((1-(C22-J26))*J27)</f>
        <v>93.775761528090058</v>
      </c>
      <c r="M35" s="193"/>
      <c r="N35" s="193"/>
      <c r="O35" s="193"/>
      <c r="P35" s="195"/>
    </row>
    <row r="36" spans="1:21" s="11" customFormat="1" hidden="1" x14ac:dyDescent="0.2">
      <c r="E36" s="199"/>
      <c r="F36" s="200"/>
      <c r="G36" s="201"/>
      <c r="H36" s="202" t="s">
        <v>60</v>
      </c>
      <c r="I36" s="203" t="e">
        <f>I27*I26</f>
        <v>#DIV/0!</v>
      </c>
      <c r="J36" s="204">
        <f>K27*K26</f>
        <v>1</v>
      </c>
      <c r="K36" s="204">
        <f>J27*J26</f>
        <v>1</v>
      </c>
    </row>
    <row r="37" spans="1:21" ht="15.75" hidden="1" x14ac:dyDescent="0.25">
      <c r="A37" s="205" t="s">
        <v>61</v>
      </c>
      <c r="B37" s="206"/>
      <c r="C37" s="206"/>
      <c r="D37" s="206"/>
      <c r="E37" s="189"/>
      <c r="F37" s="207"/>
      <c r="G37" s="208"/>
      <c r="H37" s="209" t="s">
        <v>62</v>
      </c>
      <c r="I37" s="188" t="e">
        <f>ABS(C22*I27)</f>
        <v>#DIV/0!</v>
      </c>
      <c r="J37" s="188">
        <f>ABS(C22*K27)</f>
        <v>0.75529015169610003</v>
      </c>
      <c r="K37" s="188">
        <f>ABS(C22*J27)</f>
        <v>1.0318841019302232</v>
      </c>
      <c r="M37" s="11"/>
      <c r="N37" s="11"/>
      <c r="O37" s="11"/>
      <c r="P37" s="11"/>
      <c r="Q37" s="11"/>
      <c r="T37" s="4"/>
      <c r="U37" s="4"/>
    </row>
    <row r="38" spans="1:21" s="16" customFormat="1" hidden="1" x14ac:dyDescent="0.2">
      <c r="A38" s="4"/>
      <c r="B38" s="210" t="s">
        <v>3</v>
      </c>
      <c r="C38" s="211" t="s">
        <v>4</v>
      </c>
      <c r="D38" s="32"/>
      <c r="E38" s="189"/>
      <c r="F38" s="189"/>
      <c r="G38" s="212"/>
      <c r="H38" s="213"/>
      <c r="I38" s="214"/>
      <c r="J38" s="214"/>
      <c r="K38" s="214"/>
      <c r="M38" s="11"/>
      <c r="N38" s="11"/>
      <c r="O38" s="11"/>
      <c r="P38" s="11"/>
      <c r="Q38" s="11"/>
    </row>
    <row r="39" spans="1:21" hidden="1" x14ac:dyDescent="0.2">
      <c r="A39" s="215" t="s">
        <v>63</v>
      </c>
      <c r="B39" s="216" t="s">
        <v>5</v>
      </c>
      <c r="C39" s="217" t="s">
        <v>6</v>
      </c>
      <c r="D39" s="218" t="s">
        <v>7</v>
      </c>
      <c r="M39" s="11"/>
      <c r="N39" s="11"/>
      <c r="O39" s="11"/>
      <c r="P39" s="11"/>
      <c r="Q39" s="11"/>
      <c r="T39" s="4"/>
      <c r="U39" s="4"/>
    </row>
    <row r="40" spans="1:21" hidden="1" x14ac:dyDescent="0.2">
      <c r="A40" s="219" t="s">
        <v>64</v>
      </c>
      <c r="B40" s="220">
        <f>E7*C9/E9</f>
        <v>10.758000000000001</v>
      </c>
      <c r="C40" s="220">
        <f>E7*D9/E9</f>
        <v>967.24199999999996</v>
      </c>
      <c r="D40" s="220">
        <f>E7</f>
        <v>978</v>
      </c>
      <c r="F40" s="221"/>
      <c r="G40" s="222" t="s">
        <v>65</v>
      </c>
      <c r="H40" s="223">
        <f>CHIINV(0.05,J41)</f>
        <v>3.8414588206941236</v>
      </c>
      <c r="M40" s="11"/>
      <c r="N40" s="193"/>
      <c r="O40" s="193"/>
      <c r="P40" s="193"/>
      <c r="Q40" s="11"/>
      <c r="T40" s="4"/>
      <c r="U40" s="4"/>
    </row>
    <row r="41" spans="1:21" hidden="1" x14ac:dyDescent="0.2">
      <c r="A41" s="224" t="s">
        <v>66</v>
      </c>
      <c r="B41" s="220">
        <f>E8*C9/E9</f>
        <v>5.4120000000000008</v>
      </c>
      <c r="C41" s="220">
        <f>E8*D9/E9</f>
        <v>486.58799999999997</v>
      </c>
      <c r="D41" s="220">
        <f>E8</f>
        <v>492</v>
      </c>
      <c r="E41" s="16"/>
      <c r="F41" s="225"/>
      <c r="G41" s="225"/>
      <c r="H41" s="169"/>
      <c r="I41" s="226" t="s">
        <v>67</v>
      </c>
      <c r="J41" s="227">
        <f>(COUNT(B40:C40)-1)*(COUNT(B40:B41)-1)</f>
        <v>1</v>
      </c>
      <c r="N41" s="193"/>
      <c r="O41" s="193"/>
      <c r="P41" s="193"/>
      <c r="Q41" s="11"/>
      <c r="T41" s="4"/>
      <c r="U41" s="4"/>
    </row>
    <row r="42" spans="1:21" hidden="1" x14ac:dyDescent="0.2">
      <c r="A42" s="88" t="s">
        <v>68</v>
      </c>
      <c r="B42" s="220">
        <f>SUM(B40:B41)</f>
        <v>16.170000000000002</v>
      </c>
      <c r="C42" s="220">
        <f>SUM(C40:C41)</f>
        <v>1453.83</v>
      </c>
      <c r="D42" s="228">
        <f>SUM(D40:D41)</f>
        <v>1470</v>
      </c>
      <c r="E42" s="16"/>
      <c r="F42" s="16"/>
      <c r="G42" s="229" t="s">
        <v>69</v>
      </c>
      <c r="H42" s="32" t="s">
        <v>70</v>
      </c>
      <c r="N42" s="193"/>
      <c r="O42" s="194"/>
      <c r="P42" s="193"/>
      <c r="Q42" s="11"/>
      <c r="T42" s="4"/>
      <c r="U42" s="4"/>
    </row>
    <row r="43" spans="1:21" hidden="1" x14ac:dyDescent="0.2">
      <c r="A43" s="88"/>
      <c r="B43" s="230"/>
      <c r="C43" s="230"/>
      <c r="D43" s="231"/>
      <c r="E43" s="16"/>
      <c r="F43" s="16"/>
      <c r="G43" s="229" t="s">
        <v>71</v>
      </c>
      <c r="H43" s="32" t="s">
        <v>72</v>
      </c>
      <c r="N43" s="195"/>
      <c r="O43" s="195"/>
      <c r="P43" s="195"/>
      <c r="Q43" s="11"/>
      <c r="T43" s="4"/>
      <c r="U43" s="4"/>
    </row>
    <row r="44" spans="1:21" ht="26.25" hidden="1" customHeight="1" x14ac:dyDescent="0.2">
      <c r="A44" s="232"/>
      <c r="B44" s="572" t="s">
        <v>73</v>
      </c>
      <c r="C44" s="573"/>
      <c r="F44" s="88"/>
      <c r="G44" s="233"/>
      <c r="H44" s="96"/>
      <c r="N44" s="4"/>
      <c r="O44" s="4"/>
      <c r="T44" s="4"/>
      <c r="U44" s="4"/>
    </row>
    <row r="45" spans="1:21" hidden="1" x14ac:dyDescent="0.2">
      <c r="A45" s="232"/>
      <c r="B45" s="234">
        <f>(C7-B40)^2/B40</f>
        <v>0</v>
      </c>
      <c r="C45" s="234">
        <f>(D7-C40)^2/C40</f>
        <v>0</v>
      </c>
      <c r="E45" s="215"/>
      <c r="F45" s="235"/>
      <c r="I45" s="11"/>
      <c r="J45" s="11"/>
      <c r="K45" s="236"/>
      <c r="N45" s="4"/>
      <c r="O45" s="4"/>
      <c r="T45" s="4"/>
      <c r="U45" s="4"/>
    </row>
    <row r="46" spans="1:21" hidden="1" x14ac:dyDescent="0.2">
      <c r="A46" s="232"/>
      <c r="B46" s="234">
        <f>(C8-B41)^2/B41</f>
        <v>0</v>
      </c>
      <c r="C46" s="234">
        <f>(D8-C41)^2/C41</f>
        <v>6.6404725718374977E-30</v>
      </c>
      <c r="D46" s="24"/>
      <c r="E46" s="237" t="s">
        <v>74</v>
      </c>
      <c r="F46" s="238">
        <f>B48-H40</f>
        <v>-3.8414588206941236</v>
      </c>
      <c r="I46" s="11"/>
      <c r="J46" s="11"/>
      <c r="N46" s="4"/>
      <c r="O46" s="4"/>
      <c r="T46" s="4"/>
      <c r="U46" s="4"/>
    </row>
    <row r="47" spans="1:21" hidden="1" x14ac:dyDescent="0.2">
      <c r="A47" s="32" t="s">
        <v>75</v>
      </c>
      <c r="C47" s="239"/>
      <c r="F47" s="96" t="s">
        <v>76</v>
      </c>
      <c r="I47" s="11"/>
      <c r="J47" s="11"/>
      <c r="N47" s="4"/>
      <c r="O47" s="4"/>
      <c r="T47" s="4"/>
      <c r="U47" s="4"/>
    </row>
    <row r="48" spans="1:21" ht="13.5" hidden="1" customHeight="1" x14ac:dyDescent="0.2">
      <c r="A48" s="240" t="s">
        <v>77</v>
      </c>
      <c r="B48" s="241">
        <f>SUM(B45:C46)</f>
        <v>6.6404725718374977E-30</v>
      </c>
      <c r="C48" s="32"/>
      <c r="F48" s="96" t="s">
        <v>78</v>
      </c>
      <c r="H48" s="242"/>
      <c r="I48" s="11"/>
      <c r="J48" s="11"/>
      <c r="K48" s="243"/>
      <c r="N48" s="4"/>
      <c r="O48" s="4"/>
      <c r="T48" s="4"/>
      <c r="U48" s="4"/>
    </row>
    <row r="49" spans="1:21" ht="13.5" hidden="1" thickBot="1" x14ac:dyDescent="0.25">
      <c r="A49" s="244" t="s">
        <v>79</v>
      </c>
      <c r="B49" s="245">
        <f>CHIDIST(B48,1)</f>
        <v>0.99999999999999789</v>
      </c>
      <c r="D49" s="32"/>
      <c r="E49" s="32"/>
      <c r="F49" s="32"/>
      <c r="G49" s="246"/>
      <c r="H49" s="32"/>
      <c r="I49" s="11"/>
      <c r="J49" s="11"/>
      <c r="K49" s="32"/>
      <c r="N49" s="4"/>
      <c r="O49" s="4"/>
      <c r="T49" s="4"/>
      <c r="U49" s="4"/>
    </row>
    <row r="50" spans="1:21" s="11" customFormat="1" hidden="1" x14ac:dyDescent="0.2">
      <c r="D50" s="247"/>
      <c r="E50" s="247"/>
      <c r="H50" s="248"/>
    </row>
    <row r="51" spans="1:21" hidden="1" x14ac:dyDescent="0.2">
      <c r="I51" s="11"/>
      <c r="J51" s="11"/>
      <c r="N51" s="4"/>
      <c r="O51" s="4"/>
      <c r="T51" s="4"/>
      <c r="U51" s="4"/>
    </row>
    <row r="52" spans="1:21" hidden="1" x14ac:dyDescent="0.2">
      <c r="F52" s="165"/>
      <c r="I52" s="11"/>
      <c r="J52" s="11"/>
      <c r="N52" s="4"/>
      <c r="O52" s="4"/>
      <c r="T52" s="4"/>
      <c r="U52" s="4"/>
    </row>
    <row r="53" spans="1:21" ht="13.5" hidden="1" thickBot="1" x14ac:dyDescent="0.25">
      <c r="A53" s="249" t="s">
        <v>80</v>
      </c>
      <c r="B53" s="250"/>
      <c r="C53" s="250"/>
      <c r="D53" s="251" t="s">
        <v>81</v>
      </c>
      <c r="E53" s="251" t="s">
        <v>82</v>
      </c>
      <c r="F53" s="251" t="s">
        <v>83</v>
      </c>
      <c r="G53" s="110"/>
      <c r="I53" s="11"/>
      <c r="J53" s="11"/>
      <c r="N53" s="4"/>
      <c r="O53" s="4"/>
      <c r="T53" s="4"/>
      <c r="U53" s="4"/>
    </row>
    <row r="54" spans="1:21" hidden="1" x14ac:dyDescent="0.2">
      <c r="A54" s="252" t="s">
        <v>84</v>
      </c>
      <c r="B54" s="253">
        <f>ROUND(E7,0)</f>
        <v>978</v>
      </c>
      <c r="C54" s="253">
        <f>ROUND(E8,0)</f>
        <v>492</v>
      </c>
      <c r="D54" s="254">
        <f>ROUND(F14,2)</f>
        <v>1</v>
      </c>
      <c r="E54" s="255">
        <f>ROUND(I26,4)</f>
        <v>0</v>
      </c>
      <c r="F54" s="256" t="e">
        <f>ROUND(I27,0)</f>
        <v>#DIV/0!</v>
      </c>
      <c r="G54" s="123"/>
      <c r="I54" s="11"/>
      <c r="J54" s="11"/>
      <c r="N54" s="4"/>
      <c r="O54" s="4"/>
      <c r="T54" s="4"/>
      <c r="U54" s="4"/>
    </row>
    <row r="55" spans="1:21" hidden="1" x14ac:dyDescent="0.2">
      <c r="A55" s="257" t="s">
        <v>85</v>
      </c>
      <c r="B55" s="253">
        <f>ROUND(C7,0)</f>
        <v>11</v>
      </c>
      <c r="C55" s="253">
        <f>ROUND(C8,0)</f>
        <v>5</v>
      </c>
      <c r="D55" s="254">
        <f>ROUND(G14,2)</f>
        <v>0.36</v>
      </c>
      <c r="E55" s="255">
        <f>ROUND(K26,4)</f>
        <v>-1.46E-2</v>
      </c>
      <c r="F55" s="256">
        <f>ROUND(J27,0)</f>
        <v>94</v>
      </c>
      <c r="G55" s="123"/>
      <c r="I55" s="11"/>
      <c r="J55" s="11"/>
      <c r="N55" s="4"/>
      <c r="O55" s="4"/>
      <c r="T55" s="4"/>
      <c r="U55" s="4"/>
    </row>
    <row r="56" spans="1:21" s="16" customFormat="1" hidden="1" x14ac:dyDescent="0.2">
      <c r="A56" s="257" t="s">
        <v>86</v>
      </c>
      <c r="B56" s="255">
        <f>ROUND(C21,4)</f>
        <v>1.0999999999999999E-2</v>
      </c>
      <c r="C56" s="255">
        <f>ROUND(C22,4)</f>
        <v>1.0999999999999999E-2</v>
      </c>
      <c r="D56" s="254">
        <f>ROUND(H14,2)</f>
        <v>2.79</v>
      </c>
      <c r="E56" s="255">
        <f>ROUND(J26,4)</f>
        <v>1.0699999999999999E-2</v>
      </c>
      <c r="F56" s="256">
        <f>ROUND(K27,0)</f>
        <v>-69</v>
      </c>
      <c r="G56" s="258">
        <f>ROUND(M25,4)</f>
        <v>2.5000000000000001E-2</v>
      </c>
      <c r="I56" s="259"/>
      <c r="J56" s="11"/>
    </row>
    <row r="57" spans="1:21" hidden="1" x14ac:dyDescent="0.2">
      <c r="A57" s="257" t="s">
        <v>87</v>
      </c>
      <c r="B57" s="260" t="s">
        <v>88</v>
      </c>
      <c r="C57" s="260" t="s">
        <v>89</v>
      </c>
      <c r="D57" s="260" t="s">
        <v>13</v>
      </c>
      <c r="E57" s="260" t="s">
        <v>90</v>
      </c>
      <c r="F57" s="261" t="s">
        <v>91</v>
      </c>
      <c r="G57" s="262" t="s">
        <v>92</v>
      </c>
      <c r="I57" s="259"/>
      <c r="J57" s="11"/>
    </row>
    <row r="58" spans="1:21" hidden="1" x14ac:dyDescent="0.2">
      <c r="A58" s="263" t="s">
        <v>93</v>
      </c>
      <c r="B58" s="264" t="str">
        <f>CONCATENATE(B55,A59,B54," ",A54,B56*100,A57,A56)</f>
        <v>11/978 (1,1%)</v>
      </c>
      <c r="C58" s="264" t="str">
        <f>CONCATENATE(C55,A59,C54," ",A54,C56*100,A57,A56)</f>
        <v>5/492 (1,1%)</v>
      </c>
      <c r="D58" s="264" t="str">
        <f>CONCATENATE(D54," ",A54,D55,A55,D56,A56)</f>
        <v>1 (0,36-2,79)</v>
      </c>
      <c r="E58" s="264" t="str">
        <f>CONCATENATE(E54*100,A57," ",A54,E55*100,A57," ",A58," ",E56*100,A57,A56)</f>
        <v>0% (-1,46% a 1,07%)</v>
      </c>
      <c r="F58" s="264" t="e">
        <f>CONCATENATE(F54," ",A54,F55," ",A58," ",F56,A56)</f>
        <v>#DIV/0!</v>
      </c>
      <c r="G58" s="262" t="str">
        <f>CONCATENATE(G56*100,A57)</f>
        <v>2,5%</v>
      </c>
      <c r="I58" s="11"/>
      <c r="J58" s="11"/>
      <c r="N58" s="4"/>
      <c r="O58" s="4"/>
      <c r="T58" s="4"/>
      <c r="U58" s="4"/>
    </row>
    <row r="59" spans="1:21" ht="13.5" hidden="1" thickBot="1" x14ac:dyDescent="0.25">
      <c r="A59" s="265" t="s">
        <v>94</v>
      </c>
      <c r="B59" s="266"/>
      <c r="C59" s="266"/>
      <c r="D59" s="266"/>
      <c r="E59" s="266"/>
      <c r="F59" s="266"/>
      <c r="G59" s="267"/>
      <c r="I59" s="11"/>
      <c r="J59" s="11"/>
      <c r="N59" s="4"/>
      <c r="O59" s="4"/>
      <c r="T59" s="4"/>
      <c r="U59" s="4"/>
    </row>
    <row r="60" spans="1:21" x14ac:dyDescent="0.2">
      <c r="K60" s="11"/>
      <c r="N60" s="4"/>
      <c r="O60" s="4"/>
      <c r="T60" s="4"/>
      <c r="U60" s="4"/>
    </row>
    <row r="61" spans="1:21" ht="27" customHeight="1" x14ac:dyDescent="0.2">
      <c r="B61" s="268" t="s">
        <v>88</v>
      </c>
      <c r="C61" s="268" t="s">
        <v>89</v>
      </c>
      <c r="D61" s="269" t="s">
        <v>95</v>
      </c>
      <c r="E61" s="269" t="s">
        <v>96</v>
      </c>
      <c r="F61" s="269" t="s">
        <v>97</v>
      </c>
      <c r="G61" s="269" t="s">
        <v>98</v>
      </c>
      <c r="H61" s="270"/>
      <c r="I61" s="269" t="s">
        <v>99</v>
      </c>
      <c r="K61" s="271"/>
      <c r="N61" s="4"/>
      <c r="O61" s="4"/>
      <c r="T61" s="4"/>
      <c r="U61" s="4"/>
    </row>
    <row r="62" spans="1:21" ht="21" customHeight="1" x14ac:dyDescent="0.2">
      <c r="B62" s="272" t="str">
        <f t="shared" ref="B62:G62" si="0">B58</f>
        <v>11/978 (1,1%)</v>
      </c>
      <c r="C62" s="272" t="str">
        <f t="shared" si="0"/>
        <v>5/492 (1,1%)</v>
      </c>
      <c r="D62" s="272" t="str">
        <f t="shared" si="0"/>
        <v>1 (0,36-2,79)</v>
      </c>
      <c r="E62" s="272" t="str">
        <f t="shared" si="0"/>
        <v>0% (-1,46% a 1,07%)</v>
      </c>
      <c r="F62" s="272" t="e">
        <f t="shared" si="0"/>
        <v>#DIV/0!</v>
      </c>
      <c r="G62" s="272" t="str">
        <f t="shared" si="0"/>
        <v>2,5%</v>
      </c>
      <c r="H62" s="273"/>
      <c r="I62" s="274">
        <f>B49</f>
        <v>0.99999999999999789</v>
      </c>
      <c r="K62" s="275"/>
      <c r="N62" s="4"/>
      <c r="O62" s="4"/>
      <c r="T62" s="4"/>
      <c r="U62" s="4"/>
    </row>
    <row r="64" spans="1:21" ht="13.5" thickBot="1" x14ac:dyDescent="0.25"/>
    <row r="65" spans="1:7" ht="22.5" customHeight="1" thickBot="1" x14ac:dyDescent="0.25">
      <c r="A65" s="583" t="s">
        <v>159</v>
      </c>
      <c r="B65" s="584"/>
      <c r="C65" s="584"/>
      <c r="D65" s="584"/>
      <c r="E65" s="584"/>
      <c r="F65" s="584"/>
      <c r="G65" s="585"/>
    </row>
    <row r="66" spans="1:7" ht="19.5" customHeight="1" thickBot="1" x14ac:dyDescent="0.25">
      <c r="A66" s="581"/>
      <c r="B66" s="574" t="s">
        <v>160</v>
      </c>
      <c r="C66" s="576" t="s">
        <v>161</v>
      </c>
      <c r="D66" s="578" t="s">
        <v>110</v>
      </c>
      <c r="E66" s="579"/>
      <c r="F66" s="579"/>
      <c r="G66" s="580"/>
    </row>
    <row r="67" spans="1:7" ht="19.5" customHeight="1" thickBot="1" x14ac:dyDescent="0.25">
      <c r="A67" s="582"/>
      <c r="B67" s="575"/>
      <c r="C67" s="577"/>
      <c r="D67" s="309" t="s">
        <v>95</v>
      </c>
      <c r="E67" s="310" t="s">
        <v>96</v>
      </c>
      <c r="F67" s="311" t="s">
        <v>97</v>
      </c>
      <c r="G67" s="312" t="s">
        <v>98</v>
      </c>
    </row>
    <row r="68" spans="1:7" x14ac:dyDescent="0.2">
      <c r="A68" s="313"/>
      <c r="B68" s="314"/>
      <c r="C68" s="314"/>
      <c r="D68" s="315"/>
      <c r="E68" s="316"/>
      <c r="F68" s="315"/>
      <c r="G68" s="317"/>
    </row>
    <row r="69" spans="1:7" ht="13.5" thickBot="1" x14ac:dyDescent="0.25">
      <c r="A69" s="318" t="s">
        <v>111</v>
      </c>
      <c r="B69" s="319"/>
      <c r="C69" s="319"/>
      <c r="D69" s="320"/>
      <c r="E69" s="321"/>
      <c r="F69" s="320"/>
      <c r="G69" s="322"/>
    </row>
    <row r="70" spans="1:7" ht="18" customHeight="1" x14ac:dyDescent="0.2">
      <c r="A70" s="339" t="s">
        <v>162</v>
      </c>
      <c r="B70" s="324" t="s">
        <v>163</v>
      </c>
      <c r="C70" s="324" t="s">
        <v>164</v>
      </c>
      <c r="D70" s="324" t="s">
        <v>165</v>
      </c>
      <c r="E70" s="325" t="s">
        <v>166</v>
      </c>
      <c r="F70" s="324" t="s">
        <v>167</v>
      </c>
      <c r="G70" s="326">
        <v>0.31780000000000003</v>
      </c>
    </row>
    <row r="71" spans="1:7" ht="18" customHeight="1" x14ac:dyDescent="0.2">
      <c r="A71" s="327" t="s">
        <v>309</v>
      </c>
      <c r="B71" s="328" t="s">
        <v>168</v>
      </c>
      <c r="C71" s="328" t="s">
        <v>169</v>
      </c>
      <c r="D71" s="328" t="s">
        <v>170</v>
      </c>
      <c r="E71" s="328" t="s">
        <v>171</v>
      </c>
      <c r="F71" s="328" t="s">
        <v>172</v>
      </c>
      <c r="G71" s="330">
        <v>0.36770000000000003</v>
      </c>
    </row>
    <row r="72" spans="1:7" ht="18" customHeight="1" x14ac:dyDescent="0.2">
      <c r="A72" s="327" t="s">
        <v>174</v>
      </c>
      <c r="B72" s="328" t="s">
        <v>175</v>
      </c>
      <c r="C72" s="328" t="s">
        <v>176</v>
      </c>
      <c r="D72" s="329" t="s">
        <v>177</v>
      </c>
      <c r="E72" s="331" t="s">
        <v>178</v>
      </c>
      <c r="F72" s="329" t="s">
        <v>179</v>
      </c>
      <c r="G72" s="330">
        <v>6.4000000000000001E-2</v>
      </c>
    </row>
    <row r="73" spans="1:7" ht="18" customHeight="1" x14ac:dyDescent="0.2">
      <c r="A73" s="327" t="s">
        <v>310</v>
      </c>
      <c r="B73" s="328" t="s">
        <v>168</v>
      </c>
      <c r="C73" s="328" t="s">
        <v>181</v>
      </c>
      <c r="D73" s="328" t="s">
        <v>182</v>
      </c>
      <c r="E73" s="332" t="s">
        <v>183</v>
      </c>
      <c r="F73" s="328" t="s">
        <v>184</v>
      </c>
      <c r="G73" s="330">
        <v>2.53E-2</v>
      </c>
    </row>
    <row r="74" spans="1:7" ht="18" customHeight="1" thickBot="1" x14ac:dyDescent="0.25">
      <c r="A74" s="333" t="s">
        <v>311</v>
      </c>
      <c r="B74" s="334" t="s">
        <v>175</v>
      </c>
      <c r="C74" s="334" t="s">
        <v>176</v>
      </c>
      <c r="D74" s="334" t="s">
        <v>177</v>
      </c>
      <c r="E74" s="334" t="s">
        <v>178</v>
      </c>
      <c r="F74" s="334" t="s">
        <v>185</v>
      </c>
      <c r="G74" s="335">
        <v>6.4000000000000001E-2</v>
      </c>
    </row>
    <row r="75" spans="1:7" x14ac:dyDescent="0.2">
      <c r="A75" s="336"/>
      <c r="B75" s="320"/>
      <c r="C75" s="320"/>
      <c r="D75" s="320"/>
      <c r="E75" s="320"/>
      <c r="F75" s="320"/>
      <c r="G75" s="320"/>
    </row>
    <row r="76" spans="1:7" ht="13.5" thickBot="1" x14ac:dyDescent="0.25">
      <c r="A76" s="343" t="s">
        <v>112</v>
      </c>
      <c r="B76" s="338"/>
      <c r="C76" s="338"/>
      <c r="D76" s="338"/>
      <c r="E76" s="338"/>
      <c r="F76" s="338"/>
      <c r="G76" s="338"/>
    </row>
    <row r="77" spans="1:7" ht="30" customHeight="1" x14ac:dyDescent="0.2">
      <c r="A77" s="460" t="s">
        <v>312</v>
      </c>
      <c r="B77" s="324" t="s">
        <v>186</v>
      </c>
      <c r="C77" s="324" t="s">
        <v>164</v>
      </c>
      <c r="D77" s="324" t="s">
        <v>187</v>
      </c>
      <c r="E77" s="325" t="s">
        <v>188</v>
      </c>
      <c r="F77" s="324" t="s">
        <v>189</v>
      </c>
      <c r="G77" s="326">
        <v>0.16539999999999999</v>
      </c>
    </row>
    <row r="78" spans="1:7" ht="18" customHeight="1" x14ac:dyDescent="0.2">
      <c r="A78" s="327" t="s">
        <v>361</v>
      </c>
      <c r="B78" s="328" t="s">
        <v>190</v>
      </c>
      <c r="C78" s="328" t="s">
        <v>169</v>
      </c>
      <c r="D78" s="328" t="s">
        <v>191</v>
      </c>
      <c r="E78" s="328" t="s">
        <v>192</v>
      </c>
      <c r="F78" s="328" t="s">
        <v>193</v>
      </c>
      <c r="G78" s="330">
        <v>0.10299999999999999</v>
      </c>
    </row>
    <row r="79" spans="1:7" ht="18" customHeight="1" x14ac:dyDescent="0.2">
      <c r="A79" s="327" t="s">
        <v>313</v>
      </c>
      <c r="B79" s="328" t="s">
        <v>195</v>
      </c>
      <c r="C79" s="328" t="s">
        <v>196</v>
      </c>
      <c r="D79" s="329" t="s">
        <v>197</v>
      </c>
      <c r="E79" s="328" t="s">
        <v>198</v>
      </c>
      <c r="F79" s="329" t="s">
        <v>197</v>
      </c>
      <c r="G79" s="341" t="s">
        <v>197</v>
      </c>
    </row>
    <row r="80" spans="1:7" ht="18" customHeight="1" x14ac:dyDescent="0.2">
      <c r="A80" s="327" t="s">
        <v>314</v>
      </c>
      <c r="B80" s="328" t="s">
        <v>168</v>
      </c>
      <c r="C80" s="328" t="s">
        <v>181</v>
      </c>
      <c r="D80" s="328" t="s">
        <v>182</v>
      </c>
      <c r="E80" s="328" t="s">
        <v>183</v>
      </c>
      <c r="F80" s="328" t="s">
        <v>184</v>
      </c>
      <c r="G80" s="330">
        <v>2.53E-2</v>
      </c>
    </row>
    <row r="81" spans="1:7" ht="18" customHeight="1" x14ac:dyDescent="0.2">
      <c r="A81" s="327" t="s">
        <v>315</v>
      </c>
      <c r="B81" s="342" t="s">
        <v>195</v>
      </c>
      <c r="C81" s="342" t="s">
        <v>181</v>
      </c>
      <c r="D81" s="329" t="s">
        <v>197</v>
      </c>
      <c r="E81" s="342" t="s">
        <v>199</v>
      </c>
      <c r="F81" s="342" t="s">
        <v>200</v>
      </c>
      <c r="G81" s="507">
        <v>0.1671</v>
      </c>
    </row>
    <row r="82" spans="1:7" ht="18" customHeight="1" x14ac:dyDescent="0.2">
      <c r="A82" s="327" t="s">
        <v>316</v>
      </c>
      <c r="B82" s="328" t="s">
        <v>168</v>
      </c>
      <c r="C82" s="328" t="s">
        <v>181</v>
      </c>
      <c r="D82" s="328" t="s">
        <v>182</v>
      </c>
      <c r="E82" s="332" t="s">
        <v>183</v>
      </c>
      <c r="F82" s="328" t="s">
        <v>184</v>
      </c>
      <c r="G82" s="330">
        <v>2.53E-2</v>
      </c>
    </row>
    <row r="83" spans="1:7" ht="18" customHeight="1" thickBot="1" x14ac:dyDescent="0.25">
      <c r="A83" s="333" t="s">
        <v>317</v>
      </c>
      <c r="B83" s="334" t="s">
        <v>201</v>
      </c>
      <c r="C83" s="334" t="s">
        <v>202</v>
      </c>
      <c r="D83" s="334" t="s">
        <v>203</v>
      </c>
      <c r="E83" s="334" t="s">
        <v>204</v>
      </c>
      <c r="F83" s="334" t="s">
        <v>205</v>
      </c>
      <c r="G83" s="335">
        <v>5.2400000000000002E-2</v>
      </c>
    </row>
    <row r="84" spans="1:7" x14ac:dyDescent="0.2">
      <c r="A84" s="336"/>
      <c r="B84" s="320"/>
      <c r="C84" s="320"/>
      <c r="D84" s="320"/>
      <c r="E84" s="320"/>
      <c r="F84" s="320"/>
      <c r="G84" s="320"/>
    </row>
    <row r="85" spans="1:7" ht="13.5" thickBot="1" x14ac:dyDescent="0.25">
      <c r="A85" s="343" t="s">
        <v>206</v>
      </c>
      <c r="B85" s="344"/>
      <c r="C85" s="344"/>
      <c r="D85" s="344"/>
      <c r="E85" s="344"/>
      <c r="F85" s="344"/>
      <c r="G85" s="344"/>
    </row>
    <row r="86" spans="1:7" ht="18" customHeight="1" x14ac:dyDescent="0.2">
      <c r="A86" s="345" t="s">
        <v>318</v>
      </c>
      <c r="B86" s="324" t="s">
        <v>207</v>
      </c>
      <c r="C86" s="324" t="s">
        <v>208</v>
      </c>
      <c r="D86" s="324" t="s">
        <v>209</v>
      </c>
      <c r="E86" s="324" t="s">
        <v>210</v>
      </c>
      <c r="F86" s="324" t="s">
        <v>211</v>
      </c>
      <c r="G86" s="326">
        <v>0.31509999999999999</v>
      </c>
    </row>
    <row r="87" spans="1:7" ht="18" customHeight="1" x14ac:dyDescent="0.2">
      <c r="A87" s="346" t="s">
        <v>320</v>
      </c>
      <c r="B87" s="328" t="s">
        <v>212</v>
      </c>
      <c r="C87" s="328" t="s">
        <v>213</v>
      </c>
      <c r="D87" s="328" t="s">
        <v>214</v>
      </c>
      <c r="E87" s="328" t="s">
        <v>215</v>
      </c>
      <c r="F87" s="328" t="s">
        <v>216</v>
      </c>
      <c r="G87" s="330">
        <v>4.4600000000000001E-2</v>
      </c>
    </row>
    <row r="88" spans="1:7" ht="18" customHeight="1" x14ac:dyDescent="0.2">
      <c r="A88" s="346" t="s">
        <v>321</v>
      </c>
      <c r="B88" s="328" t="s">
        <v>217</v>
      </c>
      <c r="C88" s="328" t="s">
        <v>218</v>
      </c>
      <c r="D88" s="328" t="s">
        <v>219</v>
      </c>
      <c r="E88" s="328" t="s">
        <v>220</v>
      </c>
      <c r="F88" s="328" t="s">
        <v>221</v>
      </c>
      <c r="G88" s="330">
        <v>0.36359999999999998</v>
      </c>
    </row>
    <row r="89" spans="1:7" ht="18" customHeight="1" thickBot="1" x14ac:dyDescent="0.25">
      <c r="A89" s="347" t="s">
        <v>322</v>
      </c>
      <c r="B89" s="334" t="s">
        <v>222</v>
      </c>
      <c r="C89" s="334" t="s">
        <v>223</v>
      </c>
      <c r="D89" s="334" t="s">
        <v>224</v>
      </c>
      <c r="E89" s="334" t="s">
        <v>225</v>
      </c>
      <c r="F89" s="334" t="s">
        <v>226</v>
      </c>
      <c r="G89" s="335">
        <v>0.25559999999999999</v>
      </c>
    </row>
  </sheetData>
  <mergeCells count="8">
    <mergeCell ref="A2:I2"/>
    <mergeCell ref="A3:I3"/>
    <mergeCell ref="B44:C44"/>
    <mergeCell ref="A65:G65"/>
    <mergeCell ref="A66:A67"/>
    <mergeCell ref="B66:B67"/>
    <mergeCell ref="C66:C67"/>
    <mergeCell ref="D66:G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MA 2ECA</vt:lpstr>
      <vt:lpstr>Fact box, alta destr</vt:lpstr>
      <vt:lpstr>Fact box, baja dest</vt:lpstr>
      <vt:lpstr>NNT Inc Acum X-Vert</vt:lpstr>
      <vt:lpstr>NNT Inc Acum ENSURE 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Galo</dc:creator>
  <cp:lastModifiedBy>Galo</cp:lastModifiedBy>
  <dcterms:created xsi:type="dcterms:W3CDTF">2016-11-06T08:31:21Z</dcterms:created>
  <dcterms:modified xsi:type="dcterms:W3CDTF">2017-02-16T07:08:54Z</dcterms:modified>
</cp:coreProperties>
</file>